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autoCompressPictures="0" defaultThemeVersion="124226"/>
  <mc:AlternateContent xmlns:mc="http://schemas.openxmlformats.org/markup-compatibility/2006">
    <mc:Choice Requires="x15">
      <x15ac:absPath xmlns:x15ac="http://schemas.microsoft.com/office/spreadsheetml/2010/11/ac" url="P:\water efficiency\Tech Support\Fact Book and Factoids\Partner Savings Tool\2025 Version\"/>
    </mc:Choice>
  </mc:AlternateContent>
  <xr:revisionPtr revIDLastSave="0" documentId="13_ncr:1_{31896AE2-7848-47DE-8C90-1E3923BCD209}" xr6:coauthVersionLast="47" xr6:coauthVersionMax="47" xr10:uidLastSave="{00000000-0000-0000-0000-000000000000}"/>
  <workbookProtection workbookAlgorithmName="SHA-512" workbookHashValue="ZACWVm0I0WV1kHqGRzYYDJWeIljWKc1rL5KyX4bUt2r5xTxDqqM5M0xotQGe2NeyIKWddBF/tzTI5e7DsTuAGQ==" workbookSaltValue="91ZeXvtwaL46FMhX6QV8MQ==" workbookSpinCount="100000" lockStructure="1"/>
  <bookViews>
    <workbookView xWindow="-120" yWindow="-120" windowWidth="29040" windowHeight="15720" tabRatio="867" xr2:uid="{00000000-000D-0000-FFFF-FFFF00000000}"/>
  </bookViews>
  <sheets>
    <sheet name="Introduction" sheetId="41" r:id="rId1"/>
    <sheet name="Manufacturer" sheetId="34" r:id="rId2"/>
    <sheet name="Retailer or Distributor" sheetId="37" r:id="rId3"/>
    <sheet name="Builder" sheetId="36" r:id="rId4"/>
    <sheet name="Utility or District" sheetId="48" r:id="rId5"/>
    <sheet name="Utility Cost" sheetId="47" r:id="rId6"/>
    <sheet name="Savings" sheetId="42" r:id="rId7"/>
    <sheet name="References" sheetId="43" r:id="rId8"/>
    <sheet name="Update Instructions" sheetId="51" state="hidden" r:id="rId9"/>
    <sheet name="Savings_calc" sheetId="33" state="hidden" r:id="rId10"/>
    <sheet name="lbs_mWh" sheetId="45" state="hidden" r:id="rId11"/>
    <sheet name="Annual Data" sheetId="16" state="hidden" r:id="rId12"/>
    <sheet name="DHW Mix" sheetId="49" state="hidden" r:id="rId13"/>
    <sheet name="Homes" sheetId="39" state="hidden" r:id="rId14"/>
    <sheet name="Homes_calc" sheetId="40" state="hidden" r:id="rId15"/>
    <sheet name="Toilets" sheetId="2" state="hidden" r:id="rId16"/>
    <sheet name="Faucets" sheetId="7" state="hidden" r:id="rId17"/>
    <sheet name="Faucet Accessories" sheetId="13" state="hidden" r:id="rId18"/>
    <sheet name="Showerheads" sheetId="12" state="hidden" r:id="rId19"/>
    <sheet name="FV Toilets" sheetId="24" state="hidden" r:id="rId20"/>
    <sheet name="Urinals" sheetId="8" state="hidden" r:id="rId21"/>
    <sheet name="WBICs" sheetId="22" state="hidden" r:id="rId22"/>
    <sheet name="SMSs" sheetId="44" state="hidden" r:id="rId23"/>
    <sheet name="SSBs" sheetId="30" state="hidden" r:id="rId24"/>
    <sheet name="tons_kWh" sheetId="46" state="hidden" r:id="rId25"/>
    <sheet name="Regions" sheetId="50" state="hidden" r:id="rId26"/>
    <sheet name="Supporting Data" sheetId="15" state="hidden" r:id="rId27"/>
  </sheets>
  <externalReferences>
    <externalReference r:id="rId28"/>
  </externalReferences>
  <definedNames>
    <definedName name="_xlnm._FilterDatabase" localSheetId="25" hidden="1">Regions!$A$1:$C$52</definedName>
    <definedName name="anscount" hidden="1">1</definedName>
    <definedName name="BTU_kWh">'Supporting Data'!$B$30</definedName>
    <definedName name="BTU_therm">'Supporting Data'!$B$24</definedName>
    <definedName name="cost_per_kwh_07">'Annual Data'!$BH$7</definedName>
    <definedName name="cost_per_kwh_08">'Annual Data'!$BH$8</definedName>
    <definedName name="cost_per_kwh_09">'Annual Data'!$BH$9</definedName>
    <definedName name="cost_per_kwh_10">'Annual Data'!$BH$10</definedName>
    <definedName name="cost_per_kwh_11">'Annual Data'!$BH$11</definedName>
    <definedName name="cost_per_kwh_12">'Annual Data'!$BH$12</definedName>
    <definedName name="cost_per_kwh_13">'Annual Data'!$BH$13</definedName>
    <definedName name="cost_per_kwh_14">'Annual Data'!$BH$14</definedName>
    <definedName name="cost_per_kwh_15">'Annual Data'!$BH$15</definedName>
    <definedName name="cost_per_kwh_16">'Annual Data'!$BH$16</definedName>
    <definedName name="cost_per_kwh_17">'Annual Data'!$BH$17</definedName>
    <definedName name="cost_per_kwh_18">'Annual Data'!$BH$18</definedName>
    <definedName name="cost_per_kwh_19">'Annual Data'!$BH$19</definedName>
    <definedName name="cost_per_kwh_20">'Annual Data'!$BH$20</definedName>
    <definedName name="cost_per_kwh_21">'Annual Data'!$BH$21</definedName>
    <definedName name="cost_per_kwh_22">'Annual Data'!$BH$22</definedName>
    <definedName name="cost_per_kwh_23">'Annual Data'!$BH$23</definedName>
    <definedName name="cost_per_kwh_24">'Annual Data'!$BH$24</definedName>
    <definedName name="cost_per_kwh_25">'Annual Data'!$BH$25</definedName>
    <definedName name="cost_per_kwh_26">'Annual Data'!$BH$26</definedName>
    <definedName name="cost_per_kwh_27">'Annual Data'!$BH$27</definedName>
    <definedName name="cost_per_kwh_28">'Annual Data'!$BH$28</definedName>
    <definedName name="cost_per_kwh_29">'Annual Data'!$BH$29</definedName>
    <definedName name="cost_per_kwh_30">'Annual Data'!$BH$30</definedName>
    <definedName name="cost_per_mcf_07">'Annual Data'!$BG$7</definedName>
    <definedName name="cost_per_mcf_08">'Annual Data'!$BG$8</definedName>
    <definedName name="cost_per_mcf_09">'Annual Data'!$BG$9</definedName>
    <definedName name="cost_per_mcf_10">'Annual Data'!$BG$10</definedName>
    <definedName name="cost_per_mcf_11">'Annual Data'!$BG$11</definedName>
    <definedName name="cost_per_mcf_12">'Annual Data'!$BG$12</definedName>
    <definedName name="cost_per_mcf_13">'Annual Data'!$BG$13</definedName>
    <definedName name="cost_per_mcf_14">'Annual Data'!$BG$14</definedName>
    <definedName name="cost_per_mcf_15">'Annual Data'!$BG$15</definedName>
    <definedName name="cost_per_mcf_16">'Annual Data'!$BG$16</definedName>
    <definedName name="cost_per_mcf_17">'Annual Data'!$BG$17</definedName>
    <definedName name="cost_per_mcf_18">'Annual Data'!$BG$18</definedName>
    <definedName name="cost_per_mcf_19">'Annual Data'!$BG$19</definedName>
    <definedName name="cost_per_mcf_20">'Annual Data'!$BG$20</definedName>
    <definedName name="cost_per_mcf_21">'Annual Data'!$BG$21</definedName>
    <definedName name="cost_per_mcf_22">'Annual Data'!$BG$22</definedName>
    <definedName name="cost_per_mcf_23">'Annual Data'!$BG$23</definedName>
    <definedName name="cost_per_mcf_24">'Annual Data'!$BG$24</definedName>
    <definedName name="cost_per_mcf_25">'Annual Data'!$BG$25</definedName>
    <definedName name="cost_per_mcf_26">'Annual Data'!$BG$26</definedName>
    <definedName name="cost_per_mcf_27">'Annual Data'!$BG$27</definedName>
    <definedName name="cost_per_mcf_28">'Annual Data'!$BG$28</definedName>
    <definedName name="cost_per_mcf_29">'Annual Data'!$BG$29</definedName>
    <definedName name="cost_per_mcf_30">'Annual Data'!$BG$30</definedName>
    <definedName name="current_year">Introduction!$C$11</definedName>
    <definedName name="Elec_res" localSheetId="13">Table3[Price of electricity (kWh)]</definedName>
    <definedName name="Elec_res" localSheetId="2">Table3[Price of electricity (kWh)]</definedName>
    <definedName name="Elec_res" localSheetId="6">Table3[Price of electricity (kWh)]</definedName>
    <definedName name="Elec_res" localSheetId="9">Table3[Price of electricity (kWh)]</definedName>
    <definedName name="Elec_res" localSheetId="22">Table3[Price of electricity (kWh)]</definedName>
    <definedName name="Elec_res" localSheetId="24">Table3[Price of electricity (kWh)]</definedName>
    <definedName name="Elec_res" localSheetId="4">Table3[Price of electricity (kWh)]</definedName>
    <definedName name="Elec_res">Table3[Price of electricity (kWh)]</definedName>
    <definedName name="Faucet_Accessories_co2">'Faucet Accessories'!$U$7:$U$30</definedName>
    <definedName name="Faucet_Accessories_kwh">'Faucet Accessories'!$R$7:$R$30</definedName>
    <definedName name="Faucet_Accessories_USD">'Faucet Accessories'!$AG$7:$AG$30</definedName>
    <definedName name="Faucet_Aerators_h2o" localSheetId="24">Savings[Faucet Aerators]</definedName>
    <definedName name="Faucet_Aerators_h2o" localSheetId="4">Savings[Faucet Aerators]</definedName>
    <definedName name="Faucet_Aerators_h2o">Savings[Faucet Aerators]</definedName>
    <definedName name="Faucets_co2">Faucets!$U$7:$U$30</definedName>
    <definedName name="Faucets_h2o" localSheetId="24">Savings[Faucets]</definedName>
    <definedName name="Faucets_h2o" localSheetId="4">Savings[Faucets]</definedName>
    <definedName name="Faucets_h2o">Savings[Faucets]</definedName>
    <definedName name="Faucets_kwh">Faucets!$R$7:$R$30</definedName>
    <definedName name="Faucets_USD">Faucets!$AG$7:$AG$30</definedName>
    <definedName name="FV_Toilets_co2">'FV Toilets'!$I$7:$I$30</definedName>
    <definedName name="FV_Toilets_h2o" localSheetId="24">Savings[FV Toilets]</definedName>
    <definedName name="FV_Toilets_h2o" localSheetId="4">Savings[FV Toilets]</definedName>
    <definedName name="FV_Toilets_h2o">Savings[FV Toilets]</definedName>
    <definedName name="FV_Toilets_kwh">'FV Toilets'!$F$7:$F$30</definedName>
    <definedName name="FV_Toilets_USD">'FV Toilets'!$L$7:$L$30</definedName>
    <definedName name="gal_cf">'Supporting Data'!$B$26</definedName>
    <definedName name="gal_cmeter">'Supporting Data'!$B$27</definedName>
    <definedName name="gallons_hot_home_saved">'Supporting Data'!$B$44</definedName>
    <definedName name="Gas_res" localSheetId="13">Table3[Price of natural gas (Mcf)]</definedName>
    <definedName name="Gas_res" localSheetId="2">Table3[Price of natural gas (Mcf)]</definedName>
    <definedName name="Gas_res" localSheetId="6">Table3[Price of natural gas (Mcf)]</definedName>
    <definedName name="Gas_res" localSheetId="9">Table3[Price of natural gas (Mcf)]</definedName>
    <definedName name="Gas_res" localSheetId="22">Table3[Price of natural gas (Mcf)]</definedName>
    <definedName name="Gas_res" localSheetId="24">Table3[Price of natural gas (Mcf)]</definedName>
    <definedName name="Gas_res" localSheetId="4">Table3[Price of natural gas (Mcf)]</definedName>
    <definedName name="Gas_res">Table3[Price of natural gas (Mcf)]</definedName>
    <definedName name="GDP" localSheetId="13">Table1514[GDP Chained Price Index (FY2023)]</definedName>
    <definedName name="GDP" localSheetId="2">Table1514[GDP Chained Price Index (FY2023)]</definedName>
    <definedName name="GDP" localSheetId="6">Table1514[GDP Chained Price Index (FY2023)]</definedName>
    <definedName name="GDP" localSheetId="9">Table1514[GDP Chained Price Index (FY2023)]</definedName>
    <definedName name="GDP" localSheetId="22">Table1514[GDP Chained Price Index (FY2023)]</definedName>
    <definedName name="GDP" localSheetId="24">Table1514[GDP Chained Price Index (FY2023)]</definedName>
    <definedName name="GDP" localSheetId="4">Table1514[GDP Chained Price Index (FY2023)]</definedName>
    <definedName name="GDP">Table1514[GDP Chained Price Index (FY2023)]</definedName>
    <definedName name="h2o_annual" localSheetId="24">Savings[Totals (annual)]</definedName>
    <definedName name="h2o_annual" localSheetId="4">Savings[Totals (annual)]</definedName>
    <definedName name="h2o_annual">Savings[Totals (annual)]</definedName>
    <definedName name="h2o_cumulative" localSheetId="24">Savings[Totals (cumulative)]</definedName>
    <definedName name="h2o_cumulative" localSheetId="4">Savings[Totals (cumulative)]</definedName>
    <definedName name="h2o_cumulative">Savings[Totals (cumulative)]</definedName>
    <definedName name="home_w_products">Builder!$C$9:$C$30</definedName>
    <definedName name="Homes_co2">Homes!$AA$7:$AA$30</definedName>
    <definedName name="Homes_h2o">Homes!$C$7:$C$30</definedName>
    <definedName name="Homes_kwh">Homes!$X$7:$X$30</definedName>
    <definedName name="homes_savings_2009">Homes_calc!$C$9</definedName>
    <definedName name="homes_savings_2010">Homes_calc!$C$10</definedName>
    <definedName name="homes_savings_2011">Homes_calc!$C$11</definedName>
    <definedName name="homes_savings_2012">Homes_calc!$C$12</definedName>
    <definedName name="homes_savings_2013">Homes_calc!$C$13</definedName>
    <definedName name="homes_savings_2014">Homes_calc!$C$14</definedName>
    <definedName name="homes_savings_2015">Homes_calc!$C$15</definedName>
    <definedName name="homes_savings_2016">Homes_calc!$C$16</definedName>
    <definedName name="homes_savings_2017">Homes_calc!$C$17</definedName>
    <definedName name="homes_savings_2018">Homes_calc!$C$18</definedName>
    <definedName name="homes_savings_2019">Homes_calc!$C$19</definedName>
    <definedName name="homes_savings_2020">Homes_calc!$C$20</definedName>
    <definedName name="homes_savings_2021">Homes_calc!$C$21</definedName>
    <definedName name="homes_savings_2022">Homes_calc!$C$22</definedName>
    <definedName name="homes_savings_2023">Homes_calc!$C$23</definedName>
    <definedName name="homes_savings_2024">Homes_calc!$C$24</definedName>
    <definedName name="homes_savings_2025">Homes_calc!$C$25</definedName>
    <definedName name="homes_savings_2026">Homes_calc!$C$26</definedName>
    <definedName name="homes_savings_2027">Homes_calc!$C$27</definedName>
    <definedName name="homes_savings_2028">Homes_calc!$C$28</definedName>
    <definedName name="homes_savings_2029">Homes_calc!$C$29</definedName>
    <definedName name="homes_savings_2030">Homes_calc!$C$30</definedName>
    <definedName name="Homes_usd">Homes!$AM$7:$AM$30</definedName>
    <definedName name="Houses_with_elec_07">'Annual Data'!$D$7</definedName>
    <definedName name="Houses_with_elec_08">'Annual Data'!$D$8</definedName>
    <definedName name="Houses_with_elec_09">'Annual Data'!$D$9</definedName>
    <definedName name="Houses_with_elec_10">'Annual Data'!$D$10</definedName>
    <definedName name="Houses_with_elec_11">'Annual Data'!$D$11</definedName>
    <definedName name="Houses_with_elec_12">'Annual Data'!$D$12</definedName>
    <definedName name="Houses_with_elec_13">'Annual Data'!$D$13</definedName>
    <definedName name="Houses_with_elec_14">'Annual Data'!$D$14</definedName>
    <definedName name="Houses_with_elec_15">'Annual Data'!$D$15</definedName>
    <definedName name="Houses_with_elec_16">'Annual Data'!$D$16</definedName>
    <definedName name="Houses_with_elec_17">'Annual Data'!$D$17</definedName>
    <definedName name="Houses_with_elec_18">'Annual Data'!$D$18</definedName>
    <definedName name="Houses_with_elec_19">'Annual Data'!$D$19</definedName>
    <definedName name="Houses_with_elec_20">'Annual Data'!$D$20</definedName>
    <definedName name="Houses_with_elec_21">'Annual Data'!$D$21</definedName>
    <definedName name="Houses_with_elec_22">'Annual Data'!$D$22</definedName>
    <definedName name="Houses_with_elec_23">'Annual Data'!$D$23</definedName>
    <definedName name="Houses_with_elec_24">'Annual Data'!$D$24</definedName>
    <definedName name="Houses_with_elec_25">'Annual Data'!$D$25</definedName>
    <definedName name="Houses_with_elec_26">'Annual Data'!$D$26</definedName>
    <definedName name="Houses_with_elec_27">'Annual Data'!$D$27</definedName>
    <definedName name="Houses_with_elec_28">'Annual Data'!$D$28</definedName>
    <definedName name="Houses_with_elec_29">'Annual Data'!$D$29</definedName>
    <definedName name="Houses_with_elec_30">'Annual Data'!$D$30</definedName>
    <definedName name="Houses_with_gas_07">'Annual Data'!$E$7</definedName>
    <definedName name="Houses_with_gas_08">'Annual Data'!$E$8</definedName>
    <definedName name="Houses_with_gas_09">'Annual Data'!$E$9</definedName>
    <definedName name="Houses_with_gas_10">'Annual Data'!$E$10</definedName>
    <definedName name="Houses_with_gas_11">'Annual Data'!$E$11</definedName>
    <definedName name="Houses_with_gas_12">'Annual Data'!$E$12</definedName>
    <definedName name="Houses_with_gas_13">'Annual Data'!$E$13</definedName>
    <definedName name="Houses_with_gas_14">'Annual Data'!$E$14</definedName>
    <definedName name="Houses_with_gas_15">'Annual Data'!$E$15</definedName>
    <definedName name="Houses_with_gas_16">'Annual Data'!$E$16</definedName>
    <definedName name="Houses_with_gas_17">'Annual Data'!$E$17</definedName>
    <definedName name="Houses_with_gas_18">'Annual Data'!$E$18</definedName>
    <definedName name="Houses_with_gas_19">'Annual Data'!$E$19</definedName>
    <definedName name="Houses_with_gas_20">'Annual Data'!$E$20</definedName>
    <definedName name="Houses_with_gas_21">'Annual Data'!$E$21</definedName>
    <definedName name="Houses_with_gas_22">'Annual Data'!$E$22</definedName>
    <definedName name="Houses_with_gas_23">'Annual Data'!$E$23</definedName>
    <definedName name="Houses_with_gas_24">'Annual Data'!$E$24</definedName>
    <definedName name="Houses_with_gas_25">'Annual Data'!$E$25</definedName>
    <definedName name="Houses_with_gas_26">'Annual Data'!$E$26</definedName>
    <definedName name="Houses_with_gas_27">'Annual Data'!$E$27</definedName>
    <definedName name="Houses_with_gas_28">'Annual Data'!$E$28</definedName>
    <definedName name="Houses_with_gas_29">'Annual Data'!$E$29</definedName>
    <definedName name="Houses_with_gas_30">'Annual Data'!$E$30</definedName>
    <definedName name="Houses_with_plumbing_07">'Annual Data'!$C$7</definedName>
    <definedName name="Houses_with_plumbing_08">'Annual Data'!$C$8</definedName>
    <definedName name="Houses_with_plumbing_09">'Annual Data'!$C$9</definedName>
    <definedName name="Houses_with_plumbing_10">'Annual Data'!$C$10</definedName>
    <definedName name="Houses_with_plumbing_11">'Annual Data'!$C$11</definedName>
    <definedName name="Houses_with_plumbing_12">'Annual Data'!$C$12</definedName>
    <definedName name="Houses_with_plumbing_13">'Annual Data'!$C$13</definedName>
    <definedName name="Houses_with_plumbing_14">'Annual Data'!$C$14</definedName>
    <definedName name="Houses_with_plumbing_15">'Annual Data'!$C$15</definedName>
    <definedName name="Houses_with_plumbing_16">'Annual Data'!$C$16</definedName>
    <definedName name="Houses_with_plumbing_17">'Annual Data'!$C$17</definedName>
    <definedName name="Houses_with_plumbing_18">'Annual Data'!$C$18</definedName>
    <definedName name="Houses_with_plumbing_19">'Annual Data'!$C$19</definedName>
    <definedName name="Houses_with_plumbing_20">'Annual Data'!$C$20</definedName>
    <definedName name="Houses_with_plumbing_21">'Annual Data'!$C$21</definedName>
    <definedName name="Houses_with_plumbing_22">'Annual Data'!$C$22</definedName>
    <definedName name="Houses_with_plumbing_23">'Annual Data'!$C$23</definedName>
    <definedName name="Houses_with_plumbing_24">'Annual Data'!$C$24</definedName>
    <definedName name="Houses_with_plumbing_25">'Annual Data'!$C$25</definedName>
    <definedName name="Houses_with_plumbing_26">'Annual Data'!$C$26</definedName>
    <definedName name="Houses_with_plumbing_27">'Annual Data'!$C$27</definedName>
    <definedName name="Houses_with_plumbing_28">'Annual Data'!$C$28</definedName>
    <definedName name="Houses_with_plumbing_29">'Annual Data'!$C$29</definedName>
    <definedName name="Houses_with_plumbing_30">'Annual Data'!$C$30</definedName>
    <definedName name="Indoor_savings_year_WaterSense_labeled_home">'Supporting Data'!$B$42</definedName>
    <definedName name="Indoor_Use_home">'Supporting Data'!$B$40</definedName>
    <definedName name="kWh_heat_gal_comm" localSheetId="13">Table9[[#Totals],[Value]]</definedName>
    <definedName name="kWh_heat_gal_comm" localSheetId="2">Table9[[#Totals],[Value]]</definedName>
    <definedName name="kWh_heat_gal_comm" localSheetId="6">Table9[[#Totals],[Value]]</definedName>
    <definedName name="kWh_heat_gal_comm" localSheetId="9">Table9[[#Totals],[Value]]</definedName>
    <definedName name="kWh_heat_gal_comm" localSheetId="22">Table9[[#Totals],[Value]]</definedName>
    <definedName name="kWh_heat_gal_comm" localSheetId="24">Table9[[#Totals],[Value]]</definedName>
    <definedName name="kWh_heat_gal_comm" localSheetId="4">Table9[[#Totals],[Value]]</definedName>
    <definedName name="kWh_heat_gal_comm">Table9[[#Totals],[Value]]</definedName>
    <definedName name="kwh_per_gal_drnk_water">'Supporting Data'!$B$10</definedName>
    <definedName name="kwh_per_gal_hot_water_2007">'Annual Data'!$AT$7</definedName>
    <definedName name="kwh_per_gal_hot_water_2008">'Annual Data'!$AT$8</definedName>
    <definedName name="kwh_per_gal_hot_water_2009">'Annual Data'!$AT$9</definedName>
    <definedName name="kwh_per_gal_hot_water_2010">'Annual Data'!$AT$10</definedName>
    <definedName name="kwh_per_gal_hot_water_2011">'Annual Data'!$AT$11</definedName>
    <definedName name="kwh_per_gal_hot_water_2012">'Annual Data'!$AT$12</definedName>
    <definedName name="kwh_per_gal_hot_water_2013">'Annual Data'!$AT$13</definedName>
    <definedName name="kwh_per_gal_hot_water_2014">'Annual Data'!$AT$14</definedName>
    <definedName name="kwh_per_gal_hot_water_2015">'Annual Data'!$AT$15</definedName>
    <definedName name="kwh_per_gal_hot_water_2016">'Annual Data'!$AT$16</definedName>
    <definedName name="kwh_per_gal_hot_water_2017">'Annual Data'!$AT$17</definedName>
    <definedName name="kwh_per_gal_hot_water_2018">'Annual Data'!$AT$18</definedName>
    <definedName name="kwh_per_gal_hot_water_2019">'Annual Data'!$AT$19</definedName>
    <definedName name="kwh_per_gal_hot_water_2020">'Annual Data'!$AT$20</definedName>
    <definedName name="kwh_per_gal_hot_water_2021">'Annual Data'!$AT$21</definedName>
    <definedName name="kwh_per_gal_hot_water_2022">'Annual Data'!$AT$22</definedName>
    <definedName name="kwh_per_gal_hot_water_2023">'Annual Data'!$AT$23</definedName>
    <definedName name="kwh_per_gal_hot_water_2024">'Annual Data'!$AT$24</definedName>
    <definedName name="kwh_per_gal_hot_water_2025">'Annual Data'!$AT$25</definedName>
    <definedName name="kwh_per_gal_hot_water_2026">'Annual Data'!$AT$26</definedName>
    <definedName name="kwh_per_gal_hot_water_2027">'Annual Data'!$AT$27</definedName>
    <definedName name="kwh_per_gal_hot_water_2028">'Annual Data'!$AT$28</definedName>
    <definedName name="kwh_per_gal_hot_water_2029">'Annual Data'!$AT$29</definedName>
    <definedName name="kwh_per_gal_hot_water_2030">'Annual Data'!$AT$30</definedName>
    <definedName name="kwh_per_gal_hot_water_elec_com" localSheetId="19">Table9[[#Totals],[Value]]</definedName>
    <definedName name="kwh_per_gal_hot_water_elec_com" localSheetId="13">Table9[[#Totals],[Value]]</definedName>
    <definedName name="kwh_per_gal_hot_water_elec_com" localSheetId="2">Table9[[#Totals],[Value]]</definedName>
    <definedName name="kwh_per_gal_hot_water_elec_com" localSheetId="6">Table9[[#Totals],[Value]]</definedName>
    <definedName name="kwh_per_gal_hot_water_elec_com" localSheetId="9">Table9[[#Totals],[Value]]</definedName>
    <definedName name="kwh_per_gal_hot_water_elec_com" localSheetId="22">Table9[[#Totals],[Value]]</definedName>
    <definedName name="kwh_per_gal_hot_water_elec_com" localSheetId="24">Table9[[#Totals],[Value]]</definedName>
    <definedName name="kwh_per_gal_hot_water_elec_com" localSheetId="4">Table9[[#Totals],[Value]]</definedName>
    <definedName name="kwh_per_gal_hot_water_elec_com">Table9[[#Totals],[Value]]</definedName>
    <definedName name="kwh_per_gal_waste_water">'Supporting Data'!$B$11</definedName>
    <definedName name="kwh_per_therm">'Supporting Data'!$B$28</definedName>
    <definedName name="limcount" hidden="1">1</definedName>
    <definedName name="mcf_per_gal_hot_water_2007">'Annual Data'!$AS$7</definedName>
    <definedName name="mcf_per_gal_hot_water_2008">'Annual Data'!$AS$8</definedName>
    <definedName name="mcf_per_gal_hot_water_2009">'Annual Data'!$AS$9</definedName>
    <definedName name="mcf_per_gal_hot_water_2010">'Annual Data'!$AS$10</definedName>
    <definedName name="mcf_per_gal_hot_water_2011">'Annual Data'!$AS$11</definedName>
    <definedName name="mcf_per_gal_hot_water_2012">'Annual Data'!$AS$12</definedName>
    <definedName name="mcf_per_gal_hot_water_2013">'Annual Data'!$AS$13</definedName>
    <definedName name="mcf_per_gal_hot_water_2014">'Annual Data'!$AS$14</definedName>
    <definedName name="mcf_per_gal_hot_water_2015">'Annual Data'!$AS$15</definedName>
    <definedName name="mcf_per_gal_hot_water_2016">'Annual Data'!$AS$16</definedName>
    <definedName name="mcf_per_gal_hot_water_2017">'Annual Data'!$AS$17</definedName>
    <definedName name="mcf_per_gal_hot_water_2018">'Annual Data'!$AS$18</definedName>
    <definedName name="mcf_per_gal_hot_water_2019">'Annual Data'!$AS$19</definedName>
    <definedName name="mcf_per_gal_hot_water_2020">'Annual Data'!$AS$20</definedName>
    <definedName name="mcf_per_gal_hot_water_2021">'Annual Data'!$AS$21</definedName>
    <definedName name="mcf_per_gal_hot_water_2022">'Annual Data'!$AS$22</definedName>
    <definedName name="mcf_per_gal_hot_water_2023">'Annual Data'!$AS$23</definedName>
    <definedName name="mcf_per_gal_hot_water_2024">'Annual Data'!$AS$24</definedName>
    <definedName name="mcf_per_gal_hot_water_2025">'Annual Data'!$AS$25</definedName>
    <definedName name="mcf_per_gal_hot_water_2026">'Annual Data'!$AS$26</definedName>
    <definedName name="mcf_per_gal_hot_water_2027">'Annual Data'!$AS$27</definedName>
    <definedName name="mcf_per_gal_hot_water_2028">'Annual Data'!$AS$28</definedName>
    <definedName name="mcf_per_gal_hot_water_2029">'Annual Data'!$AS$29</definedName>
    <definedName name="mcf_per_gal_hot_water_2030">'Annual Data'!$AS$30</definedName>
    <definedName name="mcf_per_gal_hot_water_gas_com">'Supporting Data'!$B$34</definedName>
    <definedName name="new_home_faucet">'Annual Data'!$AG$7:$AG$30</definedName>
    <definedName name="new_home_showerhead">'Annual Data'!$AH$7:$AH$30</definedName>
    <definedName name="new_home_toilet">'Annual Data'!$AF$7:$AF$30</definedName>
    <definedName name="of_Indoor_Water_Use_that_is_Hot">'Supporting Data'!$B$43</definedName>
    <definedName name="oops">[1]Totals!$J$30</definedName>
    <definedName name="partner_name">Introduction!$C$9</definedName>
    <definedName name="partner_type">Introduction!$C$10</definedName>
    <definedName name="perc_hot_water_faucet">'Supporting Data'!$B$13</definedName>
    <definedName name="perc_hot_water_faucet_2007">'Annual Data'!$AW$7</definedName>
    <definedName name="perc_hot_water_faucet_2008">'Annual Data'!$AW$8</definedName>
    <definedName name="perc_hot_water_faucet_2009">'Annual Data'!$AW$9</definedName>
    <definedName name="perc_hot_water_faucet_2010">'Annual Data'!$AW$10</definedName>
    <definedName name="perc_hot_water_faucet_2011">'Annual Data'!$AW$11</definedName>
    <definedName name="perc_hot_water_faucet_2012">'Annual Data'!$AW$12</definedName>
    <definedName name="perc_hot_water_faucet_2013">'Annual Data'!$AW$13</definedName>
    <definedName name="perc_hot_water_faucet_2014">'Annual Data'!$AW$14</definedName>
    <definedName name="perc_hot_water_faucet_2015">'Annual Data'!$AW$15</definedName>
    <definedName name="perc_hot_water_faucet_2016">'Annual Data'!$AW$16</definedName>
    <definedName name="perc_hot_water_faucet_2017">'Annual Data'!$AW$17</definedName>
    <definedName name="perc_hot_water_faucet_2018">'Annual Data'!$AW$18</definedName>
    <definedName name="perc_hot_water_faucet_2019">'Annual Data'!$AW$19</definedName>
    <definedName name="perc_hot_water_faucet_2020">'Annual Data'!$AW$20</definedName>
    <definedName name="perc_hot_water_faucet_2021">'Annual Data'!$AW$21</definedName>
    <definedName name="perc_hot_water_faucet_2022">'Annual Data'!$AW$22</definedName>
    <definedName name="perc_hot_water_faucet_2023">'Annual Data'!$AW$23</definedName>
    <definedName name="perc_hot_water_faucet_2024">'Annual Data'!$AW$24</definedName>
    <definedName name="perc_hot_water_faucet_2025">'Annual Data'!$AW$25</definedName>
    <definedName name="perc_hot_water_faucet_2026">'Annual Data'!$AW$26</definedName>
    <definedName name="perc_hot_water_faucet_2027">'Annual Data'!$AW$27</definedName>
    <definedName name="perc_hot_water_faucet_2028">'Annual Data'!$AW$28</definedName>
    <definedName name="perc_hot_water_faucet_2029">'Annual Data'!$AW$29</definedName>
    <definedName name="perc_hot_water_faucet_2030">'Annual Data'!$AW$30</definedName>
    <definedName name="perc_hot_water_shower">'Supporting Data'!$B$12</definedName>
    <definedName name="perc_hot_water_shower_2007">'Annual Data'!$AX$7</definedName>
    <definedName name="perc_hot_water_shower_2008">'Annual Data'!$AX$8</definedName>
    <definedName name="perc_hot_water_shower_2009">'Annual Data'!$AX$9</definedName>
    <definedName name="perc_hot_water_shower_2010">'Annual Data'!$AX$10</definedName>
    <definedName name="perc_hot_water_shower_2011">'Annual Data'!$AX$11</definedName>
    <definedName name="perc_hot_water_shower_2012">'Annual Data'!$AX$12</definedName>
    <definedName name="perc_hot_water_shower_2013">'Annual Data'!$AX$13</definedName>
    <definedName name="perc_hot_water_shower_2014">'Annual Data'!$AX$14</definedName>
    <definedName name="perc_hot_water_shower_2015">'Annual Data'!$AX$15</definedName>
    <definedName name="perc_hot_water_shower_2016">'Annual Data'!$AX$16</definedName>
    <definedName name="perc_hot_water_shower_2017">'Annual Data'!$AX$17</definedName>
    <definedName name="perc_hot_water_shower_2018">'Annual Data'!$AX$18</definedName>
    <definedName name="perc_hot_water_shower_2019">'Annual Data'!$AX$19</definedName>
    <definedName name="perc_hot_water_shower_2020">'Annual Data'!$AX$20</definedName>
    <definedName name="perc_hot_water_shower_2021">'Annual Data'!$AX$21</definedName>
    <definedName name="perc_hot_water_shower_2022">'Annual Data'!$AX$22</definedName>
    <definedName name="perc_hot_water_shower_2023">'Annual Data'!$AX$23</definedName>
    <definedName name="perc_hot_water_shower_2024">'Annual Data'!$AX$24</definedName>
    <definedName name="perc_hot_water_shower_2025">'Annual Data'!$AX$25</definedName>
    <definedName name="perc_hot_water_shower_2026">'Annual Data'!$AX$26</definedName>
    <definedName name="perc_hot_water_shower_2027">'Annual Data'!$AX$27</definedName>
    <definedName name="perc_hot_water_shower_2028">'Annual Data'!$AX$28</definedName>
    <definedName name="perc_hot_water_shower_2029">'Annual Data'!$AX$29</definedName>
    <definedName name="perc_hot_water_shower_2030">'Annual Data'!$AX$30</definedName>
    <definedName name="_xlnm.Print_Area" localSheetId="6">Savings!$A$1:$K$31</definedName>
    <definedName name="Savings_home_in_cold_climate">'Supporting Data'!$B$39</definedName>
    <definedName name="Savings_home_in_hot_climate">'Supporting Data'!$B$38</definedName>
    <definedName name="sencount" hidden="1">1</definedName>
    <definedName name="Showerheads_co2">Showerheads!$U$7:$U$30</definedName>
    <definedName name="Showerheads_h2o" localSheetId="24">Savings[Showerheads]</definedName>
    <definedName name="Showerheads_h2o" localSheetId="4">Savings[Showerheads]</definedName>
    <definedName name="Showerheads_h2o">Savings[Showerheads]</definedName>
    <definedName name="Showerheads_kwh">Showerheads!$R$7:$R$30</definedName>
    <definedName name="Showerheads_USD">Showerheads!$AG$7:$AG$30</definedName>
    <definedName name="SMSs_co2">SMSs!$I$7:$I$30</definedName>
    <definedName name="SMSs_h2o" localSheetId="24">Savings[SMSs]</definedName>
    <definedName name="SMSs_h2o" localSheetId="4">Savings[SMSs]</definedName>
    <definedName name="SMSs_h2o">Savings[SMSs]</definedName>
    <definedName name="SMSs_kwh">SMSs!$F$7:$F$30</definedName>
    <definedName name="SMSs_USD">SMSs!$L$7:$L$30</definedName>
    <definedName name="sp_heat_water">'Supporting Data'!$B$31</definedName>
    <definedName name="SSBs_co2">SSBs!$I$7:$I$30</definedName>
    <definedName name="SSBs_h2o" localSheetId="24">Savings[SSBs]</definedName>
    <definedName name="SSBs_h2o" localSheetId="4">Savings[SSBs]</definedName>
    <definedName name="SSBs_h2o">Savings[SSBs]</definedName>
    <definedName name="SSBs_kwh">SSBs!$F$7:$F$30</definedName>
    <definedName name="SSBs_USD">SSBs!$L$7:$L$30</definedName>
    <definedName name="T_rise_comm">'Supporting Data'!$B$17</definedName>
    <definedName name="T_rise_res">'Supporting Data'!$B$16</definedName>
    <definedName name="T_wtr_inlet">'Supporting Data'!$B$15</definedName>
    <definedName name="therms_gal_comm">'Supporting Data'!$B$33</definedName>
    <definedName name="therms_per_mcf">'Supporting Data'!$B$25</definedName>
    <definedName name="Toilets_co2">Toilets!$I$7:$I$30</definedName>
    <definedName name="Toilets_h2o" localSheetId="24">Savings[Toilets]</definedName>
    <definedName name="Toilets_h2o" localSheetId="4">Savings[Toilets]</definedName>
    <definedName name="Toilets_h2o">Savings[Toilets]</definedName>
    <definedName name="Toilets_kwh">Toilets!$F$7:$F$30</definedName>
    <definedName name="Toilets_USD">Toilets!$L$7:$L$30</definedName>
    <definedName name="tons_co2_per_kwh">'Supporting Data'!$B$4</definedName>
    <definedName name="tons_co2_per_therm">'Supporting Data'!$B$5</definedName>
    <definedName name="total_wslh">Homes_calc!$M$9:$M$30</definedName>
    <definedName name="Urinals_co2">Urinals!$I$7:$I$30</definedName>
    <definedName name="Urinals_h2o" localSheetId="24">Savings[Urinals]</definedName>
    <definedName name="Urinals_h2o" localSheetId="4">Savings[Urinals]</definedName>
    <definedName name="Urinals_h2o">Savings[Urinals]</definedName>
    <definedName name="Urinals_kwh">Urinals!$F$7:$F$30</definedName>
    <definedName name="Urinals_USD">Urinals!$L$7:$L$30</definedName>
    <definedName name="water_com" localSheetId="13">Table17[Commercial]</definedName>
    <definedName name="water_com" localSheetId="6">Table17[Commercial]</definedName>
    <definedName name="water_com" localSheetId="22">Table17[Commercial]</definedName>
    <definedName name="water_com" localSheetId="24">Table17[Commercial]</definedName>
    <definedName name="water_com" localSheetId="4">Table17[Commercial]</definedName>
    <definedName name="water_com">Table17[Commercial]</definedName>
    <definedName name="water_res" localSheetId="6">Table17[Residential]</definedName>
    <definedName name="water_res" localSheetId="22">Table17[Residential]</definedName>
    <definedName name="water_res" localSheetId="24">Table17[Residential]</definedName>
    <definedName name="water_res" localSheetId="4">Table17[Residential]</definedName>
    <definedName name="water_res">Table17[Residential]</definedName>
    <definedName name="water_weight">'Supporting Data'!$B$29</definedName>
    <definedName name="watercost_res" localSheetId="2">Table17[Residential]</definedName>
    <definedName name="watercost_res" localSheetId="4">Table17[Residential]</definedName>
    <definedName name="WBICs_co2">WBICs!$I$7:$I$30</definedName>
    <definedName name="WBICs_h2o" localSheetId="24">Savings[WBICs]</definedName>
    <definedName name="WBICs_h2o" localSheetId="4">Savings[WBICs]</definedName>
    <definedName name="WBICs_h2o">Savings[WBICs]</definedName>
    <definedName name="WBICs_kwh">WBICs!$F$7:$F$30</definedName>
    <definedName name="WBICs_USD">WBICs!$L$7:$L$30</definedName>
    <definedName name="WH_setpoint">'Supporting Data'!$B$14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4" l="1"/>
  <c r="AA25" i="39"/>
  <c r="AA26" i="39"/>
  <c r="AA27" i="39"/>
  <c r="AA28" i="39"/>
  <c r="AA29" i="39"/>
  <c r="AA30" i="39"/>
  <c r="BH7" i="16" l="1"/>
  <c r="BG7" i="16"/>
  <c r="B22" i="41"/>
  <c r="B3" i="47"/>
  <c r="F60" i="40"/>
  <c r="M9" i="40"/>
  <c r="N9" i="40" s="1" a="1"/>
  <c r="N9" i="40" s="1"/>
  <c r="D8" i="40"/>
  <c r="C37" i="40"/>
  <c r="C42" i="40" l="1"/>
  <c r="C56" i="40"/>
  <c r="C69" i="40" l="1"/>
  <c r="AW7" i="16" a="1"/>
  <c r="AW7" i="16" s="1"/>
  <c r="AO7" i="16"/>
  <c r="AS3" i="16"/>
  <c r="B21" i="41"/>
  <c r="C2" i="48"/>
  <c r="BG3" i="16"/>
  <c r="BG2" i="16"/>
  <c r="AO3" i="16"/>
  <c r="AO2" i="16"/>
  <c r="AP7" i="16"/>
  <c r="AP8" i="16"/>
  <c r="AP9" i="16"/>
  <c r="AP10" i="16"/>
  <c r="AP11" i="16"/>
  <c r="AP12" i="16"/>
  <c r="AP13" i="16"/>
  <c r="AP14" i="16"/>
  <c r="AP15" i="16"/>
  <c r="AP16" i="16"/>
  <c r="AP17" i="16"/>
  <c r="AP18" i="16"/>
  <c r="AP19" i="16"/>
  <c r="AP20" i="16"/>
  <c r="AP21" i="16"/>
  <c r="AP22" i="16"/>
  <c r="AP23" i="16"/>
  <c r="AP24" i="16"/>
  <c r="AP25" i="16"/>
  <c r="AP26" i="16"/>
  <c r="AP27" i="16"/>
  <c r="AP28" i="16"/>
  <c r="AP29" i="16"/>
  <c r="AP30" i="16"/>
  <c r="C2" i="36" l="1"/>
  <c r="M10" i="40" l="1"/>
  <c r="M11" i="40"/>
  <c r="M12" i="40"/>
  <c r="M13" i="40"/>
  <c r="M14" i="40"/>
  <c r="M15" i="40"/>
  <c r="M16" i="40"/>
  <c r="M17" i="40"/>
  <c r="M18" i="40"/>
  <c r="M19" i="40"/>
  <c r="M20" i="40"/>
  <c r="M21" i="40"/>
  <c r="M22" i="40"/>
  <c r="M23" i="40"/>
  <c r="M24" i="40"/>
  <c r="M25" i="40"/>
  <c r="M26" i="40"/>
  <c r="M27" i="40"/>
  <c r="M28" i="40"/>
  <c r="M29" i="40"/>
  <c r="M30" i="40"/>
  <c r="C43" i="40"/>
  <c r="D43" i="40"/>
  <c r="D70" i="40" s="1"/>
  <c r="E43" i="40"/>
  <c r="F43" i="40"/>
  <c r="G43" i="40"/>
  <c r="H43" i="40"/>
  <c r="I43" i="40"/>
  <c r="J43" i="40"/>
  <c r="K43" i="40"/>
  <c r="L43" i="40"/>
  <c r="M43" i="40"/>
  <c r="N43" i="40"/>
  <c r="O43" i="40"/>
  <c r="P43" i="40"/>
  <c r="Q43" i="40"/>
  <c r="R43" i="40"/>
  <c r="S43" i="40"/>
  <c r="T43" i="40"/>
  <c r="U43" i="40"/>
  <c r="V43" i="40"/>
  <c r="W43" i="40"/>
  <c r="X43" i="40"/>
  <c r="Y43" i="40"/>
  <c r="Z43" i="40"/>
  <c r="AA43" i="40"/>
  <c r="AB43" i="40"/>
  <c r="AC43" i="40"/>
  <c r="AD43" i="40"/>
  <c r="AE43" i="40"/>
  <c r="AF43" i="40"/>
  <c r="AG43" i="40"/>
  <c r="AH43" i="40"/>
  <c r="AI43" i="40"/>
  <c r="AJ43" i="40"/>
  <c r="AK43" i="40"/>
  <c r="AL43" i="40"/>
  <c r="AM43" i="40"/>
  <c r="AN43" i="40"/>
  <c r="AO43" i="40"/>
  <c r="AP43" i="40"/>
  <c r="AQ43" i="40"/>
  <c r="AR43" i="40"/>
  <c r="AS43" i="40"/>
  <c r="AT43" i="40"/>
  <c r="AU43" i="40"/>
  <c r="AV43" i="40"/>
  <c r="AW43" i="40"/>
  <c r="AX43" i="40"/>
  <c r="AY43" i="40"/>
  <c r="AZ43" i="40"/>
  <c r="BA43" i="40"/>
  <c r="C44" i="40"/>
  <c r="D44" i="40"/>
  <c r="E44" i="40"/>
  <c r="F44" i="40"/>
  <c r="G44" i="40"/>
  <c r="H44" i="40"/>
  <c r="I44" i="40"/>
  <c r="J44" i="40"/>
  <c r="K44" i="40"/>
  <c r="L44" i="40"/>
  <c r="M44" i="40"/>
  <c r="N44" i="40"/>
  <c r="O44" i="40"/>
  <c r="P44" i="40"/>
  <c r="Q44" i="40"/>
  <c r="R44" i="40"/>
  <c r="S44" i="40"/>
  <c r="T44" i="40"/>
  <c r="U44" i="40"/>
  <c r="V44" i="40"/>
  <c r="W44" i="40"/>
  <c r="X44" i="40"/>
  <c r="Y44" i="40"/>
  <c r="Z44" i="40"/>
  <c r="AA44" i="40"/>
  <c r="AB44" i="40"/>
  <c r="AC44" i="40"/>
  <c r="AD44" i="40"/>
  <c r="AE44" i="40"/>
  <c r="AF44" i="40"/>
  <c r="AG44" i="40"/>
  <c r="AH44" i="40"/>
  <c r="AI44" i="40"/>
  <c r="AJ44" i="40"/>
  <c r="AK44" i="40"/>
  <c r="AL44" i="40"/>
  <c r="AM44" i="40"/>
  <c r="AN44" i="40"/>
  <c r="AO44" i="40"/>
  <c r="AP44" i="40"/>
  <c r="AQ44" i="40"/>
  <c r="AR44" i="40"/>
  <c r="AS44" i="40"/>
  <c r="AT44" i="40"/>
  <c r="AU44" i="40"/>
  <c r="AV44" i="40"/>
  <c r="AW44" i="40"/>
  <c r="AX44" i="40"/>
  <c r="AY44" i="40"/>
  <c r="AZ44" i="40"/>
  <c r="BA44" i="40"/>
  <c r="C45" i="40"/>
  <c r="D45" i="40"/>
  <c r="E45" i="40"/>
  <c r="F45" i="40"/>
  <c r="G45" i="40"/>
  <c r="H45" i="40"/>
  <c r="I45" i="40"/>
  <c r="J45" i="40"/>
  <c r="K45" i="40"/>
  <c r="L45" i="40"/>
  <c r="M45" i="40"/>
  <c r="N45" i="40"/>
  <c r="O45" i="40"/>
  <c r="P45" i="40"/>
  <c r="Q45" i="40"/>
  <c r="R45" i="40"/>
  <c r="S45" i="40"/>
  <c r="T45" i="40"/>
  <c r="U45" i="40"/>
  <c r="V45" i="40"/>
  <c r="W45" i="40"/>
  <c r="X45" i="40"/>
  <c r="Y45" i="40"/>
  <c r="Z45" i="40"/>
  <c r="AA45" i="40"/>
  <c r="AB45" i="40"/>
  <c r="AC45" i="40"/>
  <c r="AD45" i="40"/>
  <c r="AE45" i="40"/>
  <c r="AF45" i="40"/>
  <c r="AG45" i="40"/>
  <c r="AH45" i="40"/>
  <c r="AI45" i="40"/>
  <c r="AJ45" i="40"/>
  <c r="AK45" i="40"/>
  <c r="AL45" i="40"/>
  <c r="AM45" i="40"/>
  <c r="AN45" i="40"/>
  <c r="AO45" i="40"/>
  <c r="AP45" i="40"/>
  <c r="AQ45" i="40"/>
  <c r="AR45" i="40"/>
  <c r="AS45" i="40"/>
  <c r="AT45" i="40"/>
  <c r="AU45" i="40"/>
  <c r="AV45" i="40"/>
  <c r="AW45" i="40"/>
  <c r="AX45" i="40"/>
  <c r="AY45" i="40"/>
  <c r="AZ45" i="40"/>
  <c r="BA45" i="40"/>
  <c r="C46" i="40"/>
  <c r="D46" i="40"/>
  <c r="E46" i="40"/>
  <c r="F46" i="40"/>
  <c r="G46" i="40"/>
  <c r="H46" i="40"/>
  <c r="I46" i="40"/>
  <c r="J46" i="40"/>
  <c r="K46" i="40"/>
  <c r="L46" i="40"/>
  <c r="M46" i="40"/>
  <c r="N46" i="40"/>
  <c r="O46" i="40"/>
  <c r="P46" i="40"/>
  <c r="Q46" i="40"/>
  <c r="R46" i="40"/>
  <c r="S46" i="40"/>
  <c r="T46" i="40"/>
  <c r="U46" i="40"/>
  <c r="V46" i="40"/>
  <c r="W46" i="40"/>
  <c r="X46" i="40"/>
  <c r="Y46" i="40"/>
  <c r="Z46" i="40"/>
  <c r="AA46" i="40"/>
  <c r="AB46" i="40"/>
  <c r="AC46" i="40"/>
  <c r="AD46" i="40"/>
  <c r="AE46" i="40"/>
  <c r="AF46" i="40"/>
  <c r="AG46" i="40"/>
  <c r="AH46" i="40"/>
  <c r="AI46" i="40"/>
  <c r="AJ46" i="40"/>
  <c r="AK46" i="40"/>
  <c r="AL46" i="40"/>
  <c r="AM46" i="40"/>
  <c r="AN46" i="40"/>
  <c r="AO46" i="40"/>
  <c r="AP46" i="40"/>
  <c r="AQ46" i="40"/>
  <c r="AR46" i="40"/>
  <c r="AS46" i="40"/>
  <c r="AT46" i="40"/>
  <c r="AU46" i="40"/>
  <c r="AV46" i="40"/>
  <c r="AW46" i="40"/>
  <c r="AX46" i="40"/>
  <c r="AY46" i="40"/>
  <c r="AZ46" i="40"/>
  <c r="BA46" i="40"/>
  <c r="C47" i="40"/>
  <c r="D47" i="40"/>
  <c r="E47" i="40"/>
  <c r="F47" i="40"/>
  <c r="G47" i="40"/>
  <c r="H47" i="40"/>
  <c r="I47" i="40"/>
  <c r="J47" i="40"/>
  <c r="K47" i="40"/>
  <c r="L47" i="40"/>
  <c r="M47" i="40"/>
  <c r="N47" i="40"/>
  <c r="O47" i="40"/>
  <c r="P47" i="40"/>
  <c r="Q47" i="40"/>
  <c r="R47" i="40"/>
  <c r="S47" i="40"/>
  <c r="T47" i="40"/>
  <c r="U47" i="40"/>
  <c r="V47" i="40"/>
  <c r="W47" i="40"/>
  <c r="X47" i="40"/>
  <c r="Y47" i="40"/>
  <c r="Z47" i="40"/>
  <c r="AA47" i="40"/>
  <c r="AB47" i="40"/>
  <c r="AC47" i="40"/>
  <c r="AD47" i="40"/>
  <c r="AE47" i="40"/>
  <c r="AF47" i="40"/>
  <c r="AG47" i="40"/>
  <c r="AH47" i="40"/>
  <c r="AI47" i="40"/>
  <c r="AJ47" i="40"/>
  <c r="AK47" i="40"/>
  <c r="AL47" i="40"/>
  <c r="AM47" i="40"/>
  <c r="AN47" i="40"/>
  <c r="AO47" i="40"/>
  <c r="AP47" i="40"/>
  <c r="AQ47" i="40"/>
  <c r="AR47" i="40"/>
  <c r="AS47" i="40"/>
  <c r="AT47" i="40"/>
  <c r="AU47" i="40"/>
  <c r="AV47" i="40"/>
  <c r="AW47" i="40"/>
  <c r="AX47" i="40"/>
  <c r="AY47" i="40"/>
  <c r="AZ47" i="40"/>
  <c r="BA47" i="40"/>
  <c r="C48" i="40"/>
  <c r="D48" i="40"/>
  <c r="E48" i="40"/>
  <c r="F48" i="40"/>
  <c r="G48" i="40"/>
  <c r="H48" i="40"/>
  <c r="I48" i="40"/>
  <c r="J48" i="40"/>
  <c r="K48" i="40"/>
  <c r="L48" i="40"/>
  <c r="M48" i="40"/>
  <c r="N48" i="40"/>
  <c r="O48" i="40"/>
  <c r="P48" i="40"/>
  <c r="Q48" i="40"/>
  <c r="R48" i="40"/>
  <c r="S48" i="40"/>
  <c r="T48" i="40"/>
  <c r="U48" i="40"/>
  <c r="V48" i="40"/>
  <c r="W48" i="40"/>
  <c r="X48" i="40"/>
  <c r="Y48" i="40"/>
  <c r="Z48" i="40"/>
  <c r="AA48" i="40"/>
  <c r="AB48" i="40"/>
  <c r="AC48" i="40"/>
  <c r="AD48" i="40"/>
  <c r="AE48" i="40"/>
  <c r="AF48" i="40"/>
  <c r="AG48" i="40"/>
  <c r="AH48" i="40"/>
  <c r="AI48" i="40"/>
  <c r="AJ48" i="40"/>
  <c r="AK48" i="40"/>
  <c r="AL48" i="40"/>
  <c r="AM48" i="40"/>
  <c r="AN48" i="40"/>
  <c r="AO48" i="40"/>
  <c r="AP48" i="40"/>
  <c r="AQ48" i="40"/>
  <c r="AR48" i="40"/>
  <c r="AS48" i="40"/>
  <c r="AT48" i="40"/>
  <c r="AU48" i="40"/>
  <c r="AV48" i="40"/>
  <c r="AW48" i="40"/>
  <c r="AX48" i="40"/>
  <c r="AY48" i="40"/>
  <c r="AZ48" i="40"/>
  <c r="BA48" i="40"/>
  <c r="C49" i="40"/>
  <c r="D49" i="40"/>
  <c r="E49" i="40"/>
  <c r="F49" i="40"/>
  <c r="G49" i="40"/>
  <c r="H49" i="40"/>
  <c r="I49" i="40"/>
  <c r="J49" i="40"/>
  <c r="K49" i="40"/>
  <c r="L49" i="40"/>
  <c r="M49" i="40"/>
  <c r="N49" i="40"/>
  <c r="O49" i="40"/>
  <c r="P49" i="40"/>
  <c r="Q49" i="40"/>
  <c r="R49" i="40"/>
  <c r="S49" i="40"/>
  <c r="T49" i="40"/>
  <c r="U49" i="40"/>
  <c r="V49" i="40"/>
  <c r="W49" i="40"/>
  <c r="X49" i="40"/>
  <c r="Y49" i="40"/>
  <c r="Z49" i="40"/>
  <c r="AA49" i="40"/>
  <c r="AB49" i="40"/>
  <c r="AC49" i="40"/>
  <c r="AD49" i="40"/>
  <c r="AE49" i="40"/>
  <c r="AF49" i="40"/>
  <c r="AG49" i="40"/>
  <c r="AH49" i="40"/>
  <c r="AI49" i="40"/>
  <c r="AJ49" i="40"/>
  <c r="AK49" i="40"/>
  <c r="AL49" i="40"/>
  <c r="AM49" i="40"/>
  <c r="AN49" i="40"/>
  <c r="AO49" i="40"/>
  <c r="AP49" i="40"/>
  <c r="AQ49" i="40"/>
  <c r="AR49" i="40"/>
  <c r="AS49" i="40"/>
  <c r="AT49" i="40"/>
  <c r="AU49" i="40"/>
  <c r="AV49" i="40"/>
  <c r="AW49" i="40"/>
  <c r="AX49" i="40"/>
  <c r="AY49" i="40"/>
  <c r="AZ49" i="40"/>
  <c r="BA49" i="40"/>
  <c r="C50" i="40"/>
  <c r="D50" i="40"/>
  <c r="E50" i="40"/>
  <c r="F50" i="40"/>
  <c r="G50" i="40"/>
  <c r="H50" i="40"/>
  <c r="I50" i="40"/>
  <c r="J50" i="40"/>
  <c r="K50" i="40"/>
  <c r="L50" i="40"/>
  <c r="M50" i="40"/>
  <c r="N50" i="40"/>
  <c r="O50" i="40"/>
  <c r="P50" i="40"/>
  <c r="Q50" i="40"/>
  <c r="R50" i="40"/>
  <c r="S50" i="40"/>
  <c r="T50" i="40"/>
  <c r="U50" i="40"/>
  <c r="V50" i="40"/>
  <c r="W50" i="40"/>
  <c r="X50" i="40"/>
  <c r="Y50" i="40"/>
  <c r="Z50" i="40"/>
  <c r="AA50" i="40"/>
  <c r="AB50" i="40"/>
  <c r="AC50" i="40"/>
  <c r="AD50" i="40"/>
  <c r="AE50" i="40"/>
  <c r="AF50" i="40"/>
  <c r="AG50" i="40"/>
  <c r="AH50" i="40"/>
  <c r="AI50" i="40"/>
  <c r="AJ50" i="40"/>
  <c r="AK50" i="40"/>
  <c r="AL50" i="40"/>
  <c r="AM50" i="40"/>
  <c r="AN50" i="40"/>
  <c r="AO50" i="40"/>
  <c r="AP50" i="40"/>
  <c r="AQ50" i="40"/>
  <c r="AR50" i="40"/>
  <c r="AS50" i="40"/>
  <c r="AT50" i="40"/>
  <c r="AU50" i="40"/>
  <c r="AV50" i="40"/>
  <c r="AW50" i="40"/>
  <c r="AX50" i="40"/>
  <c r="AY50" i="40"/>
  <c r="AZ50" i="40"/>
  <c r="BA50" i="40"/>
  <c r="C51" i="40"/>
  <c r="D51" i="40"/>
  <c r="E51" i="40"/>
  <c r="F51" i="40"/>
  <c r="G51" i="40"/>
  <c r="H51" i="40"/>
  <c r="I51" i="40"/>
  <c r="J51" i="40"/>
  <c r="K51" i="40"/>
  <c r="L51" i="40"/>
  <c r="M51" i="40"/>
  <c r="N51" i="40"/>
  <c r="O51" i="40"/>
  <c r="P51" i="40"/>
  <c r="Q51" i="40"/>
  <c r="R51" i="40"/>
  <c r="S51" i="40"/>
  <c r="T51" i="40"/>
  <c r="U51" i="40"/>
  <c r="V51" i="40"/>
  <c r="W51" i="40"/>
  <c r="X51" i="40"/>
  <c r="Y51" i="40"/>
  <c r="Z51" i="40"/>
  <c r="AA51" i="40"/>
  <c r="AB51" i="40"/>
  <c r="AC51" i="40"/>
  <c r="AD51" i="40"/>
  <c r="AE51" i="40"/>
  <c r="AF51" i="40"/>
  <c r="AG51" i="40"/>
  <c r="AH51" i="40"/>
  <c r="AI51" i="40"/>
  <c r="AJ51" i="40"/>
  <c r="AK51" i="40"/>
  <c r="AL51" i="40"/>
  <c r="AM51" i="40"/>
  <c r="AN51" i="40"/>
  <c r="AO51" i="40"/>
  <c r="AP51" i="40"/>
  <c r="AQ51" i="40"/>
  <c r="AR51" i="40"/>
  <c r="AS51" i="40"/>
  <c r="AT51" i="40"/>
  <c r="AU51" i="40"/>
  <c r="AV51" i="40"/>
  <c r="AW51" i="40"/>
  <c r="AX51" i="40"/>
  <c r="AY51" i="40"/>
  <c r="AZ51" i="40"/>
  <c r="BA51" i="40"/>
  <c r="C52" i="40"/>
  <c r="D52" i="40"/>
  <c r="E52" i="40"/>
  <c r="F52" i="40"/>
  <c r="G52" i="40"/>
  <c r="H52" i="40"/>
  <c r="I52" i="40"/>
  <c r="J52" i="40"/>
  <c r="K52" i="40"/>
  <c r="L52" i="40"/>
  <c r="M52" i="40"/>
  <c r="N52" i="40"/>
  <c r="O52" i="40"/>
  <c r="P52" i="40"/>
  <c r="Q52" i="40"/>
  <c r="R52" i="40"/>
  <c r="S52" i="40"/>
  <c r="T52" i="40"/>
  <c r="U52" i="40"/>
  <c r="V52" i="40"/>
  <c r="W52" i="40"/>
  <c r="X52" i="40"/>
  <c r="Y52" i="40"/>
  <c r="Z52" i="40"/>
  <c r="AA52" i="40"/>
  <c r="AB52" i="40"/>
  <c r="AC52" i="40"/>
  <c r="AD52" i="40"/>
  <c r="AE52" i="40"/>
  <c r="AF52" i="40"/>
  <c r="AG52" i="40"/>
  <c r="AH52" i="40"/>
  <c r="AI52" i="40"/>
  <c r="AJ52" i="40"/>
  <c r="AK52" i="40"/>
  <c r="AL52" i="40"/>
  <c r="AM52" i="40"/>
  <c r="AN52" i="40"/>
  <c r="AO52" i="40"/>
  <c r="AP52" i="40"/>
  <c r="AQ52" i="40"/>
  <c r="AR52" i="40"/>
  <c r="AS52" i="40"/>
  <c r="AT52" i="40"/>
  <c r="AU52" i="40"/>
  <c r="AV52" i="40"/>
  <c r="AW52" i="40"/>
  <c r="AX52" i="40"/>
  <c r="AY52" i="40"/>
  <c r="AZ52" i="40"/>
  <c r="BA52" i="40"/>
  <c r="C53" i="40"/>
  <c r="D53" i="40"/>
  <c r="E53" i="40"/>
  <c r="F53" i="40"/>
  <c r="G53" i="40"/>
  <c r="H53" i="40"/>
  <c r="I53" i="40"/>
  <c r="J53" i="40"/>
  <c r="K53" i="40"/>
  <c r="L53" i="40"/>
  <c r="M53" i="40"/>
  <c r="N53" i="40"/>
  <c r="O53" i="40"/>
  <c r="P53" i="40"/>
  <c r="Q53" i="40"/>
  <c r="R53" i="40"/>
  <c r="S53" i="40"/>
  <c r="T53" i="40"/>
  <c r="U53" i="40"/>
  <c r="V53" i="40"/>
  <c r="W53" i="40"/>
  <c r="X53" i="40"/>
  <c r="Y53" i="40"/>
  <c r="Z53" i="40"/>
  <c r="AA53" i="40"/>
  <c r="AB53" i="40"/>
  <c r="AC53" i="40"/>
  <c r="AD53" i="40"/>
  <c r="AE53" i="40"/>
  <c r="AF53" i="40"/>
  <c r="AG53" i="40"/>
  <c r="AH53" i="40"/>
  <c r="AI53" i="40"/>
  <c r="AJ53" i="40"/>
  <c r="AK53" i="40"/>
  <c r="AL53" i="40"/>
  <c r="AM53" i="40"/>
  <c r="AN53" i="40"/>
  <c r="AO53" i="40"/>
  <c r="AP53" i="40"/>
  <c r="AQ53" i="40"/>
  <c r="AR53" i="40"/>
  <c r="AS53" i="40"/>
  <c r="AT53" i="40"/>
  <c r="AU53" i="40"/>
  <c r="AV53" i="40"/>
  <c r="AW53" i="40"/>
  <c r="AX53" i="40"/>
  <c r="AY53" i="40"/>
  <c r="AZ53" i="40"/>
  <c r="BA53" i="40"/>
  <c r="C54" i="40"/>
  <c r="D54" i="40"/>
  <c r="E54" i="40"/>
  <c r="F54" i="40"/>
  <c r="G54" i="40"/>
  <c r="H54" i="40"/>
  <c r="I54" i="40"/>
  <c r="J54" i="40"/>
  <c r="K54" i="40"/>
  <c r="L54" i="40"/>
  <c r="M54" i="40"/>
  <c r="N54" i="40"/>
  <c r="O54" i="40"/>
  <c r="P54" i="40"/>
  <c r="Q54" i="40"/>
  <c r="R54" i="40"/>
  <c r="S54" i="40"/>
  <c r="T54" i="40"/>
  <c r="U54" i="40"/>
  <c r="V54" i="40"/>
  <c r="W54" i="40"/>
  <c r="X54" i="40"/>
  <c r="Y54" i="40"/>
  <c r="Z54" i="40"/>
  <c r="AA54" i="40"/>
  <c r="AB54" i="40"/>
  <c r="AC54" i="40"/>
  <c r="AD54" i="40"/>
  <c r="AE54" i="40"/>
  <c r="AF54" i="40"/>
  <c r="AG54" i="40"/>
  <c r="AH54" i="40"/>
  <c r="AI54" i="40"/>
  <c r="AJ54" i="40"/>
  <c r="AK54" i="40"/>
  <c r="AL54" i="40"/>
  <c r="AM54" i="40"/>
  <c r="AN54" i="40"/>
  <c r="AO54" i="40"/>
  <c r="AP54" i="40"/>
  <c r="AQ54" i="40"/>
  <c r="AR54" i="40"/>
  <c r="AS54" i="40"/>
  <c r="AT54" i="40"/>
  <c r="AU54" i="40"/>
  <c r="AV54" i="40"/>
  <c r="AW54" i="40"/>
  <c r="AX54" i="40"/>
  <c r="AY54" i="40"/>
  <c r="AZ54" i="40"/>
  <c r="BA54" i="40"/>
  <c r="C55" i="40"/>
  <c r="D55" i="40"/>
  <c r="E55" i="40"/>
  <c r="F55" i="40"/>
  <c r="G55" i="40"/>
  <c r="H55" i="40"/>
  <c r="I55" i="40"/>
  <c r="J55" i="40"/>
  <c r="K55" i="40"/>
  <c r="L55" i="40"/>
  <c r="M55" i="40"/>
  <c r="N55" i="40"/>
  <c r="O55" i="40"/>
  <c r="P55" i="40"/>
  <c r="Q55" i="40"/>
  <c r="R55" i="40"/>
  <c r="S55" i="40"/>
  <c r="T55" i="40"/>
  <c r="U55" i="40"/>
  <c r="V55" i="40"/>
  <c r="W55" i="40"/>
  <c r="X55" i="40"/>
  <c r="Y55" i="40"/>
  <c r="Z55" i="40"/>
  <c r="AA55" i="40"/>
  <c r="AB55" i="40"/>
  <c r="AC55" i="40"/>
  <c r="AD55" i="40"/>
  <c r="AE55" i="40"/>
  <c r="AF55" i="40"/>
  <c r="AG55" i="40"/>
  <c r="AH55" i="40"/>
  <c r="AI55" i="40"/>
  <c r="AJ55" i="40"/>
  <c r="AK55" i="40"/>
  <c r="AL55" i="40"/>
  <c r="AM55" i="40"/>
  <c r="AN55" i="40"/>
  <c r="AO55" i="40"/>
  <c r="AP55" i="40"/>
  <c r="AQ55" i="40"/>
  <c r="AR55" i="40"/>
  <c r="AS55" i="40"/>
  <c r="AT55" i="40"/>
  <c r="AU55" i="40"/>
  <c r="AV55" i="40"/>
  <c r="AW55" i="40"/>
  <c r="AX55" i="40"/>
  <c r="AY55" i="40"/>
  <c r="AZ55" i="40"/>
  <c r="BA55" i="40"/>
  <c r="D56" i="40"/>
  <c r="E56" i="40"/>
  <c r="F56" i="40"/>
  <c r="G56" i="40"/>
  <c r="H56" i="40"/>
  <c r="I56" i="40"/>
  <c r="J56" i="40"/>
  <c r="K56" i="40"/>
  <c r="L56" i="40"/>
  <c r="M56" i="40"/>
  <c r="N56" i="40"/>
  <c r="O56" i="40"/>
  <c r="P56" i="40"/>
  <c r="Q56" i="40"/>
  <c r="R56" i="40"/>
  <c r="S56" i="40"/>
  <c r="T56" i="40"/>
  <c r="U56" i="40"/>
  <c r="V56" i="40"/>
  <c r="W56" i="40"/>
  <c r="X56" i="40"/>
  <c r="Y56" i="40"/>
  <c r="Z56" i="40"/>
  <c r="AA56" i="40"/>
  <c r="AB56" i="40"/>
  <c r="AC56" i="40"/>
  <c r="AD56" i="40"/>
  <c r="AE56" i="40"/>
  <c r="AF56" i="40"/>
  <c r="AG56" i="40"/>
  <c r="AH56" i="40"/>
  <c r="AI56" i="40"/>
  <c r="AJ56" i="40"/>
  <c r="AK56" i="40"/>
  <c r="AL56" i="40"/>
  <c r="AM56" i="40"/>
  <c r="AN56" i="40"/>
  <c r="AO56" i="40"/>
  <c r="AP56" i="40"/>
  <c r="AQ56" i="40"/>
  <c r="AR56" i="40"/>
  <c r="AS56" i="40"/>
  <c r="AT56" i="40"/>
  <c r="AU56" i="40"/>
  <c r="AV56" i="40"/>
  <c r="AW56" i="40"/>
  <c r="AX56" i="40"/>
  <c r="AY56" i="40"/>
  <c r="AZ56" i="40"/>
  <c r="BA56" i="40"/>
  <c r="C57" i="40"/>
  <c r="D57" i="40"/>
  <c r="E57" i="40"/>
  <c r="F57" i="40"/>
  <c r="G57" i="40"/>
  <c r="H57" i="40"/>
  <c r="I57" i="40"/>
  <c r="J57" i="40"/>
  <c r="K57" i="40"/>
  <c r="L57" i="40"/>
  <c r="M57" i="40"/>
  <c r="N57" i="40"/>
  <c r="O57" i="40"/>
  <c r="P57" i="40"/>
  <c r="Q57" i="40"/>
  <c r="R57" i="40"/>
  <c r="S57" i="40"/>
  <c r="T57" i="40"/>
  <c r="U57" i="40"/>
  <c r="V57" i="40"/>
  <c r="W57" i="40"/>
  <c r="X57" i="40"/>
  <c r="Y57" i="40"/>
  <c r="Z57" i="40"/>
  <c r="AA57" i="40"/>
  <c r="AB57" i="40"/>
  <c r="AC57" i="40"/>
  <c r="AD57" i="40"/>
  <c r="AE57" i="40"/>
  <c r="AF57" i="40"/>
  <c r="AG57" i="40"/>
  <c r="AH57" i="40"/>
  <c r="AI57" i="40"/>
  <c r="AJ57" i="40"/>
  <c r="AK57" i="40"/>
  <c r="AL57" i="40"/>
  <c r="AM57" i="40"/>
  <c r="AN57" i="40"/>
  <c r="AO57" i="40"/>
  <c r="AP57" i="40"/>
  <c r="AQ57" i="40"/>
  <c r="AR57" i="40"/>
  <c r="AS57" i="40"/>
  <c r="AT57" i="40"/>
  <c r="AU57" i="40"/>
  <c r="AV57" i="40"/>
  <c r="AW57" i="40"/>
  <c r="AX57" i="40"/>
  <c r="AY57" i="40"/>
  <c r="AZ57" i="40"/>
  <c r="BA57" i="40"/>
  <c r="C58" i="40"/>
  <c r="D58" i="40"/>
  <c r="E58" i="40"/>
  <c r="F58" i="40"/>
  <c r="G58" i="40"/>
  <c r="H58" i="40"/>
  <c r="I58" i="40"/>
  <c r="J58" i="40"/>
  <c r="K58" i="40"/>
  <c r="L58" i="40"/>
  <c r="M58" i="40"/>
  <c r="N58" i="40"/>
  <c r="O58" i="40"/>
  <c r="P58" i="40"/>
  <c r="Q58" i="40"/>
  <c r="R58" i="40"/>
  <c r="S58" i="40"/>
  <c r="T58" i="40"/>
  <c r="U58" i="40"/>
  <c r="V58" i="40"/>
  <c r="W58" i="40"/>
  <c r="X58" i="40"/>
  <c r="Y58" i="40"/>
  <c r="Z58" i="40"/>
  <c r="AA58" i="40"/>
  <c r="AB58" i="40"/>
  <c r="AC58" i="40"/>
  <c r="AD58" i="40"/>
  <c r="AE58" i="40"/>
  <c r="AF58" i="40"/>
  <c r="AG58" i="40"/>
  <c r="AH58" i="40"/>
  <c r="AI58" i="40"/>
  <c r="AJ58" i="40"/>
  <c r="AK58" i="40"/>
  <c r="AL58" i="40"/>
  <c r="AM58" i="40"/>
  <c r="AN58" i="40"/>
  <c r="AO58" i="40"/>
  <c r="AP58" i="40"/>
  <c r="AQ58" i="40"/>
  <c r="AR58" i="40"/>
  <c r="AS58" i="40"/>
  <c r="AT58" i="40"/>
  <c r="AU58" i="40"/>
  <c r="AV58" i="40"/>
  <c r="AW58" i="40"/>
  <c r="AX58" i="40"/>
  <c r="AY58" i="40"/>
  <c r="AZ58" i="40"/>
  <c r="BA58" i="40"/>
  <c r="C59" i="40"/>
  <c r="D59" i="40"/>
  <c r="E59" i="40"/>
  <c r="F59" i="40"/>
  <c r="G59" i="40"/>
  <c r="H59" i="40"/>
  <c r="I59" i="40"/>
  <c r="J59" i="40"/>
  <c r="K59" i="40"/>
  <c r="L59" i="40"/>
  <c r="M59" i="40"/>
  <c r="N59" i="40"/>
  <c r="O59" i="40"/>
  <c r="P59" i="40"/>
  <c r="Q59" i="40"/>
  <c r="R59" i="40"/>
  <c r="S59" i="40"/>
  <c r="T59" i="40"/>
  <c r="U59" i="40"/>
  <c r="V59" i="40"/>
  <c r="W59" i="40"/>
  <c r="X59" i="40"/>
  <c r="Y59" i="40"/>
  <c r="Z59" i="40"/>
  <c r="AA59" i="40"/>
  <c r="AB59" i="40"/>
  <c r="AC59" i="40"/>
  <c r="AD59" i="40"/>
  <c r="AE59" i="40"/>
  <c r="AF59" i="40"/>
  <c r="AG59" i="40"/>
  <c r="AH59" i="40"/>
  <c r="AI59" i="40"/>
  <c r="AJ59" i="40"/>
  <c r="AK59" i="40"/>
  <c r="AL59" i="40"/>
  <c r="AM59" i="40"/>
  <c r="AN59" i="40"/>
  <c r="AO59" i="40"/>
  <c r="AP59" i="40"/>
  <c r="AQ59" i="40"/>
  <c r="AR59" i="40"/>
  <c r="AS59" i="40"/>
  <c r="AT59" i="40"/>
  <c r="AU59" i="40"/>
  <c r="AV59" i="40"/>
  <c r="AW59" i="40"/>
  <c r="AX59" i="40"/>
  <c r="AY59" i="40"/>
  <c r="AZ59" i="40"/>
  <c r="BA59" i="40"/>
  <c r="C60" i="40"/>
  <c r="D60" i="40"/>
  <c r="E60" i="40"/>
  <c r="G60" i="40"/>
  <c r="H60" i="40"/>
  <c r="I60" i="40"/>
  <c r="J60" i="40"/>
  <c r="K60" i="40"/>
  <c r="L60" i="40"/>
  <c r="M60" i="40"/>
  <c r="N60" i="40"/>
  <c r="O60" i="40"/>
  <c r="P60" i="40"/>
  <c r="Q60" i="40"/>
  <c r="R60" i="40"/>
  <c r="S60" i="40"/>
  <c r="T60" i="40"/>
  <c r="U60" i="40"/>
  <c r="V60" i="40"/>
  <c r="W60" i="40"/>
  <c r="X60" i="40"/>
  <c r="Y60" i="40"/>
  <c r="Z60" i="40"/>
  <c r="AA60" i="40"/>
  <c r="AB60" i="40"/>
  <c r="AC60" i="40"/>
  <c r="AD60" i="40"/>
  <c r="AE60" i="40"/>
  <c r="AF60" i="40"/>
  <c r="AG60" i="40"/>
  <c r="AH60" i="40"/>
  <c r="AI60" i="40"/>
  <c r="AJ60" i="40"/>
  <c r="AK60" i="40"/>
  <c r="AL60" i="40"/>
  <c r="AM60" i="40"/>
  <c r="AN60" i="40"/>
  <c r="AO60" i="40"/>
  <c r="AP60" i="40"/>
  <c r="AQ60" i="40"/>
  <c r="AR60" i="40"/>
  <c r="AS60" i="40"/>
  <c r="AT60" i="40"/>
  <c r="AU60" i="40"/>
  <c r="AV60" i="40"/>
  <c r="AW60" i="40"/>
  <c r="AX60" i="40"/>
  <c r="AY60" i="40"/>
  <c r="AZ60" i="40"/>
  <c r="BA60" i="40"/>
  <c r="C61" i="40"/>
  <c r="D61" i="40"/>
  <c r="E61" i="40"/>
  <c r="F61" i="40"/>
  <c r="G61" i="40"/>
  <c r="H61" i="40"/>
  <c r="I61" i="40"/>
  <c r="J61" i="40"/>
  <c r="K61" i="40"/>
  <c r="L61" i="40"/>
  <c r="M61" i="40"/>
  <c r="N61" i="40"/>
  <c r="O61" i="40"/>
  <c r="P61" i="40"/>
  <c r="Q61" i="40"/>
  <c r="R61" i="40"/>
  <c r="S61" i="40"/>
  <c r="T61" i="40"/>
  <c r="U61" i="40"/>
  <c r="V61" i="40"/>
  <c r="W61" i="40"/>
  <c r="X61" i="40"/>
  <c r="Y61" i="40"/>
  <c r="Z61" i="40"/>
  <c r="AA61" i="40"/>
  <c r="AB61" i="40"/>
  <c r="AC61" i="40"/>
  <c r="AD61" i="40"/>
  <c r="AE61" i="40"/>
  <c r="AF61" i="40"/>
  <c r="AG61" i="40"/>
  <c r="AH61" i="40"/>
  <c r="AI61" i="40"/>
  <c r="AJ61" i="40"/>
  <c r="AK61" i="40"/>
  <c r="AL61" i="40"/>
  <c r="AM61" i="40"/>
  <c r="AN61" i="40"/>
  <c r="AO61" i="40"/>
  <c r="AP61" i="40"/>
  <c r="AQ61" i="40"/>
  <c r="AR61" i="40"/>
  <c r="AS61" i="40"/>
  <c r="AT61" i="40"/>
  <c r="AU61" i="40"/>
  <c r="AV61" i="40"/>
  <c r="AW61" i="40"/>
  <c r="AX61" i="40"/>
  <c r="AY61" i="40"/>
  <c r="AZ61" i="40"/>
  <c r="BA61" i="40"/>
  <c r="C62" i="40"/>
  <c r="D62" i="40"/>
  <c r="E62" i="40"/>
  <c r="F62" i="40"/>
  <c r="G62" i="40"/>
  <c r="H62" i="40"/>
  <c r="I62" i="40"/>
  <c r="J62" i="40"/>
  <c r="K62" i="40"/>
  <c r="L62" i="40"/>
  <c r="M62" i="40"/>
  <c r="N62" i="40"/>
  <c r="O62" i="40"/>
  <c r="P62" i="40"/>
  <c r="Q62" i="40"/>
  <c r="R62" i="40"/>
  <c r="S62" i="40"/>
  <c r="T62" i="40"/>
  <c r="U62" i="40"/>
  <c r="V62" i="40"/>
  <c r="W62" i="40"/>
  <c r="X62" i="40"/>
  <c r="Y62" i="40"/>
  <c r="Z62" i="40"/>
  <c r="AA62" i="40"/>
  <c r="AB62" i="40"/>
  <c r="AC62" i="40"/>
  <c r="AD62" i="40"/>
  <c r="AE62" i="40"/>
  <c r="AF62" i="40"/>
  <c r="AG62" i="40"/>
  <c r="AH62" i="40"/>
  <c r="AI62" i="40"/>
  <c r="AJ62" i="40"/>
  <c r="AK62" i="40"/>
  <c r="AL62" i="40"/>
  <c r="AM62" i="40"/>
  <c r="AN62" i="40"/>
  <c r="AO62" i="40"/>
  <c r="AP62" i="40"/>
  <c r="AQ62" i="40"/>
  <c r="AR62" i="40"/>
  <c r="AS62" i="40"/>
  <c r="AT62" i="40"/>
  <c r="AU62" i="40"/>
  <c r="AV62" i="40"/>
  <c r="AW62" i="40"/>
  <c r="AX62" i="40"/>
  <c r="AY62" i="40"/>
  <c r="AZ62" i="40"/>
  <c r="BA62" i="40"/>
  <c r="C63" i="40"/>
  <c r="D63" i="40"/>
  <c r="E63" i="40"/>
  <c r="F63" i="40"/>
  <c r="G63" i="40"/>
  <c r="H63" i="40"/>
  <c r="I63" i="40"/>
  <c r="J63" i="40"/>
  <c r="K63" i="40"/>
  <c r="L63" i="40"/>
  <c r="M63" i="40"/>
  <c r="N63" i="40"/>
  <c r="O63" i="40"/>
  <c r="P63" i="40"/>
  <c r="Q63" i="40"/>
  <c r="R63" i="40"/>
  <c r="S63" i="40"/>
  <c r="T63" i="40"/>
  <c r="U63" i="40"/>
  <c r="V63" i="40"/>
  <c r="W63" i="40"/>
  <c r="X63" i="40"/>
  <c r="Y63" i="40"/>
  <c r="Z63" i="40"/>
  <c r="AA63" i="40"/>
  <c r="AB63" i="40"/>
  <c r="AC63" i="40"/>
  <c r="AD63" i="40"/>
  <c r="AE63" i="40"/>
  <c r="AF63" i="40"/>
  <c r="AG63" i="40"/>
  <c r="AH63" i="40"/>
  <c r="AI63" i="40"/>
  <c r="AJ63" i="40"/>
  <c r="AK63" i="40"/>
  <c r="AL63" i="40"/>
  <c r="AM63" i="40"/>
  <c r="AN63" i="40"/>
  <c r="AO63" i="40"/>
  <c r="AP63" i="40"/>
  <c r="AQ63" i="40"/>
  <c r="AR63" i="40"/>
  <c r="AS63" i="40"/>
  <c r="AT63" i="40"/>
  <c r="AU63" i="40"/>
  <c r="AV63" i="40"/>
  <c r="AW63" i="40"/>
  <c r="AX63" i="40"/>
  <c r="AY63" i="40"/>
  <c r="AZ63" i="40"/>
  <c r="BA63" i="40"/>
  <c r="D42" i="40"/>
  <c r="E42" i="40"/>
  <c r="E69" i="40" s="1"/>
  <c r="F42" i="40"/>
  <c r="F69" i="40" s="1"/>
  <c r="G42" i="40"/>
  <c r="G69" i="40" s="1"/>
  <c r="H42" i="40"/>
  <c r="I42" i="40"/>
  <c r="J42" i="40"/>
  <c r="K42" i="40"/>
  <c r="L42" i="40"/>
  <c r="M42" i="40"/>
  <c r="N42" i="40"/>
  <c r="O42" i="40"/>
  <c r="P42" i="40"/>
  <c r="Q42" i="40"/>
  <c r="R42" i="40"/>
  <c r="S42" i="40"/>
  <c r="T42" i="40"/>
  <c r="U42" i="40"/>
  <c r="V42" i="40"/>
  <c r="W42" i="40"/>
  <c r="X42" i="40"/>
  <c r="Y42" i="40"/>
  <c r="Z42" i="40"/>
  <c r="AA42" i="40"/>
  <c r="AB42" i="40"/>
  <c r="AC42" i="40"/>
  <c r="AD42" i="40"/>
  <c r="AE42" i="40"/>
  <c r="AF42" i="40"/>
  <c r="AG42" i="40"/>
  <c r="AH42" i="40"/>
  <c r="AI42" i="40"/>
  <c r="AJ42" i="40"/>
  <c r="AK42" i="40"/>
  <c r="AL42" i="40"/>
  <c r="AM42" i="40"/>
  <c r="AN42" i="40"/>
  <c r="AO42" i="40"/>
  <c r="AP42" i="40"/>
  <c r="AQ42" i="40"/>
  <c r="AR42" i="40"/>
  <c r="AS42" i="40"/>
  <c r="AT42" i="40"/>
  <c r="AU42" i="40"/>
  <c r="AV42" i="40"/>
  <c r="AW42" i="40"/>
  <c r="AX42" i="40"/>
  <c r="AY42" i="40"/>
  <c r="AZ42" i="40"/>
  <c r="BA42" i="40"/>
  <c r="BB3" i="16"/>
  <c r="AW3" i="16"/>
  <c r="D69" i="40" l="1"/>
  <c r="C9" i="40"/>
  <c r="C2" i="37"/>
  <c r="AC10" i="33" l="1"/>
  <c r="AH10" i="33"/>
  <c r="AC11" i="33"/>
  <c r="AH11" i="33"/>
  <c r="AC12" i="33"/>
  <c r="AH12" i="33"/>
  <c r="AC13" i="33"/>
  <c r="AH13" i="33"/>
  <c r="AC14" i="33"/>
  <c r="AH14" i="33"/>
  <c r="AC15" i="33"/>
  <c r="AH15" i="33"/>
  <c r="AC16" i="33"/>
  <c r="AH16" i="33"/>
  <c r="AC17" i="33"/>
  <c r="AH17" i="33"/>
  <c r="AC18" i="33"/>
  <c r="AH18" i="33"/>
  <c r="AC19" i="33"/>
  <c r="AH19" i="33"/>
  <c r="AC20" i="33"/>
  <c r="AH20" i="33"/>
  <c r="AC21" i="33"/>
  <c r="AH21" i="33"/>
  <c r="AC22" i="33"/>
  <c r="AH22" i="33"/>
  <c r="AC23" i="33"/>
  <c r="AH23" i="33"/>
  <c r="AC24" i="33"/>
  <c r="AH24" i="33"/>
  <c r="AC25" i="33"/>
  <c r="AH25" i="33"/>
  <c r="AC26" i="33"/>
  <c r="AH26" i="33"/>
  <c r="AC27" i="33"/>
  <c r="AH27" i="33"/>
  <c r="AC28" i="33"/>
  <c r="AH28" i="33"/>
  <c r="AC29" i="33"/>
  <c r="AH29" i="33"/>
  <c r="AC30" i="33"/>
  <c r="AH30" i="33"/>
  <c r="Z8" i="33"/>
  <c r="AA8" i="33"/>
  <c r="AB8" i="33"/>
  <c r="AC8" i="33"/>
  <c r="AD8" i="33"/>
  <c r="AE8" i="33"/>
  <c r="AF8" i="33"/>
  <c r="AG8" i="33"/>
  <c r="AH8" i="33"/>
  <c r="AC9" i="33"/>
  <c r="AH9" i="33"/>
  <c r="AB7" i="33"/>
  <c r="AC7" i="33"/>
  <c r="AD7" i="33"/>
  <c r="AE7" i="33"/>
  <c r="AF7" i="33"/>
  <c r="AG7" i="33"/>
  <c r="AH7" i="33"/>
  <c r="AA7" i="33"/>
  <c r="Z7" i="33"/>
  <c r="C25" i="39"/>
  <c r="C26" i="39"/>
  <c r="C27" i="39"/>
  <c r="C28" i="39"/>
  <c r="C29" i="39"/>
  <c r="C30" i="39"/>
  <c r="D37" i="40"/>
  <c r="E37" i="40"/>
  <c r="F37" i="40"/>
  <c r="G37" i="40"/>
  <c r="H37" i="40"/>
  <c r="I37" i="40"/>
  <c r="J37" i="40"/>
  <c r="K37" i="40"/>
  <c r="L37" i="40"/>
  <c r="M37" i="40"/>
  <c r="N37" i="40"/>
  <c r="O37" i="40"/>
  <c r="P37" i="40"/>
  <c r="Q37" i="40"/>
  <c r="R37" i="40"/>
  <c r="S37" i="40"/>
  <c r="T37" i="40"/>
  <c r="U37" i="40"/>
  <c r="V37" i="40"/>
  <c r="W37" i="40"/>
  <c r="X37" i="40"/>
  <c r="Y37" i="40"/>
  <c r="Z37" i="40"/>
  <c r="AA37" i="40"/>
  <c r="AB37" i="40"/>
  <c r="AC37" i="40"/>
  <c r="AD37" i="40"/>
  <c r="AE37" i="40"/>
  <c r="AF37" i="40"/>
  <c r="AG37" i="40"/>
  <c r="AH37" i="40"/>
  <c r="AI37" i="40"/>
  <c r="AJ37" i="40"/>
  <c r="AK37" i="40"/>
  <c r="AL37" i="40"/>
  <c r="AM37" i="40"/>
  <c r="AN37" i="40"/>
  <c r="AO37" i="40"/>
  <c r="AP37" i="40"/>
  <c r="AQ37" i="40"/>
  <c r="AR37" i="40"/>
  <c r="AS37" i="40"/>
  <c r="AT37" i="40"/>
  <c r="AU37" i="40"/>
  <c r="AV37" i="40"/>
  <c r="AW37" i="40"/>
  <c r="AX37" i="40"/>
  <c r="AY37" i="40"/>
  <c r="AZ37" i="40"/>
  <c r="BA37" i="40"/>
  <c r="BB9" i="16"/>
  <c r="BB10" i="16"/>
  <c r="BB12" i="16"/>
  <c r="BB14" i="16"/>
  <c r="BB16" i="16"/>
  <c r="BB18" i="16"/>
  <c r="BB19" i="16"/>
  <c r="BB20" i="16"/>
  <c r="BB21" i="16"/>
  <c r="BB22" i="16"/>
  <c r="BB23" i="16"/>
  <c r="BB26" i="16"/>
  <c r="BB27" i="16"/>
  <c r="BB28" i="16"/>
  <c r="BB29" i="16"/>
  <c r="BB30" i="16"/>
  <c r="B37" i="40" l="1"/>
  <c r="AA24" i="16"/>
  <c r="AB23" i="16"/>
  <c r="AB22" i="16"/>
  <c r="AB21" i="16"/>
  <c r="AB20" i="16"/>
  <c r="AB19" i="16"/>
  <c r="AB18" i="16"/>
  <c r="AB16" i="16"/>
  <c r="AB14" i="16"/>
  <c r="AB12" i="16"/>
  <c r="AB10" i="16"/>
  <c r="AB9" i="16"/>
  <c r="AB7" i="16"/>
  <c r="AB13" i="16" l="1"/>
  <c r="AB15" i="16"/>
  <c r="AB17" i="16"/>
  <c r="AB8" i="16"/>
  <c r="AB24" i="16"/>
  <c r="AB11" i="16"/>
  <c r="AO8" i="16"/>
  <c r="AO9" i="16"/>
  <c r="AO10" i="16"/>
  <c r="AO11" i="16"/>
  <c r="AO12" i="16"/>
  <c r="AO13" i="16"/>
  <c r="AO14" i="16"/>
  <c r="AO15" i="16"/>
  <c r="AO16" i="16"/>
  <c r="AO17" i="16"/>
  <c r="AO18" i="16"/>
  <c r="AO19" i="16"/>
  <c r="AO20" i="16"/>
  <c r="AO21" i="16"/>
  <c r="AO22" i="16"/>
  <c r="AO23" i="16"/>
  <c r="AO24" i="16"/>
  <c r="AO25" i="16"/>
  <c r="AO26" i="16"/>
  <c r="AO27" i="16"/>
  <c r="AO28" i="16"/>
  <c r="AO29" i="16"/>
  <c r="AO30" i="16"/>
  <c r="AB25" i="16" l="1"/>
  <c r="R25" i="39"/>
  <c r="R26" i="39"/>
  <c r="R27" i="39"/>
  <c r="R28" i="39"/>
  <c r="R29" i="39"/>
  <c r="R30" i="39"/>
  <c r="U25" i="39"/>
  <c r="U26" i="39"/>
  <c r="U27" i="39"/>
  <c r="U28" i="39"/>
  <c r="U29" i="39"/>
  <c r="U30" i="39"/>
  <c r="AX30" i="16" a="1"/>
  <c r="AX30" i="16" s="1"/>
  <c r="AW30" i="16" a="1"/>
  <c r="AW30" i="16" s="1"/>
  <c r="AX29" i="16" a="1"/>
  <c r="AX29" i="16" s="1"/>
  <c r="AW29" i="16" a="1"/>
  <c r="AW29" i="16" s="1"/>
  <c r="AX28" i="16" a="1"/>
  <c r="AX28" i="16" s="1"/>
  <c r="AW28" i="16" a="1"/>
  <c r="AW28" i="16" s="1"/>
  <c r="AX27" i="16" a="1"/>
  <c r="AX27" i="16" s="1"/>
  <c r="AW27" i="16" a="1"/>
  <c r="AW27" i="16" s="1"/>
  <c r="AX26" i="16" a="1"/>
  <c r="AX26" i="16" s="1"/>
  <c r="AW26" i="16" a="1"/>
  <c r="AW26" i="16" s="1"/>
  <c r="AX25" i="16" a="1"/>
  <c r="AX25" i="16" s="1"/>
  <c r="AW25" i="16" a="1"/>
  <c r="AW25" i="16" s="1"/>
  <c r="AX24" i="16" a="1"/>
  <c r="AX24" i="16" s="1"/>
  <c r="AW24" i="16" a="1"/>
  <c r="AW24" i="16" s="1"/>
  <c r="AW8" i="16" a="1"/>
  <c r="AW8" i="16" s="1"/>
  <c r="AX8" i="16" a="1"/>
  <c r="AX8" i="16" s="1"/>
  <c r="AW9" i="16" a="1"/>
  <c r="AW9" i="16" s="1"/>
  <c r="AX9" i="16" a="1"/>
  <c r="AX9" i="16" s="1"/>
  <c r="AW10" i="16" a="1"/>
  <c r="AW10" i="16" s="1"/>
  <c r="AX10" i="16" a="1"/>
  <c r="AX10" i="16" s="1"/>
  <c r="AW11" i="16" a="1"/>
  <c r="AW11" i="16" s="1"/>
  <c r="AX11" i="16" a="1"/>
  <c r="AX11" i="16" s="1"/>
  <c r="AW12" i="16" a="1"/>
  <c r="AW12" i="16" s="1"/>
  <c r="AX12" i="16" a="1"/>
  <c r="AX12" i="16" s="1"/>
  <c r="AW13" i="16" a="1"/>
  <c r="AW13" i="16" s="1"/>
  <c r="AX13" i="16" a="1"/>
  <c r="AX13" i="16" s="1"/>
  <c r="AW14" i="16" a="1"/>
  <c r="AW14" i="16" s="1"/>
  <c r="AX14" i="16" a="1"/>
  <c r="AX14" i="16" s="1"/>
  <c r="AW15" i="16" a="1"/>
  <c r="AW15" i="16" s="1"/>
  <c r="AX15" i="16" a="1"/>
  <c r="AX15" i="16" s="1"/>
  <c r="AW16" i="16" a="1"/>
  <c r="AW16" i="16" s="1"/>
  <c r="AX16" i="16" a="1"/>
  <c r="AX16" i="16" s="1"/>
  <c r="AW17" i="16" a="1"/>
  <c r="AW17" i="16" s="1"/>
  <c r="AX17" i="16" a="1"/>
  <c r="AX17" i="16" s="1"/>
  <c r="AW18" i="16" a="1"/>
  <c r="AW18" i="16" s="1"/>
  <c r="AX18" i="16" a="1"/>
  <c r="AX18" i="16" s="1"/>
  <c r="AW19" i="16" a="1"/>
  <c r="AW19" i="16" s="1"/>
  <c r="AX19" i="16" a="1"/>
  <c r="AX19" i="16" s="1"/>
  <c r="AW20" i="16" a="1"/>
  <c r="AW20" i="16" s="1"/>
  <c r="AX20" i="16" a="1"/>
  <c r="AX20" i="16" s="1"/>
  <c r="AW21" i="16" a="1"/>
  <c r="AW21" i="16" s="1"/>
  <c r="AX21" i="16" a="1"/>
  <c r="AX21" i="16" s="1"/>
  <c r="AW22" i="16" a="1"/>
  <c r="AW22" i="16" s="1"/>
  <c r="AX22" i="16" a="1"/>
  <c r="AX22" i="16" s="1"/>
  <c r="AW23" i="16" a="1"/>
  <c r="AW23" i="16" s="1"/>
  <c r="AX23" i="16" a="1"/>
  <c r="AX23" i="16" s="1"/>
  <c r="AX7" i="16" a="1"/>
  <c r="AX7" i="16" s="1"/>
  <c r="AT8" i="49"/>
  <c r="AU8" i="49"/>
  <c r="AV8" i="49"/>
  <c r="AW8" i="49"/>
  <c r="AX8" i="49"/>
  <c r="AY8" i="49"/>
  <c r="AZ8" i="49"/>
  <c r="AT8" i="16" s="1" a="1"/>
  <c r="AT8" i="16" s="1"/>
  <c r="BA8" i="49"/>
  <c r="BB8" i="49"/>
  <c r="BC8" i="49"/>
  <c r="BD8" i="49"/>
  <c r="AT9" i="49"/>
  <c r="AU9" i="49"/>
  <c r="AV9" i="49"/>
  <c r="AW9" i="49"/>
  <c r="AX9" i="49"/>
  <c r="AY9" i="49"/>
  <c r="AZ9" i="49"/>
  <c r="AT9" i="16" s="1" a="1"/>
  <c r="AT9" i="16" s="1"/>
  <c r="BA9" i="49"/>
  <c r="BB9" i="49"/>
  <c r="BC9" i="49"/>
  <c r="BD9" i="49"/>
  <c r="AT10" i="49"/>
  <c r="AU10" i="49"/>
  <c r="AV10" i="49"/>
  <c r="AW10" i="49"/>
  <c r="AX10" i="49"/>
  <c r="AY10" i="49"/>
  <c r="AZ10" i="49"/>
  <c r="AT10" i="16" s="1" a="1"/>
  <c r="AT10" i="16" s="1"/>
  <c r="BA10" i="49"/>
  <c r="BB10" i="49"/>
  <c r="BC10" i="49"/>
  <c r="BD10" i="49"/>
  <c r="AT11" i="49"/>
  <c r="AU11" i="49"/>
  <c r="AV11" i="49"/>
  <c r="AW11" i="49"/>
  <c r="AX11" i="49"/>
  <c r="AY11" i="49"/>
  <c r="AZ11" i="49"/>
  <c r="AT11" i="16" s="1" a="1"/>
  <c r="AT11" i="16" s="1"/>
  <c r="BA11" i="49"/>
  <c r="BB11" i="49"/>
  <c r="BC11" i="49"/>
  <c r="BD11" i="49"/>
  <c r="AT12" i="49"/>
  <c r="AU12" i="49"/>
  <c r="AV12" i="49"/>
  <c r="AW12" i="49"/>
  <c r="AX12" i="49"/>
  <c r="AY12" i="49"/>
  <c r="AZ12" i="49"/>
  <c r="AT12" i="16" s="1" a="1"/>
  <c r="AT12" i="16" s="1"/>
  <c r="BA12" i="49"/>
  <c r="BB12" i="49"/>
  <c r="BC12" i="49"/>
  <c r="BD12" i="49"/>
  <c r="AT13" i="49"/>
  <c r="AU13" i="49"/>
  <c r="AV13" i="49"/>
  <c r="AW13" i="49"/>
  <c r="AX13" i="49"/>
  <c r="AY13" i="49"/>
  <c r="AZ13" i="49"/>
  <c r="AT13" i="16" s="1" a="1"/>
  <c r="AT13" i="16" s="1"/>
  <c r="BA13" i="49"/>
  <c r="BB13" i="49"/>
  <c r="BC13" i="49"/>
  <c r="BD13" i="49"/>
  <c r="AT14" i="49"/>
  <c r="AU14" i="49"/>
  <c r="AV14" i="49"/>
  <c r="AW14" i="49"/>
  <c r="AX14" i="49"/>
  <c r="AY14" i="49"/>
  <c r="AZ14" i="49"/>
  <c r="AT14" i="16" s="1" a="1"/>
  <c r="AT14" i="16" s="1"/>
  <c r="BA14" i="49"/>
  <c r="BB14" i="49"/>
  <c r="BC14" i="49"/>
  <c r="BD14" i="49"/>
  <c r="AT15" i="49"/>
  <c r="AU15" i="49"/>
  <c r="AV15" i="49"/>
  <c r="AW15" i="49"/>
  <c r="AX15" i="49"/>
  <c r="AY15" i="49"/>
  <c r="AZ15" i="49"/>
  <c r="AT15" i="16" s="1" a="1"/>
  <c r="AT15" i="16" s="1"/>
  <c r="BA15" i="49"/>
  <c r="BB15" i="49"/>
  <c r="BC15" i="49"/>
  <c r="BD15" i="49"/>
  <c r="AT16" i="49"/>
  <c r="AU16" i="49"/>
  <c r="AV16" i="49"/>
  <c r="AW16" i="49"/>
  <c r="AX16" i="49"/>
  <c r="AY16" i="49"/>
  <c r="AZ16" i="49"/>
  <c r="AT16" i="16" s="1" a="1"/>
  <c r="AT16" i="16" s="1"/>
  <c r="BA16" i="49"/>
  <c r="BB16" i="49"/>
  <c r="BC16" i="49"/>
  <c r="BD16" i="49"/>
  <c r="AT17" i="49"/>
  <c r="AU17" i="49"/>
  <c r="AV17" i="49"/>
  <c r="AW17" i="49"/>
  <c r="AX17" i="49"/>
  <c r="AY17" i="49"/>
  <c r="AZ17" i="49"/>
  <c r="AT17" i="16" s="1" a="1"/>
  <c r="AT17" i="16" s="1"/>
  <c r="BA17" i="49"/>
  <c r="BB17" i="49"/>
  <c r="BC17" i="49"/>
  <c r="BD17" i="49"/>
  <c r="AT18" i="49"/>
  <c r="AU18" i="49"/>
  <c r="AV18" i="49"/>
  <c r="AW18" i="49"/>
  <c r="AX18" i="49"/>
  <c r="AY18" i="49"/>
  <c r="AZ18" i="49"/>
  <c r="AT18" i="16" s="1" a="1"/>
  <c r="AT18" i="16" s="1"/>
  <c r="BA18" i="49"/>
  <c r="BB18" i="49"/>
  <c r="BC18" i="49"/>
  <c r="BD18" i="49"/>
  <c r="AT19" i="49"/>
  <c r="AU19" i="49"/>
  <c r="AV19" i="49"/>
  <c r="AW19" i="49"/>
  <c r="AX19" i="49"/>
  <c r="AY19" i="49"/>
  <c r="AZ19" i="49"/>
  <c r="AT19" i="16" s="1" a="1"/>
  <c r="AT19" i="16" s="1"/>
  <c r="BA19" i="49"/>
  <c r="BB19" i="49"/>
  <c r="BC19" i="49"/>
  <c r="BD19" i="49"/>
  <c r="AT20" i="49"/>
  <c r="AU20" i="49"/>
  <c r="AV20" i="49"/>
  <c r="AW20" i="49"/>
  <c r="AX20" i="49"/>
  <c r="AY20" i="49"/>
  <c r="AZ20" i="49"/>
  <c r="AT20" i="16" s="1" a="1"/>
  <c r="AT20" i="16" s="1"/>
  <c r="BA20" i="49"/>
  <c r="BB20" i="49"/>
  <c r="BC20" i="49"/>
  <c r="BD20" i="49"/>
  <c r="AT21" i="49"/>
  <c r="AU21" i="49"/>
  <c r="AV21" i="49"/>
  <c r="AW21" i="49"/>
  <c r="AX21" i="49"/>
  <c r="AY21" i="49"/>
  <c r="AZ21" i="49"/>
  <c r="AT21" i="16" s="1" a="1"/>
  <c r="AT21" i="16" s="1"/>
  <c r="BA21" i="49"/>
  <c r="BB21" i="49"/>
  <c r="BC21" i="49"/>
  <c r="BD21" i="49"/>
  <c r="AT22" i="49"/>
  <c r="AU22" i="49"/>
  <c r="AV22" i="49"/>
  <c r="AW22" i="49"/>
  <c r="AX22" i="49"/>
  <c r="AY22" i="49"/>
  <c r="AZ22" i="49"/>
  <c r="AT22" i="16" s="1" a="1"/>
  <c r="AT22" i="16" s="1"/>
  <c r="BA22" i="49"/>
  <c r="BB22" i="49"/>
  <c r="BC22" i="49"/>
  <c r="BD22" i="49"/>
  <c r="AT23" i="49"/>
  <c r="AU23" i="49"/>
  <c r="AV23" i="49"/>
  <c r="AW23" i="49"/>
  <c r="AX23" i="49"/>
  <c r="AY23" i="49"/>
  <c r="AZ23" i="49"/>
  <c r="AT23" i="16" s="1" a="1"/>
  <c r="AT23" i="16" s="1"/>
  <c r="BA23" i="49"/>
  <c r="BB23" i="49"/>
  <c r="BC23" i="49"/>
  <c r="BD23" i="49"/>
  <c r="AT24" i="49"/>
  <c r="AU24" i="49"/>
  <c r="AV24" i="49"/>
  <c r="AW24" i="49"/>
  <c r="AX24" i="49"/>
  <c r="AY24" i="49"/>
  <c r="AZ24" i="49"/>
  <c r="AT24" i="16" s="1" a="1"/>
  <c r="AT24" i="16" s="1"/>
  <c r="BA24" i="49"/>
  <c r="BB24" i="49"/>
  <c r="BC24" i="49"/>
  <c r="BD24" i="49"/>
  <c r="AT25" i="49"/>
  <c r="AU25" i="49"/>
  <c r="AV25" i="49"/>
  <c r="AW25" i="49"/>
  <c r="AX25" i="49"/>
  <c r="AY25" i="49"/>
  <c r="AZ25" i="49"/>
  <c r="AT25" i="16" s="1" a="1"/>
  <c r="AT25" i="16" s="1"/>
  <c r="BA25" i="49"/>
  <c r="BB25" i="49"/>
  <c r="BC25" i="49"/>
  <c r="BD25" i="49"/>
  <c r="AT26" i="49"/>
  <c r="AU26" i="49"/>
  <c r="AV26" i="49"/>
  <c r="AW26" i="49"/>
  <c r="AX26" i="49"/>
  <c r="AY26" i="49"/>
  <c r="AZ26" i="49"/>
  <c r="AT26" i="16" s="1" a="1"/>
  <c r="AT26" i="16" s="1"/>
  <c r="BA26" i="49"/>
  <c r="BB26" i="49"/>
  <c r="BC26" i="49"/>
  <c r="BD26" i="49"/>
  <c r="AT27" i="49"/>
  <c r="AU27" i="49"/>
  <c r="AV27" i="49"/>
  <c r="AW27" i="49"/>
  <c r="AX27" i="49"/>
  <c r="AY27" i="49"/>
  <c r="AZ27" i="49"/>
  <c r="AT27" i="16" s="1" a="1"/>
  <c r="AT27" i="16" s="1"/>
  <c r="BA27" i="49"/>
  <c r="BB27" i="49"/>
  <c r="BC27" i="49"/>
  <c r="BD27" i="49"/>
  <c r="AT28" i="49"/>
  <c r="AU28" i="49"/>
  <c r="AV28" i="49"/>
  <c r="AW28" i="49"/>
  <c r="AX28" i="49"/>
  <c r="AY28" i="49"/>
  <c r="AZ28" i="49"/>
  <c r="AT28" i="16" s="1" a="1"/>
  <c r="AT28" i="16" s="1"/>
  <c r="BA28" i="49"/>
  <c r="BB28" i="49"/>
  <c r="BC28" i="49"/>
  <c r="BD28" i="49"/>
  <c r="AT29" i="49"/>
  <c r="AU29" i="49"/>
  <c r="AV29" i="49"/>
  <c r="AW29" i="49"/>
  <c r="AX29" i="49"/>
  <c r="AY29" i="49"/>
  <c r="AZ29" i="49"/>
  <c r="AT29" i="16" s="1" a="1"/>
  <c r="AT29" i="16" s="1"/>
  <c r="BA29" i="49"/>
  <c r="BB29" i="49"/>
  <c r="BC29" i="49"/>
  <c r="BD29" i="49"/>
  <c r="AT30" i="49"/>
  <c r="AU30" i="49"/>
  <c r="AV30" i="49"/>
  <c r="AW30" i="49"/>
  <c r="AX30" i="49"/>
  <c r="AY30" i="49"/>
  <c r="AZ30" i="49"/>
  <c r="AT30" i="16" s="1" a="1"/>
  <c r="AT30" i="16" s="1"/>
  <c r="BA30" i="49"/>
  <c r="BB30" i="49"/>
  <c r="BC30" i="49"/>
  <c r="BD30" i="49"/>
  <c r="AU7" i="49"/>
  <c r="AV7" i="49"/>
  <c r="AW7" i="49"/>
  <c r="AX7" i="49"/>
  <c r="AY7" i="49"/>
  <c r="AZ7" i="49"/>
  <c r="AT7" i="16" s="1" a="1"/>
  <c r="AT7" i="16" s="1"/>
  <c r="BA7" i="49"/>
  <c r="BB7" i="49"/>
  <c r="BC7" i="49"/>
  <c r="BD7" i="49"/>
  <c r="AT7" i="49"/>
  <c r="AB26" i="16" l="1"/>
  <c r="E35" i="40"/>
  <c r="K35" i="40"/>
  <c r="M35" i="40"/>
  <c r="Q35" i="40"/>
  <c r="AA35" i="40"/>
  <c r="AE35" i="40"/>
  <c r="AF35" i="40"/>
  <c r="AK35" i="40"/>
  <c r="AL35" i="40"/>
  <c r="AP35" i="40"/>
  <c r="AT35" i="40"/>
  <c r="AU35" i="40"/>
  <c r="AY35" i="40"/>
  <c r="BA35" i="40"/>
  <c r="C35" i="40"/>
  <c r="F35" i="40"/>
  <c r="G35" i="40"/>
  <c r="H35" i="40"/>
  <c r="I35" i="40"/>
  <c r="J35" i="40"/>
  <c r="L35" i="40"/>
  <c r="N35" i="40"/>
  <c r="R35" i="40"/>
  <c r="O35" i="40"/>
  <c r="P35" i="40"/>
  <c r="S35" i="40"/>
  <c r="T35" i="40"/>
  <c r="U35" i="40"/>
  <c r="X35" i="40"/>
  <c r="W35" i="40"/>
  <c r="V35" i="40"/>
  <c r="Y35" i="40"/>
  <c r="Z35" i="40"/>
  <c r="AB35" i="40"/>
  <c r="AC35" i="40"/>
  <c r="AJ35" i="40"/>
  <c r="AD35" i="40"/>
  <c r="AG35" i="40"/>
  <c r="AH35" i="40"/>
  <c r="AI35" i="40"/>
  <c r="AM35" i="40"/>
  <c r="AN35" i="40"/>
  <c r="AO35" i="40"/>
  <c r="AQ35" i="40"/>
  <c r="AR35" i="40"/>
  <c r="AS35" i="40"/>
  <c r="AW35" i="40"/>
  <c r="AV35" i="40"/>
  <c r="AX35" i="40"/>
  <c r="AZ35" i="40"/>
  <c r="D35" i="40"/>
  <c r="AB27" i="16" l="1"/>
  <c r="BC26" i="16"/>
  <c r="AI8" i="49"/>
  <c r="AJ8" i="49"/>
  <c r="AK8" i="49"/>
  <c r="AL8" i="49"/>
  <c r="AM8" i="49"/>
  <c r="AN8" i="49"/>
  <c r="AO8" i="49"/>
  <c r="AS8" i="16" s="1" a="1"/>
  <c r="AS8" i="16" s="1"/>
  <c r="AP8" i="49"/>
  <c r="AQ8" i="49"/>
  <c r="AR8" i="49"/>
  <c r="AS8" i="49"/>
  <c r="AI9" i="49"/>
  <c r="AJ9" i="49"/>
  <c r="AK9" i="49"/>
  <c r="AL9" i="49"/>
  <c r="AM9" i="49"/>
  <c r="AN9" i="49"/>
  <c r="AO9" i="49"/>
  <c r="AS9" i="16" s="1" a="1"/>
  <c r="AS9" i="16" s="1"/>
  <c r="AP9" i="49"/>
  <c r="AQ9" i="49"/>
  <c r="AR9" i="49"/>
  <c r="AS9" i="49"/>
  <c r="AI10" i="49"/>
  <c r="AJ10" i="49"/>
  <c r="AK10" i="49"/>
  <c r="AL10" i="49"/>
  <c r="AM10" i="49"/>
  <c r="AN10" i="49"/>
  <c r="AO10" i="49"/>
  <c r="AS10" i="16" s="1" a="1"/>
  <c r="AS10" i="16" s="1"/>
  <c r="AP10" i="49"/>
  <c r="AQ10" i="49"/>
  <c r="AR10" i="49"/>
  <c r="AS10" i="49"/>
  <c r="AI11" i="49"/>
  <c r="AJ11" i="49"/>
  <c r="AK11" i="49"/>
  <c r="AL11" i="49"/>
  <c r="AM11" i="49"/>
  <c r="AN11" i="49"/>
  <c r="AO11" i="49"/>
  <c r="AS11" i="16" s="1" a="1"/>
  <c r="AS11" i="16" s="1"/>
  <c r="AP11" i="49"/>
  <c r="AQ11" i="49"/>
  <c r="AR11" i="49"/>
  <c r="AS11" i="49"/>
  <c r="AI12" i="49"/>
  <c r="AJ12" i="49"/>
  <c r="AK12" i="49"/>
  <c r="AL12" i="49"/>
  <c r="AM12" i="49"/>
  <c r="AN12" i="49"/>
  <c r="AO12" i="49"/>
  <c r="AS12" i="16" s="1" a="1"/>
  <c r="AS12" i="16" s="1"/>
  <c r="AP12" i="49"/>
  <c r="AQ12" i="49"/>
  <c r="AR12" i="49"/>
  <c r="AS12" i="49"/>
  <c r="AI13" i="49"/>
  <c r="AJ13" i="49"/>
  <c r="AK13" i="49"/>
  <c r="AL13" i="49"/>
  <c r="AM13" i="49"/>
  <c r="AN13" i="49"/>
  <c r="AO13" i="49"/>
  <c r="AS13" i="16" s="1" a="1"/>
  <c r="AS13" i="16" s="1"/>
  <c r="AP13" i="49"/>
  <c r="AQ13" i="49"/>
  <c r="AR13" i="49"/>
  <c r="AS13" i="49"/>
  <c r="AI14" i="49"/>
  <c r="AJ14" i="49"/>
  <c r="AK14" i="49"/>
  <c r="AL14" i="49"/>
  <c r="AM14" i="49"/>
  <c r="AN14" i="49"/>
  <c r="AO14" i="49"/>
  <c r="AS14" i="16" s="1" a="1"/>
  <c r="AS14" i="16" s="1"/>
  <c r="AP14" i="49"/>
  <c r="AQ14" i="49"/>
  <c r="AR14" i="49"/>
  <c r="AS14" i="49"/>
  <c r="AI15" i="49"/>
  <c r="AJ15" i="49"/>
  <c r="AK15" i="49"/>
  <c r="AL15" i="49"/>
  <c r="AM15" i="49"/>
  <c r="AN15" i="49"/>
  <c r="AO15" i="49"/>
  <c r="AS15" i="16" s="1" a="1"/>
  <c r="AS15" i="16" s="1"/>
  <c r="AP15" i="49"/>
  <c r="AQ15" i="49"/>
  <c r="AR15" i="49"/>
  <c r="AS15" i="49"/>
  <c r="AI16" i="49"/>
  <c r="AJ16" i="49"/>
  <c r="AK16" i="49"/>
  <c r="AL16" i="49"/>
  <c r="AM16" i="49"/>
  <c r="AN16" i="49"/>
  <c r="AO16" i="49"/>
  <c r="AS16" i="16" s="1" a="1"/>
  <c r="AS16" i="16" s="1"/>
  <c r="AP16" i="49"/>
  <c r="AQ16" i="49"/>
  <c r="AR16" i="49"/>
  <c r="AS16" i="49"/>
  <c r="AI17" i="49"/>
  <c r="AJ17" i="49"/>
  <c r="AK17" i="49"/>
  <c r="AL17" i="49"/>
  <c r="AM17" i="49"/>
  <c r="AN17" i="49"/>
  <c r="AO17" i="49"/>
  <c r="AS17" i="16" s="1" a="1"/>
  <c r="AS17" i="16" s="1"/>
  <c r="AP17" i="49"/>
  <c r="AQ17" i="49"/>
  <c r="AR17" i="49"/>
  <c r="AS17" i="49"/>
  <c r="AI18" i="49"/>
  <c r="AJ18" i="49"/>
  <c r="AK18" i="49"/>
  <c r="AL18" i="49"/>
  <c r="AM18" i="49"/>
  <c r="AN18" i="49"/>
  <c r="AO18" i="49"/>
  <c r="AS18" i="16" s="1" a="1"/>
  <c r="AS18" i="16" s="1"/>
  <c r="AP18" i="49"/>
  <c r="AQ18" i="49"/>
  <c r="AR18" i="49"/>
  <c r="AS18" i="49"/>
  <c r="AI19" i="49"/>
  <c r="AJ19" i="49"/>
  <c r="AK19" i="49"/>
  <c r="AL19" i="49"/>
  <c r="AM19" i="49"/>
  <c r="AN19" i="49"/>
  <c r="AO19" i="49"/>
  <c r="AS19" i="16" s="1" a="1"/>
  <c r="AS19" i="16" s="1"/>
  <c r="AP19" i="49"/>
  <c r="AQ19" i="49"/>
  <c r="AR19" i="49"/>
  <c r="AS19" i="49"/>
  <c r="AI20" i="49"/>
  <c r="AJ20" i="49"/>
  <c r="AK20" i="49"/>
  <c r="AL20" i="49"/>
  <c r="AM20" i="49"/>
  <c r="AN20" i="49"/>
  <c r="AO20" i="49"/>
  <c r="AS20" i="16" s="1" a="1"/>
  <c r="AS20" i="16" s="1"/>
  <c r="AP20" i="49"/>
  <c r="AQ20" i="49"/>
  <c r="AR20" i="49"/>
  <c r="AS20" i="49"/>
  <c r="AI21" i="49"/>
  <c r="AJ21" i="49"/>
  <c r="AK21" i="49"/>
  <c r="AL21" i="49"/>
  <c r="AM21" i="49"/>
  <c r="AN21" i="49"/>
  <c r="AO21" i="49"/>
  <c r="AS21" i="16" s="1" a="1"/>
  <c r="AS21" i="16" s="1"/>
  <c r="AP21" i="49"/>
  <c r="AQ21" i="49"/>
  <c r="AR21" i="49"/>
  <c r="AS21" i="49"/>
  <c r="AI22" i="49"/>
  <c r="AJ22" i="49"/>
  <c r="AK22" i="49"/>
  <c r="AL22" i="49"/>
  <c r="AM22" i="49"/>
  <c r="AN22" i="49"/>
  <c r="AO22" i="49"/>
  <c r="AS22" i="16" s="1" a="1"/>
  <c r="AS22" i="16" s="1"/>
  <c r="AP22" i="49"/>
  <c r="AQ22" i="49"/>
  <c r="AR22" i="49"/>
  <c r="AS22" i="49"/>
  <c r="AI23" i="49"/>
  <c r="AJ23" i="49"/>
  <c r="AK23" i="49"/>
  <c r="AL23" i="49"/>
  <c r="AM23" i="49"/>
  <c r="AN23" i="49"/>
  <c r="AO23" i="49"/>
  <c r="AS23" i="16" s="1" a="1"/>
  <c r="AS23" i="16" s="1"/>
  <c r="AP23" i="49"/>
  <c r="AQ23" i="49"/>
  <c r="AR23" i="49"/>
  <c r="AS23" i="49"/>
  <c r="AI24" i="49"/>
  <c r="AJ24" i="49"/>
  <c r="AK24" i="49"/>
  <c r="AL24" i="49"/>
  <c r="AM24" i="49"/>
  <c r="AN24" i="49"/>
  <c r="AO24" i="49"/>
  <c r="AS24" i="16" s="1" a="1"/>
  <c r="AS24" i="16" s="1"/>
  <c r="AP24" i="49"/>
  <c r="AQ24" i="49"/>
  <c r="AR24" i="49"/>
  <c r="AS24" i="49"/>
  <c r="AI25" i="49"/>
  <c r="AJ25" i="49"/>
  <c r="AK25" i="49"/>
  <c r="AL25" i="49"/>
  <c r="AM25" i="49"/>
  <c r="AN25" i="49"/>
  <c r="AO25" i="49"/>
  <c r="AS25" i="16" s="1" a="1"/>
  <c r="AS25" i="16" s="1"/>
  <c r="AP25" i="49"/>
  <c r="AQ25" i="49"/>
  <c r="AR25" i="49"/>
  <c r="AS25" i="49"/>
  <c r="AI26" i="49"/>
  <c r="AJ26" i="49"/>
  <c r="AK26" i="49"/>
  <c r="AL26" i="49"/>
  <c r="AM26" i="49"/>
  <c r="AN26" i="49"/>
  <c r="AO26" i="49"/>
  <c r="AS26" i="16" s="1" a="1"/>
  <c r="AS26" i="16" s="1"/>
  <c r="AP26" i="49"/>
  <c r="AQ26" i="49"/>
  <c r="AR26" i="49"/>
  <c r="AS26" i="49"/>
  <c r="AI27" i="49"/>
  <c r="AJ27" i="49"/>
  <c r="AK27" i="49"/>
  <c r="AL27" i="49"/>
  <c r="AM27" i="49"/>
  <c r="AN27" i="49"/>
  <c r="AO27" i="49"/>
  <c r="AS27" i="16" s="1" a="1"/>
  <c r="AS27" i="16" s="1"/>
  <c r="AP27" i="49"/>
  <c r="AQ27" i="49"/>
  <c r="AR27" i="49"/>
  <c r="AS27" i="49"/>
  <c r="AI28" i="49"/>
  <c r="AJ28" i="49"/>
  <c r="AK28" i="49"/>
  <c r="AL28" i="49"/>
  <c r="AM28" i="49"/>
  <c r="AN28" i="49"/>
  <c r="AO28" i="49"/>
  <c r="AS28" i="16" s="1" a="1"/>
  <c r="AS28" i="16" s="1"/>
  <c r="AP28" i="49"/>
  <c r="AQ28" i="49"/>
  <c r="AR28" i="49"/>
  <c r="AS28" i="49"/>
  <c r="AI29" i="49"/>
  <c r="AJ29" i="49"/>
  <c r="AK29" i="49"/>
  <c r="AL29" i="49"/>
  <c r="AM29" i="49"/>
  <c r="AN29" i="49"/>
  <c r="AO29" i="49"/>
  <c r="AS29" i="16" s="1" a="1"/>
  <c r="AS29" i="16" s="1"/>
  <c r="AP29" i="49"/>
  <c r="AQ29" i="49"/>
  <c r="AR29" i="49"/>
  <c r="AS29" i="49"/>
  <c r="AI30" i="49"/>
  <c r="AJ30" i="49"/>
  <c r="AK30" i="49"/>
  <c r="AL30" i="49"/>
  <c r="AM30" i="49"/>
  <c r="AN30" i="49"/>
  <c r="AO30" i="49"/>
  <c r="AS30" i="16" s="1" a="1"/>
  <c r="AS30" i="16" s="1"/>
  <c r="AP30" i="49"/>
  <c r="AQ30" i="49"/>
  <c r="AR30" i="49"/>
  <c r="AS30" i="49"/>
  <c r="AJ7" i="49"/>
  <c r="AK7" i="49"/>
  <c r="AL7" i="49"/>
  <c r="AM7" i="49"/>
  <c r="AN7" i="49"/>
  <c r="AO7" i="49"/>
  <c r="AS7" i="16" s="1" a="1"/>
  <c r="AS7" i="16" s="1"/>
  <c r="AP7" i="49"/>
  <c r="AQ7" i="49"/>
  <c r="AR7" i="49"/>
  <c r="AS7" i="49"/>
  <c r="AI7" i="49"/>
  <c r="AB28" i="16" l="1"/>
  <c r="BC27" i="16"/>
  <c r="D92" i="40"/>
  <c r="D119" i="40" s="1"/>
  <c r="D146" i="40" s="1"/>
  <c r="D173" i="40" s="1"/>
  <c r="D200" i="40" s="1"/>
  <c r="D227" i="40" s="1"/>
  <c r="D254" i="40" s="1"/>
  <c r="D281" i="40" s="1"/>
  <c r="E92" i="40"/>
  <c r="E119" i="40" s="1"/>
  <c r="E146" i="40" s="1"/>
  <c r="E173" i="40" s="1"/>
  <c r="E200" i="40" s="1"/>
  <c r="E227" i="40" s="1"/>
  <c r="E254" i="40" s="1"/>
  <c r="E281" i="40" s="1"/>
  <c r="F92" i="40"/>
  <c r="F119" i="40" s="1"/>
  <c r="F146" i="40" s="1"/>
  <c r="F173" i="40" s="1"/>
  <c r="F200" i="40" s="1"/>
  <c r="F227" i="40" s="1"/>
  <c r="F254" i="40" s="1"/>
  <c r="F281" i="40" s="1"/>
  <c r="G92" i="40"/>
  <c r="G119" i="40" s="1"/>
  <c r="G146" i="40" s="1"/>
  <c r="G173" i="40" s="1"/>
  <c r="G200" i="40" s="1"/>
  <c r="G227" i="40" s="1"/>
  <c r="G254" i="40" s="1"/>
  <c r="G281" i="40" s="1"/>
  <c r="H92" i="40"/>
  <c r="H119" i="40" s="1"/>
  <c r="H146" i="40" s="1"/>
  <c r="H173" i="40" s="1"/>
  <c r="H200" i="40" s="1"/>
  <c r="H227" i="40" s="1"/>
  <c r="H254" i="40" s="1"/>
  <c r="H281" i="40" s="1"/>
  <c r="I92" i="40"/>
  <c r="I119" i="40" s="1"/>
  <c r="I146" i="40" s="1"/>
  <c r="I173" i="40" s="1"/>
  <c r="I200" i="40" s="1"/>
  <c r="I227" i="40" s="1"/>
  <c r="I254" i="40" s="1"/>
  <c r="I281" i="40" s="1"/>
  <c r="J92" i="40"/>
  <c r="J119" i="40" s="1"/>
  <c r="J146" i="40" s="1"/>
  <c r="J173" i="40" s="1"/>
  <c r="J200" i="40" s="1"/>
  <c r="J227" i="40" s="1"/>
  <c r="J254" i="40" s="1"/>
  <c r="J281" i="40" s="1"/>
  <c r="K92" i="40"/>
  <c r="K119" i="40" s="1"/>
  <c r="K146" i="40" s="1"/>
  <c r="K173" i="40" s="1"/>
  <c r="K200" i="40" s="1"/>
  <c r="K227" i="40" s="1"/>
  <c r="K254" i="40" s="1"/>
  <c r="K281" i="40" s="1"/>
  <c r="L92" i="40"/>
  <c r="L119" i="40" s="1"/>
  <c r="L146" i="40" s="1"/>
  <c r="L173" i="40" s="1"/>
  <c r="L200" i="40" s="1"/>
  <c r="L227" i="40" s="1"/>
  <c r="L254" i="40" s="1"/>
  <c r="L281" i="40" s="1"/>
  <c r="M92" i="40"/>
  <c r="M119" i="40" s="1"/>
  <c r="M146" i="40" s="1"/>
  <c r="M173" i="40" s="1"/>
  <c r="M200" i="40" s="1"/>
  <c r="M227" i="40" s="1"/>
  <c r="M254" i="40" s="1"/>
  <c r="M281" i="40" s="1"/>
  <c r="N92" i="40"/>
  <c r="N119" i="40" s="1"/>
  <c r="N146" i="40" s="1"/>
  <c r="N173" i="40" s="1"/>
  <c r="N200" i="40" s="1"/>
  <c r="N227" i="40" s="1"/>
  <c r="N254" i="40" s="1"/>
  <c r="N281" i="40" s="1"/>
  <c r="O92" i="40"/>
  <c r="O119" i="40" s="1"/>
  <c r="O146" i="40" s="1"/>
  <c r="O173" i="40" s="1"/>
  <c r="O200" i="40" s="1"/>
  <c r="O227" i="40" s="1"/>
  <c r="O254" i="40" s="1"/>
  <c r="O281" i="40" s="1"/>
  <c r="P92" i="40"/>
  <c r="P119" i="40" s="1"/>
  <c r="P146" i="40" s="1"/>
  <c r="P173" i="40" s="1"/>
  <c r="P200" i="40" s="1"/>
  <c r="P227" i="40" s="1"/>
  <c r="P254" i="40" s="1"/>
  <c r="P281" i="40" s="1"/>
  <c r="Q92" i="40"/>
  <c r="Q119" i="40" s="1"/>
  <c r="Q146" i="40" s="1"/>
  <c r="Q173" i="40" s="1"/>
  <c r="Q200" i="40" s="1"/>
  <c r="Q227" i="40" s="1"/>
  <c r="Q254" i="40" s="1"/>
  <c r="Q281" i="40" s="1"/>
  <c r="R92" i="40"/>
  <c r="R119" i="40" s="1"/>
  <c r="R146" i="40" s="1"/>
  <c r="R173" i="40" s="1"/>
  <c r="R200" i="40" s="1"/>
  <c r="R227" i="40" s="1"/>
  <c r="R254" i="40" s="1"/>
  <c r="R281" i="40" s="1"/>
  <c r="S92" i="40"/>
  <c r="S119" i="40" s="1"/>
  <c r="S146" i="40" s="1"/>
  <c r="S173" i="40" s="1"/>
  <c r="S200" i="40" s="1"/>
  <c r="S227" i="40" s="1"/>
  <c r="S254" i="40" s="1"/>
  <c r="S281" i="40" s="1"/>
  <c r="T92" i="40"/>
  <c r="T119" i="40" s="1"/>
  <c r="T146" i="40" s="1"/>
  <c r="T173" i="40" s="1"/>
  <c r="T200" i="40" s="1"/>
  <c r="T227" i="40" s="1"/>
  <c r="T254" i="40" s="1"/>
  <c r="T281" i="40" s="1"/>
  <c r="U92" i="40"/>
  <c r="U119" i="40" s="1"/>
  <c r="U146" i="40" s="1"/>
  <c r="U173" i="40" s="1"/>
  <c r="U200" i="40" s="1"/>
  <c r="U227" i="40" s="1"/>
  <c r="U254" i="40" s="1"/>
  <c r="U281" i="40" s="1"/>
  <c r="V92" i="40"/>
  <c r="V119" i="40" s="1"/>
  <c r="V146" i="40" s="1"/>
  <c r="V173" i="40" s="1"/>
  <c r="V200" i="40" s="1"/>
  <c r="V227" i="40" s="1"/>
  <c r="V254" i="40" s="1"/>
  <c r="V281" i="40" s="1"/>
  <c r="W92" i="40"/>
  <c r="W119" i="40" s="1"/>
  <c r="W146" i="40" s="1"/>
  <c r="W173" i="40" s="1"/>
  <c r="W200" i="40" s="1"/>
  <c r="W227" i="40" s="1"/>
  <c r="W254" i="40" s="1"/>
  <c r="W281" i="40" s="1"/>
  <c r="X92" i="40"/>
  <c r="X119" i="40" s="1"/>
  <c r="X146" i="40" s="1"/>
  <c r="X173" i="40" s="1"/>
  <c r="X200" i="40" s="1"/>
  <c r="X227" i="40" s="1"/>
  <c r="X254" i="40" s="1"/>
  <c r="X281" i="40" s="1"/>
  <c r="Y92" i="40"/>
  <c r="Y119" i="40" s="1"/>
  <c r="Y146" i="40" s="1"/>
  <c r="Y173" i="40" s="1"/>
  <c r="Y200" i="40" s="1"/>
  <c r="Y227" i="40" s="1"/>
  <c r="Y254" i="40" s="1"/>
  <c r="Y281" i="40" s="1"/>
  <c r="Z92" i="40"/>
  <c r="Z119" i="40" s="1"/>
  <c r="Z146" i="40" s="1"/>
  <c r="Z173" i="40" s="1"/>
  <c r="Z200" i="40" s="1"/>
  <c r="Z227" i="40" s="1"/>
  <c r="Z254" i="40" s="1"/>
  <c r="Z281" i="40" s="1"/>
  <c r="AA92" i="40"/>
  <c r="AA119" i="40" s="1"/>
  <c r="AA146" i="40" s="1"/>
  <c r="AA173" i="40" s="1"/>
  <c r="AA200" i="40" s="1"/>
  <c r="AA227" i="40" s="1"/>
  <c r="AA254" i="40" s="1"/>
  <c r="AA281" i="40" s="1"/>
  <c r="AB92" i="40"/>
  <c r="AB119" i="40" s="1"/>
  <c r="AB146" i="40" s="1"/>
  <c r="AB173" i="40" s="1"/>
  <c r="AB200" i="40" s="1"/>
  <c r="AB227" i="40" s="1"/>
  <c r="AB254" i="40" s="1"/>
  <c r="AB281" i="40" s="1"/>
  <c r="AC92" i="40"/>
  <c r="AC119" i="40" s="1"/>
  <c r="AC146" i="40" s="1"/>
  <c r="AC173" i="40" s="1"/>
  <c r="AC200" i="40" s="1"/>
  <c r="AC227" i="40" s="1"/>
  <c r="AC254" i="40" s="1"/>
  <c r="AC281" i="40" s="1"/>
  <c r="AD92" i="40"/>
  <c r="AD119" i="40" s="1"/>
  <c r="AD146" i="40" s="1"/>
  <c r="AD173" i="40" s="1"/>
  <c r="AD200" i="40" s="1"/>
  <c r="AD227" i="40" s="1"/>
  <c r="AD254" i="40" s="1"/>
  <c r="AD281" i="40" s="1"/>
  <c r="AE92" i="40"/>
  <c r="AE119" i="40" s="1"/>
  <c r="AE146" i="40" s="1"/>
  <c r="AE173" i="40" s="1"/>
  <c r="AE200" i="40" s="1"/>
  <c r="AE227" i="40" s="1"/>
  <c r="AE254" i="40" s="1"/>
  <c r="AE281" i="40" s="1"/>
  <c r="AF92" i="40"/>
  <c r="AF119" i="40" s="1"/>
  <c r="AF146" i="40" s="1"/>
  <c r="AF173" i="40" s="1"/>
  <c r="AF200" i="40" s="1"/>
  <c r="AF227" i="40" s="1"/>
  <c r="AF254" i="40" s="1"/>
  <c r="AF281" i="40" s="1"/>
  <c r="AG92" i="40"/>
  <c r="AG119" i="40" s="1"/>
  <c r="AG146" i="40" s="1"/>
  <c r="AG173" i="40" s="1"/>
  <c r="AG200" i="40" s="1"/>
  <c r="AG227" i="40" s="1"/>
  <c r="AG254" i="40" s="1"/>
  <c r="AG281" i="40" s="1"/>
  <c r="AH92" i="40"/>
  <c r="AH119" i="40" s="1"/>
  <c r="AH146" i="40" s="1"/>
  <c r="AH173" i="40" s="1"/>
  <c r="AH200" i="40" s="1"/>
  <c r="AH227" i="40" s="1"/>
  <c r="AH254" i="40" s="1"/>
  <c r="AH281" i="40" s="1"/>
  <c r="AI92" i="40"/>
  <c r="AI119" i="40" s="1"/>
  <c r="AI146" i="40" s="1"/>
  <c r="AI173" i="40" s="1"/>
  <c r="AI200" i="40" s="1"/>
  <c r="AI227" i="40" s="1"/>
  <c r="AI254" i="40" s="1"/>
  <c r="AI281" i="40" s="1"/>
  <c r="AJ92" i="40"/>
  <c r="AJ119" i="40" s="1"/>
  <c r="AJ146" i="40" s="1"/>
  <c r="AJ173" i="40" s="1"/>
  <c r="AJ200" i="40" s="1"/>
  <c r="AJ227" i="40" s="1"/>
  <c r="AJ254" i="40" s="1"/>
  <c r="AJ281" i="40" s="1"/>
  <c r="AK92" i="40"/>
  <c r="AK119" i="40" s="1"/>
  <c r="AK146" i="40" s="1"/>
  <c r="AK173" i="40" s="1"/>
  <c r="AK200" i="40" s="1"/>
  <c r="AK227" i="40" s="1"/>
  <c r="AK254" i="40" s="1"/>
  <c r="AK281" i="40" s="1"/>
  <c r="AL92" i="40"/>
  <c r="AL119" i="40" s="1"/>
  <c r="AL146" i="40" s="1"/>
  <c r="AL173" i="40" s="1"/>
  <c r="AL200" i="40" s="1"/>
  <c r="AL227" i="40" s="1"/>
  <c r="AL254" i="40" s="1"/>
  <c r="AL281" i="40" s="1"/>
  <c r="AM92" i="40"/>
  <c r="AM119" i="40" s="1"/>
  <c r="AM146" i="40" s="1"/>
  <c r="AM173" i="40" s="1"/>
  <c r="AM200" i="40" s="1"/>
  <c r="AM227" i="40" s="1"/>
  <c r="AM254" i="40" s="1"/>
  <c r="AM281" i="40" s="1"/>
  <c r="AN92" i="40"/>
  <c r="AN119" i="40" s="1"/>
  <c r="AN146" i="40" s="1"/>
  <c r="AN173" i="40" s="1"/>
  <c r="AN200" i="40" s="1"/>
  <c r="AN227" i="40" s="1"/>
  <c r="AN254" i="40" s="1"/>
  <c r="AN281" i="40" s="1"/>
  <c r="AO92" i="40"/>
  <c r="AO119" i="40" s="1"/>
  <c r="AO146" i="40" s="1"/>
  <c r="AO173" i="40" s="1"/>
  <c r="AO200" i="40" s="1"/>
  <c r="AO227" i="40" s="1"/>
  <c r="AO254" i="40" s="1"/>
  <c r="AO281" i="40" s="1"/>
  <c r="AP92" i="40"/>
  <c r="AP119" i="40" s="1"/>
  <c r="AP146" i="40" s="1"/>
  <c r="AP173" i="40" s="1"/>
  <c r="AP200" i="40" s="1"/>
  <c r="AP227" i="40" s="1"/>
  <c r="AP254" i="40" s="1"/>
  <c r="AP281" i="40" s="1"/>
  <c r="AQ92" i="40"/>
  <c r="AQ119" i="40" s="1"/>
  <c r="AQ146" i="40" s="1"/>
  <c r="AQ173" i="40" s="1"/>
  <c r="AQ200" i="40" s="1"/>
  <c r="AQ227" i="40" s="1"/>
  <c r="AQ254" i="40" s="1"/>
  <c r="AQ281" i="40" s="1"/>
  <c r="AR92" i="40"/>
  <c r="AR119" i="40" s="1"/>
  <c r="AR146" i="40" s="1"/>
  <c r="AR173" i="40" s="1"/>
  <c r="AR200" i="40" s="1"/>
  <c r="AR227" i="40" s="1"/>
  <c r="AR254" i="40" s="1"/>
  <c r="AR281" i="40" s="1"/>
  <c r="AS92" i="40"/>
  <c r="AS119" i="40" s="1"/>
  <c r="AS146" i="40" s="1"/>
  <c r="AS173" i="40" s="1"/>
  <c r="AS200" i="40" s="1"/>
  <c r="AS227" i="40" s="1"/>
  <c r="AS254" i="40" s="1"/>
  <c r="AS281" i="40" s="1"/>
  <c r="AT92" i="40"/>
  <c r="AT119" i="40" s="1"/>
  <c r="AT146" i="40" s="1"/>
  <c r="AT173" i="40" s="1"/>
  <c r="AT200" i="40" s="1"/>
  <c r="AT227" i="40" s="1"/>
  <c r="AT254" i="40" s="1"/>
  <c r="AT281" i="40" s="1"/>
  <c r="AU92" i="40"/>
  <c r="AU119" i="40" s="1"/>
  <c r="AU146" i="40" s="1"/>
  <c r="AU173" i="40" s="1"/>
  <c r="AU200" i="40" s="1"/>
  <c r="AU227" i="40" s="1"/>
  <c r="AU254" i="40" s="1"/>
  <c r="AU281" i="40" s="1"/>
  <c r="AV92" i="40"/>
  <c r="AV119" i="40" s="1"/>
  <c r="AV146" i="40" s="1"/>
  <c r="AV173" i="40" s="1"/>
  <c r="AV200" i="40" s="1"/>
  <c r="AV227" i="40" s="1"/>
  <c r="AV254" i="40" s="1"/>
  <c r="AV281" i="40" s="1"/>
  <c r="AW92" i="40"/>
  <c r="AW119" i="40" s="1"/>
  <c r="AW146" i="40" s="1"/>
  <c r="AW173" i="40" s="1"/>
  <c r="AW200" i="40" s="1"/>
  <c r="AW227" i="40" s="1"/>
  <c r="AW254" i="40" s="1"/>
  <c r="AW281" i="40" s="1"/>
  <c r="AX92" i="40"/>
  <c r="AX119" i="40" s="1"/>
  <c r="AX146" i="40" s="1"/>
  <c r="AX173" i="40" s="1"/>
  <c r="AX200" i="40" s="1"/>
  <c r="AX227" i="40" s="1"/>
  <c r="AX254" i="40" s="1"/>
  <c r="AX281" i="40" s="1"/>
  <c r="AY92" i="40"/>
  <c r="AY119" i="40" s="1"/>
  <c r="AY146" i="40" s="1"/>
  <c r="AY173" i="40" s="1"/>
  <c r="AY200" i="40" s="1"/>
  <c r="AY227" i="40" s="1"/>
  <c r="AY254" i="40" s="1"/>
  <c r="AY281" i="40" s="1"/>
  <c r="AZ92" i="40"/>
  <c r="AZ119" i="40" s="1"/>
  <c r="AZ146" i="40" s="1"/>
  <c r="AZ173" i="40" s="1"/>
  <c r="AZ200" i="40" s="1"/>
  <c r="AZ227" i="40" s="1"/>
  <c r="AZ254" i="40" s="1"/>
  <c r="AZ281" i="40" s="1"/>
  <c r="BA92" i="40"/>
  <c r="BA119" i="40" s="1"/>
  <c r="BA146" i="40" s="1"/>
  <c r="BA173" i="40" s="1"/>
  <c r="BA200" i="40" s="1"/>
  <c r="BA227" i="40" s="1"/>
  <c r="BA254" i="40" s="1"/>
  <c r="BA281" i="40" s="1"/>
  <c r="C92" i="40"/>
  <c r="C119" i="40" s="1"/>
  <c r="C146" i="40" s="1"/>
  <c r="C173" i="40" s="1"/>
  <c r="C200" i="40" s="1"/>
  <c r="C227" i="40" s="1"/>
  <c r="C254" i="40" s="1"/>
  <c r="C281" i="40" s="1"/>
  <c r="D65" i="40"/>
  <c r="E65" i="40"/>
  <c r="F65" i="40"/>
  <c r="G65" i="40"/>
  <c r="H65" i="40"/>
  <c r="I65" i="40"/>
  <c r="J65" i="40"/>
  <c r="K65" i="40"/>
  <c r="L65" i="40"/>
  <c r="M65" i="40"/>
  <c r="N65" i="40"/>
  <c r="O65" i="40"/>
  <c r="P65" i="40"/>
  <c r="Q65" i="40"/>
  <c r="R65" i="40"/>
  <c r="S65" i="40"/>
  <c r="T65" i="40"/>
  <c r="U65" i="40"/>
  <c r="V65" i="40"/>
  <c r="W65" i="40"/>
  <c r="X65" i="40"/>
  <c r="Y65" i="40"/>
  <c r="Z65" i="40"/>
  <c r="AA65" i="40"/>
  <c r="AB65" i="40"/>
  <c r="AC65" i="40"/>
  <c r="AD65" i="40"/>
  <c r="AE65" i="40"/>
  <c r="AF65" i="40"/>
  <c r="AG65" i="40"/>
  <c r="AH65" i="40"/>
  <c r="AI65" i="40"/>
  <c r="AJ65" i="40"/>
  <c r="AK65" i="40"/>
  <c r="AL65" i="40"/>
  <c r="AM65" i="40"/>
  <c r="AN65" i="40"/>
  <c r="AO65" i="40"/>
  <c r="AP65" i="40"/>
  <c r="AQ65" i="40"/>
  <c r="AR65" i="40"/>
  <c r="AS65" i="40"/>
  <c r="AT65" i="40"/>
  <c r="AU65" i="40"/>
  <c r="AV65" i="40"/>
  <c r="AW65" i="40"/>
  <c r="AX65" i="40"/>
  <c r="AY65" i="40"/>
  <c r="AZ65" i="40"/>
  <c r="BA65" i="40"/>
  <c r="C65" i="40"/>
  <c r="D67" i="40"/>
  <c r="E67" i="40"/>
  <c r="F67" i="40"/>
  <c r="G67" i="40"/>
  <c r="H67" i="40"/>
  <c r="I67" i="40"/>
  <c r="J67" i="40"/>
  <c r="K67" i="40"/>
  <c r="L67" i="40"/>
  <c r="M67" i="40"/>
  <c r="N67" i="40"/>
  <c r="O67" i="40"/>
  <c r="P67" i="40"/>
  <c r="Q67" i="40"/>
  <c r="R67" i="40"/>
  <c r="S67" i="40"/>
  <c r="T67" i="40"/>
  <c r="U67" i="40"/>
  <c r="V67" i="40"/>
  <c r="W67" i="40"/>
  <c r="X67" i="40"/>
  <c r="Y67" i="40"/>
  <c r="Z67" i="40"/>
  <c r="AA67" i="40"/>
  <c r="AB67" i="40"/>
  <c r="AC67" i="40"/>
  <c r="AD67" i="40"/>
  <c r="AE67" i="40"/>
  <c r="AF67" i="40"/>
  <c r="AG67" i="40"/>
  <c r="AH67" i="40"/>
  <c r="AI67" i="40"/>
  <c r="AJ67" i="40"/>
  <c r="AK67" i="40"/>
  <c r="AL67" i="40"/>
  <c r="AM67" i="40"/>
  <c r="AN67" i="40"/>
  <c r="AO67" i="40"/>
  <c r="AP67" i="40"/>
  <c r="AQ67" i="40"/>
  <c r="AR67" i="40"/>
  <c r="AS67" i="40"/>
  <c r="AT67" i="40"/>
  <c r="AU67" i="40"/>
  <c r="AV67" i="40"/>
  <c r="AW67" i="40"/>
  <c r="AX67" i="40"/>
  <c r="AY67" i="40"/>
  <c r="AZ67" i="40"/>
  <c r="BA67" i="40"/>
  <c r="D68" i="40"/>
  <c r="E68" i="40"/>
  <c r="F68" i="40"/>
  <c r="G68" i="40"/>
  <c r="H68" i="40"/>
  <c r="I68" i="40"/>
  <c r="J68" i="40"/>
  <c r="K68" i="40"/>
  <c r="L68" i="40"/>
  <c r="M68" i="40"/>
  <c r="N68" i="40"/>
  <c r="O68" i="40"/>
  <c r="P68" i="40"/>
  <c r="Q68" i="40"/>
  <c r="R68" i="40"/>
  <c r="S68" i="40"/>
  <c r="T68" i="40"/>
  <c r="U68" i="40"/>
  <c r="V68" i="40"/>
  <c r="W68" i="40"/>
  <c r="X68" i="40"/>
  <c r="Y68" i="40"/>
  <c r="Z68" i="40"/>
  <c r="AA68" i="40"/>
  <c r="AB68" i="40"/>
  <c r="AC68" i="40"/>
  <c r="AD68" i="40"/>
  <c r="AE68" i="40"/>
  <c r="AF68" i="40"/>
  <c r="AG68" i="40"/>
  <c r="AH68" i="40"/>
  <c r="AI68" i="40"/>
  <c r="AJ68" i="40"/>
  <c r="AK68" i="40"/>
  <c r="AL68" i="40"/>
  <c r="AM68" i="40"/>
  <c r="AN68" i="40"/>
  <c r="AO68" i="40"/>
  <c r="AP68" i="40"/>
  <c r="AQ68" i="40"/>
  <c r="AR68" i="40"/>
  <c r="AS68" i="40"/>
  <c r="AT68" i="40"/>
  <c r="AU68" i="40"/>
  <c r="AV68" i="40"/>
  <c r="AW68" i="40"/>
  <c r="AX68" i="40"/>
  <c r="AY68" i="40"/>
  <c r="AZ68" i="40"/>
  <c r="BA68" i="40"/>
  <c r="C68" i="40"/>
  <c r="C67" i="40"/>
  <c r="B4" i="41"/>
  <c r="C5" i="46"/>
  <c r="BC9" i="16" s="1"/>
  <c r="D5" i="46"/>
  <c r="E5" i="46"/>
  <c r="F5" i="46"/>
  <c r="G5" i="46"/>
  <c r="H5" i="46"/>
  <c r="I5" i="46"/>
  <c r="J5" i="46"/>
  <c r="K5" i="46"/>
  <c r="L5" i="46"/>
  <c r="M5" i="46"/>
  <c r="N5" i="46"/>
  <c r="O5" i="46"/>
  <c r="P5" i="46"/>
  <c r="Q5" i="46"/>
  <c r="R5" i="46"/>
  <c r="S5" i="46"/>
  <c r="T5" i="46"/>
  <c r="U5" i="46"/>
  <c r="V5" i="46"/>
  <c r="W5" i="46"/>
  <c r="X5" i="46"/>
  <c r="Y5" i="46"/>
  <c r="Z5" i="46"/>
  <c r="AA5" i="46"/>
  <c r="AB5" i="46"/>
  <c r="AC5" i="46"/>
  <c r="AD5" i="46"/>
  <c r="AE5" i="46"/>
  <c r="AF5" i="46"/>
  <c r="AG5" i="46"/>
  <c r="AH5" i="46"/>
  <c r="AI5" i="46"/>
  <c r="AJ5" i="46"/>
  <c r="AK5" i="46"/>
  <c r="AL5" i="46"/>
  <c r="AM5" i="46"/>
  <c r="AN5" i="46"/>
  <c r="AO5" i="46"/>
  <c r="AP5" i="46"/>
  <c r="AQ5" i="46"/>
  <c r="AR5" i="46"/>
  <c r="AS5" i="46"/>
  <c r="AT5" i="46"/>
  <c r="AU5" i="46"/>
  <c r="AV5" i="46"/>
  <c r="AW5" i="46"/>
  <c r="AX5" i="46"/>
  <c r="AY5" i="46"/>
  <c r="AZ5" i="46"/>
  <c r="BA5" i="46"/>
  <c r="C6" i="46"/>
  <c r="BC10" i="16" s="1"/>
  <c r="D6" i="46"/>
  <c r="E6" i="46"/>
  <c r="F6" i="46"/>
  <c r="G6" i="46"/>
  <c r="H6" i="46"/>
  <c r="I6" i="46"/>
  <c r="J6" i="46"/>
  <c r="K6" i="46"/>
  <c r="L6" i="46"/>
  <c r="M6" i="46"/>
  <c r="N6" i="46"/>
  <c r="O6" i="46"/>
  <c r="P6" i="46"/>
  <c r="Q6" i="46"/>
  <c r="R6" i="46"/>
  <c r="S6" i="46"/>
  <c r="T6" i="46"/>
  <c r="U6" i="46"/>
  <c r="V6" i="46"/>
  <c r="W6" i="46"/>
  <c r="X6" i="46"/>
  <c r="Y6" i="46"/>
  <c r="Z6" i="46"/>
  <c r="AA6" i="46"/>
  <c r="AB6" i="46"/>
  <c r="AC6" i="46"/>
  <c r="AD6" i="46"/>
  <c r="AE6" i="46"/>
  <c r="AF6" i="46"/>
  <c r="AG6" i="46"/>
  <c r="AH6" i="46"/>
  <c r="AI6" i="46"/>
  <c r="AJ6" i="46"/>
  <c r="AK6" i="46"/>
  <c r="AL6" i="46"/>
  <c r="AM6" i="46"/>
  <c r="AN6" i="46"/>
  <c r="AO6" i="46"/>
  <c r="AP6" i="46"/>
  <c r="AQ6" i="46"/>
  <c r="AR6" i="46"/>
  <c r="AS6" i="46"/>
  <c r="AT6" i="46"/>
  <c r="AU6" i="46"/>
  <c r="AV6" i="46"/>
  <c r="AW6" i="46"/>
  <c r="AX6" i="46"/>
  <c r="AY6" i="46"/>
  <c r="AZ6" i="46"/>
  <c r="BA6" i="46"/>
  <c r="C8" i="46"/>
  <c r="BC12" i="16" s="1"/>
  <c r="D8" i="46"/>
  <c r="E8" i="46"/>
  <c r="F8" i="46"/>
  <c r="G8" i="46"/>
  <c r="H8" i="46"/>
  <c r="I8" i="46"/>
  <c r="J8" i="46"/>
  <c r="K8" i="46"/>
  <c r="L8" i="46"/>
  <c r="M8" i="46"/>
  <c r="N8" i="46"/>
  <c r="O8" i="46"/>
  <c r="P8" i="46"/>
  <c r="Q8" i="46"/>
  <c r="R8" i="46"/>
  <c r="S8" i="46"/>
  <c r="T8" i="46"/>
  <c r="U8" i="46"/>
  <c r="V8" i="46"/>
  <c r="W8" i="46"/>
  <c r="X8" i="46"/>
  <c r="Y8" i="46"/>
  <c r="Z8" i="46"/>
  <c r="AA8" i="46"/>
  <c r="AB8" i="46"/>
  <c r="AC8" i="46"/>
  <c r="AD8" i="46"/>
  <c r="AE8" i="46"/>
  <c r="AF8" i="46"/>
  <c r="AG8" i="46"/>
  <c r="AH8" i="46"/>
  <c r="AI8" i="46"/>
  <c r="AJ8" i="46"/>
  <c r="AK8" i="46"/>
  <c r="AL8" i="46"/>
  <c r="AM8" i="46"/>
  <c r="AN8" i="46"/>
  <c r="AO8" i="46"/>
  <c r="AP8" i="46"/>
  <c r="AQ8" i="46"/>
  <c r="AR8" i="46"/>
  <c r="AS8" i="46"/>
  <c r="AT8" i="46"/>
  <c r="AU8" i="46"/>
  <c r="AV8" i="46"/>
  <c r="AW8" i="46"/>
  <c r="AX8" i="46"/>
  <c r="AY8" i="46"/>
  <c r="AZ8" i="46"/>
  <c r="BA8" i="46"/>
  <c r="C10" i="46"/>
  <c r="BC14" i="16" s="1"/>
  <c r="D10" i="46"/>
  <c r="E10" i="46"/>
  <c r="F10" i="46"/>
  <c r="G10" i="46"/>
  <c r="H10" i="46"/>
  <c r="I10" i="46"/>
  <c r="J10" i="46"/>
  <c r="K10" i="46"/>
  <c r="L10" i="46"/>
  <c r="M10" i="46"/>
  <c r="N10" i="46"/>
  <c r="O10" i="46"/>
  <c r="P10" i="46"/>
  <c r="Q10" i="46"/>
  <c r="R10" i="46"/>
  <c r="S10" i="46"/>
  <c r="T10" i="46"/>
  <c r="U10" i="46"/>
  <c r="V10" i="46"/>
  <c r="W10" i="46"/>
  <c r="X10" i="46"/>
  <c r="Y10" i="46"/>
  <c r="Z10" i="46"/>
  <c r="AA10" i="46"/>
  <c r="AB10" i="46"/>
  <c r="AC10" i="46"/>
  <c r="AD10" i="46"/>
  <c r="AE10" i="46"/>
  <c r="AF10" i="46"/>
  <c r="AG10" i="46"/>
  <c r="AH10" i="46"/>
  <c r="AI10" i="46"/>
  <c r="AJ10" i="46"/>
  <c r="AK10" i="46"/>
  <c r="AL10" i="46"/>
  <c r="AM10" i="46"/>
  <c r="AN10" i="46"/>
  <c r="AO10" i="46"/>
  <c r="AP10" i="46"/>
  <c r="AQ10" i="46"/>
  <c r="AR10" i="46"/>
  <c r="AS10" i="46"/>
  <c r="AT10" i="46"/>
  <c r="AU10" i="46"/>
  <c r="AV10" i="46"/>
  <c r="AW10" i="46"/>
  <c r="AX10" i="46"/>
  <c r="AY10" i="46"/>
  <c r="AZ10" i="46"/>
  <c r="BA10" i="46"/>
  <c r="C12" i="46"/>
  <c r="BC16" i="16" s="1"/>
  <c r="D12" i="46"/>
  <c r="E12" i="46"/>
  <c r="F12" i="46"/>
  <c r="G12" i="46"/>
  <c r="H12" i="46"/>
  <c r="I12" i="46"/>
  <c r="J12" i="46"/>
  <c r="K12" i="46"/>
  <c r="L12" i="46"/>
  <c r="M12" i="46"/>
  <c r="N12" i="46"/>
  <c r="O12" i="46"/>
  <c r="P12" i="46"/>
  <c r="Q12" i="46"/>
  <c r="R12" i="46"/>
  <c r="S12" i="46"/>
  <c r="T12" i="46"/>
  <c r="U12" i="46"/>
  <c r="V12" i="46"/>
  <c r="W12" i="46"/>
  <c r="X12" i="46"/>
  <c r="Y12" i="46"/>
  <c r="Z12" i="46"/>
  <c r="AA12" i="46"/>
  <c r="AB12" i="46"/>
  <c r="AC12" i="46"/>
  <c r="AD12" i="46"/>
  <c r="AE12" i="46"/>
  <c r="AF12" i="46"/>
  <c r="AG12" i="46"/>
  <c r="AH12" i="46"/>
  <c r="AI12" i="46"/>
  <c r="AJ12" i="46"/>
  <c r="AK12" i="46"/>
  <c r="AL12" i="46"/>
  <c r="AM12" i="46"/>
  <c r="AN12" i="46"/>
  <c r="AO12" i="46"/>
  <c r="AP12" i="46"/>
  <c r="AQ12" i="46"/>
  <c r="AR12" i="46"/>
  <c r="AS12" i="46"/>
  <c r="AT12" i="46"/>
  <c r="AU12" i="46"/>
  <c r="AV12" i="46"/>
  <c r="AW12" i="46"/>
  <c r="AX12" i="46"/>
  <c r="AY12" i="46"/>
  <c r="AZ12" i="46"/>
  <c r="BA12" i="46"/>
  <c r="C14" i="46"/>
  <c r="BC18" i="16" s="1"/>
  <c r="D14" i="46"/>
  <c r="E14" i="46"/>
  <c r="F14" i="46"/>
  <c r="G14" i="46"/>
  <c r="H14" i="46"/>
  <c r="I14" i="46"/>
  <c r="J14" i="46"/>
  <c r="K14" i="46"/>
  <c r="L14" i="46"/>
  <c r="M14" i="46"/>
  <c r="N14" i="46"/>
  <c r="O14" i="46"/>
  <c r="P14" i="46"/>
  <c r="Q14" i="46"/>
  <c r="R14" i="46"/>
  <c r="S14" i="46"/>
  <c r="T14" i="46"/>
  <c r="U14" i="46"/>
  <c r="V14" i="46"/>
  <c r="W14" i="46"/>
  <c r="X14" i="46"/>
  <c r="Y14" i="46"/>
  <c r="Z14" i="46"/>
  <c r="AA14" i="46"/>
  <c r="AB14" i="46"/>
  <c r="AC14" i="46"/>
  <c r="AD14" i="46"/>
  <c r="AE14" i="46"/>
  <c r="AF14" i="46"/>
  <c r="AG14" i="46"/>
  <c r="AH14" i="46"/>
  <c r="AI14" i="46"/>
  <c r="AJ14" i="46"/>
  <c r="AK14" i="46"/>
  <c r="AL14" i="46"/>
  <c r="AM14" i="46"/>
  <c r="AN14" i="46"/>
  <c r="AO14" i="46"/>
  <c r="AP14" i="46"/>
  <c r="AQ14" i="46"/>
  <c r="AR14" i="46"/>
  <c r="AS14" i="46"/>
  <c r="AT14" i="46"/>
  <c r="AU14" i="46"/>
  <c r="AV14" i="46"/>
  <c r="AW14" i="46"/>
  <c r="AX14" i="46"/>
  <c r="AY14" i="46"/>
  <c r="AZ14" i="46"/>
  <c r="BA14" i="46"/>
  <c r="C15" i="46"/>
  <c r="BC19" i="16" s="1"/>
  <c r="D15" i="46"/>
  <c r="E15" i="46"/>
  <c r="F15" i="46"/>
  <c r="G15" i="46"/>
  <c r="H15" i="46"/>
  <c r="I15" i="46"/>
  <c r="J15" i="46"/>
  <c r="K15" i="46"/>
  <c r="L15" i="46"/>
  <c r="M15" i="46"/>
  <c r="N15" i="46"/>
  <c r="O15" i="46"/>
  <c r="P15" i="46"/>
  <c r="Q15" i="46"/>
  <c r="R15" i="46"/>
  <c r="S15" i="46"/>
  <c r="T15" i="46"/>
  <c r="U15" i="46"/>
  <c r="V15" i="46"/>
  <c r="W15" i="46"/>
  <c r="X15" i="46"/>
  <c r="Y15" i="46"/>
  <c r="Z15" i="46"/>
  <c r="AA15" i="46"/>
  <c r="AB15" i="46"/>
  <c r="AC15" i="46"/>
  <c r="AD15" i="46"/>
  <c r="AE15" i="46"/>
  <c r="AF15" i="46"/>
  <c r="AG15" i="46"/>
  <c r="AH15" i="46"/>
  <c r="AI15" i="46"/>
  <c r="AJ15" i="46"/>
  <c r="AK15" i="46"/>
  <c r="AL15" i="46"/>
  <c r="AM15" i="46"/>
  <c r="AN15" i="46"/>
  <c r="AO15" i="46"/>
  <c r="AP15" i="46"/>
  <c r="AQ15" i="46"/>
  <c r="AR15" i="46"/>
  <c r="AS15" i="46"/>
  <c r="AT15" i="46"/>
  <c r="AU15" i="46"/>
  <c r="AV15" i="46"/>
  <c r="AW15" i="46"/>
  <c r="AX15" i="46"/>
  <c r="AY15" i="46"/>
  <c r="AZ15" i="46"/>
  <c r="BA15" i="46"/>
  <c r="C16" i="46"/>
  <c r="BC20" i="16" s="1"/>
  <c r="D16" i="46"/>
  <c r="E16" i="46"/>
  <c r="F16" i="46"/>
  <c r="G16" i="46"/>
  <c r="H16" i="46"/>
  <c r="I16" i="46"/>
  <c r="J16" i="46"/>
  <c r="K16" i="46"/>
  <c r="L16" i="46"/>
  <c r="M16" i="46"/>
  <c r="N16" i="46"/>
  <c r="O16" i="46"/>
  <c r="P16" i="46"/>
  <c r="Q16" i="46"/>
  <c r="R16" i="46"/>
  <c r="S16" i="46"/>
  <c r="T16" i="46"/>
  <c r="U16" i="46"/>
  <c r="V16" i="46"/>
  <c r="W16" i="46"/>
  <c r="X16" i="46"/>
  <c r="Y16" i="46"/>
  <c r="Z16" i="46"/>
  <c r="AA16" i="46"/>
  <c r="AB16" i="46"/>
  <c r="AC16" i="46"/>
  <c r="AD16" i="46"/>
  <c r="AE16" i="46"/>
  <c r="AF16" i="46"/>
  <c r="AG16" i="46"/>
  <c r="AH16" i="46"/>
  <c r="AI16" i="46"/>
  <c r="AJ16" i="46"/>
  <c r="AK16" i="46"/>
  <c r="AL16" i="46"/>
  <c r="AM16" i="46"/>
  <c r="AN16" i="46"/>
  <c r="AO16" i="46"/>
  <c r="AP16" i="46"/>
  <c r="AQ16" i="46"/>
  <c r="AR16" i="46"/>
  <c r="AS16" i="46"/>
  <c r="AT16" i="46"/>
  <c r="AU16" i="46"/>
  <c r="AV16" i="46"/>
  <c r="AW16" i="46"/>
  <c r="AX16" i="46"/>
  <c r="AY16" i="46"/>
  <c r="AZ16" i="46"/>
  <c r="BA16" i="46"/>
  <c r="C17" i="46"/>
  <c r="BC21" i="16" s="1"/>
  <c r="D17" i="46"/>
  <c r="E17" i="46"/>
  <c r="F17" i="46"/>
  <c r="G17" i="46"/>
  <c r="H17" i="46"/>
  <c r="I17" i="46"/>
  <c r="J17" i="46"/>
  <c r="K17" i="46"/>
  <c r="L17" i="46"/>
  <c r="M17" i="46"/>
  <c r="N17" i="46"/>
  <c r="O17" i="46"/>
  <c r="P17" i="46"/>
  <c r="Q17" i="46"/>
  <c r="R17" i="46"/>
  <c r="S17" i="46"/>
  <c r="T17" i="46"/>
  <c r="U17" i="46"/>
  <c r="V17" i="46"/>
  <c r="W17" i="46"/>
  <c r="X17" i="46"/>
  <c r="Y17" i="46"/>
  <c r="Z17" i="46"/>
  <c r="AA17" i="46"/>
  <c r="AB17" i="46"/>
  <c r="AC17" i="46"/>
  <c r="AD17" i="46"/>
  <c r="AE17" i="46"/>
  <c r="AF17" i="46"/>
  <c r="AG17" i="46"/>
  <c r="AH17" i="46"/>
  <c r="AI17" i="46"/>
  <c r="AJ17" i="46"/>
  <c r="AK17" i="46"/>
  <c r="AL17" i="46"/>
  <c r="AM17" i="46"/>
  <c r="AN17" i="46"/>
  <c r="AO17" i="46"/>
  <c r="AP17" i="46"/>
  <c r="AQ17" i="46"/>
  <c r="AR17" i="46"/>
  <c r="AS17" i="46"/>
  <c r="AT17" i="46"/>
  <c r="AU17" i="46"/>
  <c r="AV17" i="46"/>
  <c r="AW17" i="46"/>
  <c r="AX17" i="46"/>
  <c r="AY17" i="46"/>
  <c r="AZ17" i="46"/>
  <c r="BA17" i="46"/>
  <c r="C18" i="46"/>
  <c r="BC22" i="16" s="1"/>
  <c r="D18" i="46"/>
  <c r="E18" i="46"/>
  <c r="F18" i="46"/>
  <c r="G18" i="46"/>
  <c r="H18" i="46"/>
  <c r="I18" i="46"/>
  <c r="J18" i="46"/>
  <c r="K18" i="46"/>
  <c r="L18" i="46"/>
  <c r="M18" i="46"/>
  <c r="N18" i="46"/>
  <c r="O18" i="46"/>
  <c r="P18" i="46"/>
  <c r="Q18" i="46"/>
  <c r="R18" i="46"/>
  <c r="S18" i="46"/>
  <c r="T18" i="46"/>
  <c r="U18" i="46"/>
  <c r="V18" i="46"/>
  <c r="W18" i="46"/>
  <c r="X18" i="46"/>
  <c r="Y18" i="46"/>
  <c r="Z18" i="46"/>
  <c r="AA18" i="46"/>
  <c r="AB18" i="46"/>
  <c r="AC18" i="46"/>
  <c r="AD18" i="46"/>
  <c r="AE18" i="46"/>
  <c r="AF18" i="46"/>
  <c r="AG18" i="46"/>
  <c r="AH18" i="46"/>
  <c r="AI18" i="46"/>
  <c r="AJ18" i="46"/>
  <c r="AK18" i="46"/>
  <c r="AL18" i="46"/>
  <c r="AM18" i="46"/>
  <c r="AN18" i="46"/>
  <c r="AO18" i="46"/>
  <c r="AP18" i="46"/>
  <c r="AQ18" i="46"/>
  <c r="AR18" i="46"/>
  <c r="AS18" i="46"/>
  <c r="AT18" i="46"/>
  <c r="AU18" i="46"/>
  <c r="AV18" i="46"/>
  <c r="AW18" i="46"/>
  <c r="AX18" i="46"/>
  <c r="AY18" i="46"/>
  <c r="AZ18" i="46"/>
  <c r="BA18" i="46"/>
  <c r="C19" i="46"/>
  <c r="BC23" i="16" s="1"/>
  <c r="D19" i="46"/>
  <c r="E19" i="46"/>
  <c r="F19" i="46"/>
  <c r="G19" i="46"/>
  <c r="H19" i="46"/>
  <c r="I19" i="46"/>
  <c r="J19" i="46"/>
  <c r="K19" i="46"/>
  <c r="L19" i="46"/>
  <c r="M19" i="46"/>
  <c r="N19" i="46"/>
  <c r="O19" i="46"/>
  <c r="P19" i="46"/>
  <c r="Q19" i="46"/>
  <c r="R19" i="46"/>
  <c r="S19" i="46"/>
  <c r="T19" i="46"/>
  <c r="U19" i="46"/>
  <c r="V19" i="46"/>
  <c r="W19" i="46"/>
  <c r="X19" i="46"/>
  <c r="Y19" i="46"/>
  <c r="Z19" i="46"/>
  <c r="AA19" i="46"/>
  <c r="AB19" i="46"/>
  <c r="AC19" i="46"/>
  <c r="AD19" i="46"/>
  <c r="AE19" i="46"/>
  <c r="AF19" i="46"/>
  <c r="AG19" i="46"/>
  <c r="AH19" i="46"/>
  <c r="AI19" i="46"/>
  <c r="AJ19" i="46"/>
  <c r="AK19" i="46"/>
  <c r="AL19" i="46"/>
  <c r="AM19" i="46"/>
  <c r="AN19" i="46"/>
  <c r="AO19" i="46"/>
  <c r="AP19" i="46"/>
  <c r="AQ19" i="46"/>
  <c r="AR19" i="46"/>
  <c r="AS19" i="46"/>
  <c r="AT19" i="46"/>
  <c r="AU19" i="46"/>
  <c r="AV19" i="46"/>
  <c r="AW19" i="46"/>
  <c r="AX19" i="46"/>
  <c r="AY19" i="46"/>
  <c r="AZ19" i="46"/>
  <c r="BA19" i="46"/>
  <c r="B5" i="46"/>
  <c r="B6" i="46"/>
  <c r="B8" i="46"/>
  <c r="B10" i="46"/>
  <c r="B12" i="46"/>
  <c r="B14" i="46"/>
  <c r="B15" i="46"/>
  <c r="B16" i="46"/>
  <c r="B17" i="46"/>
  <c r="B18" i="46"/>
  <c r="B19" i="46"/>
  <c r="B3" i="46"/>
  <c r="B21" i="46"/>
  <c r="B13" i="46"/>
  <c r="B11" i="46"/>
  <c r="B9" i="46"/>
  <c r="B7" i="46"/>
  <c r="B4" i="46"/>
  <c r="AB29" i="16" l="1"/>
  <c r="BC28" i="16"/>
  <c r="BB67" i="40"/>
  <c r="BB68" i="40"/>
  <c r="B20" i="46"/>
  <c r="F20" i="46"/>
  <c r="G20" i="46"/>
  <c r="H20" i="46"/>
  <c r="N20" i="46"/>
  <c r="AQ20" i="46"/>
  <c r="BB24" i="16"/>
  <c r="BB8" i="16"/>
  <c r="D13" i="46"/>
  <c r="E13" i="46"/>
  <c r="F13" i="46"/>
  <c r="G13" i="46"/>
  <c r="H13" i="46"/>
  <c r="I13" i="46"/>
  <c r="J13" i="46"/>
  <c r="K13" i="46"/>
  <c r="L13" i="46"/>
  <c r="M13" i="46"/>
  <c r="N13" i="46"/>
  <c r="O13" i="46"/>
  <c r="P13" i="46"/>
  <c r="Q13" i="46"/>
  <c r="R13" i="46"/>
  <c r="S13" i="46"/>
  <c r="T13" i="46"/>
  <c r="U13" i="46"/>
  <c r="V13" i="46"/>
  <c r="W13" i="46"/>
  <c r="X13" i="46"/>
  <c r="Y13" i="46"/>
  <c r="Z13" i="46"/>
  <c r="AA13" i="46"/>
  <c r="AB13" i="46"/>
  <c r="AC13" i="46"/>
  <c r="AD13" i="46"/>
  <c r="AE13" i="46"/>
  <c r="AF13" i="46"/>
  <c r="AG13" i="46"/>
  <c r="AH13" i="46"/>
  <c r="AI13" i="46"/>
  <c r="AJ13" i="46"/>
  <c r="AK13" i="46"/>
  <c r="AL13" i="46"/>
  <c r="AM13" i="46"/>
  <c r="AN13" i="46"/>
  <c r="AO13" i="46"/>
  <c r="AP13" i="46"/>
  <c r="AQ13" i="46"/>
  <c r="AR13" i="46"/>
  <c r="AS13" i="46"/>
  <c r="AT13" i="46"/>
  <c r="AU13" i="46"/>
  <c r="AV13" i="46"/>
  <c r="AW13" i="46"/>
  <c r="AX13" i="46"/>
  <c r="AY13" i="46"/>
  <c r="AZ13" i="46"/>
  <c r="BA13" i="46"/>
  <c r="D11" i="46"/>
  <c r="E11" i="46"/>
  <c r="F11" i="46"/>
  <c r="G11" i="46"/>
  <c r="H11" i="46"/>
  <c r="I11" i="46"/>
  <c r="J11" i="46"/>
  <c r="K11" i="46"/>
  <c r="L11" i="46"/>
  <c r="M11" i="46"/>
  <c r="N11" i="46"/>
  <c r="O11" i="46"/>
  <c r="P11" i="46"/>
  <c r="Q11" i="46"/>
  <c r="R11" i="46"/>
  <c r="S11" i="46"/>
  <c r="T11" i="46"/>
  <c r="U11" i="46"/>
  <c r="V11" i="46"/>
  <c r="W11" i="46"/>
  <c r="X11" i="46"/>
  <c r="Y11" i="46"/>
  <c r="Z11" i="46"/>
  <c r="AA11" i="46"/>
  <c r="AB11" i="46"/>
  <c r="AC11" i="46"/>
  <c r="AD11" i="46"/>
  <c r="AE11" i="46"/>
  <c r="AF11" i="46"/>
  <c r="AG11" i="46"/>
  <c r="AH11" i="46"/>
  <c r="AI11" i="46"/>
  <c r="AJ11" i="46"/>
  <c r="AK11" i="46"/>
  <c r="AL11" i="46"/>
  <c r="AM11" i="46"/>
  <c r="AN11" i="46"/>
  <c r="AO11" i="46"/>
  <c r="AP11" i="46"/>
  <c r="AQ11" i="46"/>
  <c r="AR11" i="46"/>
  <c r="AS11" i="46"/>
  <c r="AT11" i="46"/>
  <c r="AU11" i="46"/>
  <c r="AV11" i="46"/>
  <c r="AW11" i="46"/>
  <c r="AX11" i="46"/>
  <c r="AY11" i="46"/>
  <c r="AZ11" i="46"/>
  <c r="BA11" i="46"/>
  <c r="D9" i="46"/>
  <c r="E9" i="46"/>
  <c r="F9" i="46"/>
  <c r="G9" i="46"/>
  <c r="H9" i="46"/>
  <c r="I9" i="46"/>
  <c r="J9" i="46"/>
  <c r="K9" i="46"/>
  <c r="L9" i="46"/>
  <c r="M9" i="46"/>
  <c r="N9" i="46"/>
  <c r="O9" i="46"/>
  <c r="P9" i="46"/>
  <c r="Q9" i="46"/>
  <c r="R9" i="46"/>
  <c r="S9" i="46"/>
  <c r="T9" i="46"/>
  <c r="U9" i="46"/>
  <c r="V9" i="46"/>
  <c r="W9" i="46"/>
  <c r="X9" i="46"/>
  <c r="Y9" i="46"/>
  <c r="Z9" i="46"/>
  <c r="AA9" i="46"/>
  <c r="AB9" i="46"/>
  <c r="AC9" i="46"/>
  <c r="AD9" i="46"/>
  <c r="AE9" i="46"/>
  <c r="AF9" i="46"/>
  <c r="AG9" i="46"/>
  <c r="AH9" i="46"/>
  <c r="AI9" i="46"/>
  <c r="AJ9" i="46"/>
  <c r="AK9" i="46"/>
  <c r="AL9" i="46"/>
  <c r="AM9" i="46"/>
  <c r="AN9" i="46"/>
  <c r="AO9" i="46"/>
  <c r="AP9" i="46"/>
  <c r="AQ9" i="46"/>
  <c r="AR9" i="46"/>
  <c r="AS9" i="46"/>
  <c r="AT9" i="46"/>
  <c r="AU9" i="46"/>
  <c r="AV9" i="46"/>
  <c r="AW9" i="46"/>
  <c r="AX9" i="46"/>
  <c r="AY9" i="46"/>
  <c r="AZ9" i="46"/>
  <c r="BA9" i="46"/>
  <c r="AO7" i="46"/>
  <c r="AP7" i="46"/>
  <c r="AQ7" i="46"/>
  <c r="AR7" i="46"/>
  <c r="AS7" i="46"/>
  <c r="AT7" i="46"/>
  <c r="AU7" i="46"/>
  <c r="AV7" i="46"/>
  <c r="AW7" i="46"/>
  <c r="AX7" i="46"/>
  <c r="AY7" i="46"/>
  <c r="AZ7" i="46"/>
  <c r="BA7" i="46"/>
  <c r="D7" i="46"/>
  <c r="E7" i="46"/>
  <c r="F7" i="46"/>
  <c r="G7" i="46"/>
  <c r="H7" i="46"/>
  <c r="I7" i="46"/>
  <c r="J7" i="46"/>
  <c r="K7" i="46"/>
  <c r="L7" i="46"/>
  <c r="M7" i="46"/>
  <c r="N7" i="46"/>
  <c r="O7" i="46"/>
  <c r="P7" i="46"/>
  <c r="Q7" i="46"/>
  <c r="R7" i="46"/>
  <c r="S7" i="46"/>
  <c r="T7" i="46"/>
  <c r="U7" i="46"/>
  <c r="V7" i="46"/>
  <c r="W7" i="46"/>
  <c r="X7" i="46"/>
  <c r="Y7" i="46"/>
  <c r="Z7" i="46"/>
  <c r="AA7" i="46"/>
  <c r="AB7" i="46"/>
  <c r="AC7" i="46"/>
  <c r="AD7" i="46"/>
  <c r="AE7" i="46"/>
  <c r="AF7" i="46"/>
  <c r="AG7" i="46"/>
  <c r="AH7" i="46"/>
  <c r="AI7" i="46"/>
  <c r="AJ7" i="46"/>
  <c r="AK7" i="46"/>
  <c r="AL7" i="46"/>
  <c r="AM7" i="46"/>
  <c r="AN7" i="46"/>
  <c r="C13" i="46" l="1"/>
  <c r="BC17" i="16" s="1"/>
  <c r="BB17" i="16"/>
  <c r="C7" i="46"/>
  <c r="BC11" i="16" s="1"/>
  <c r="BB11" i="16"/>
  <c r="C11" i="46"/>
  <c r="BC15" i="16" s="1"/>
  <c r="BB15" i="16"/>
  <c r="N21" i="46"/>
  <c r="C9" i="46"/>
  <c r="BC13" i="16" s="1"/>
  <c r="BB13" i="16"/>
  <c r="AB30" i="16"/>
  <c r="BC30" i="16" s="1"/>
  <c r="BC29" i="16"/>
  <c r="AQ21" i="46"/>
  <c r="G21" i="46"/>
  <c r="F21" i="46"/>
  <c r="AT3" i="46"/>
  <c r="AT4" i="46"/>
  <c r="Z3" i="46"/>
  <c r="Z4" i="46"/>
  <c r="F3" i="46"/>
  <c r="F4" i="46"/>
  <c r="AP21" i="46"/>
  <c r="AP20" i="46"/>
  <c r="V21" i="46"/>
  <c r="V20" i="46"/>
  <c r="AS3" i="46"/>
  <c r="AS4" i="46"/>
  <c r="Y3" i="46"/>
  <c r="Y4" i="46"/>
  <c r="E3" i="46"/>
  <c r="E4" i="46"/>
  <c r="AO21" i="46"/>
  <c r="AO20" i="46"/>
  <c r="U21" i="46"/>
  <c r="U20" i="46"/>
  <c r="AR3" i="46"/>
  <c r="AR4" i="46"/>
  <c r="X3" i="46"/>
  <c r="X4" i="46"/>
  <c r="D3" i="46"/>
  <c r="D4" i="46"/>
  <c r="AN21" i="46"/>
  <c r="AN20" i="46"/>
  <c r="T21" i="46"/>
  <c r="T20" i="46"/>
  <c r="AQ3" i="46"/>
  <c r="AQ4" i="46"/>
  <c r="W3" i="46"/>
  <c r="W4" i="46"/>
  <c r="C20" i="46"/>
  <c r="BC24" i="16" s="1"/>
  <c r="AM21" i="46"/>
  <c r="AM20" i="46"/>
  <c r="S21" i="46"/>
  <c r="S20" i="46"/>
  <c r="V3" i="46"/>
  <c r="V4" i="46"/>
  <c r="AL21" i="46"/>
  <c r="AL20" i="46"/>
  <c r="R21" i="46"/>
  <c r="R20" i="46"/>
  <c r="AO3" i="46"/>
  <c r="AO4" i="46"/>
  <c r="U3" i="46"/>
  <c r="U4" i="46"/>
  <c r="AK21" i="46"/>
  <c r="AK20" i="46"/>
  <c r="Q21" i="46"/>
  <c r="Q20" i="46"/>
  <c r="AN3" i="46"/>
  <c r="AN4" i="46"/>
  <c r="T3" i="46"/>
  <c r="T4" i="46"/>
  <c r="H21" i="46"/>
  <c r="AJ21" i="46"/>
  <c r="AJ20" i="46"/>
  <c r="P21" i="46"/>
  <c r="P20" i="46"/>
  <c r="AI21" i="46"/>
  <c r="AI20" i="46"/>
  <c r="O21" i="46"/>
  <c r="O20" i="46"/>
  <c r="AL3" i="46"/>
  <c r="AL4" i="46"/>
  <c r="R3" i="46"/>
  <c r="R4" i="46"/>
  <c r="AH21" i="46"/>
  <c r="AH20" i="46"/>
  <c r="AM3" i="46"/>
  <c r="AM4" i="46"/>
  <c r="S3" i="46"/>
  <c r="S4" i="46"/>
  <c r="AK3" i="46"/>
  <c r="AK4" i="46"/>
  <c r="Q3" i="46"/>
  <c r="Q4" i="46"/>
  <c r="BA21" i="46"/>
  <c r="BA20" i="46"/>
  <c r="AG21" i="46"/>
  <c r="AG20" i="46"/>
  <c r="M21" i="46"/>
  <c r="M20" i="46"/>
  <c r="AJ3" i="46"/>
  <c r="AJ4" i="46"/>
  <c r="P3" i="46"/>
  <c r="P4" i="46"/>
  <c r="AZ21" i="46"/>
  <c r="AZ20" i="46"/>
  <c r="AF21" i="46"/>
  <c r="AF20" i="46"/>
  <c r="L21" i="46"/>
  <c r="L20" i="46"/>
  <c r="AI3" i="46"/>
  <c r="AI4" i="46"/>
  <c r="O3" i="46"/>
  <c r="O4" i="46"/>
  <c r="AY21" i="46"/>
  <c r="AY20" i="46"/>
  <c r="AE21" i="46"/>
  <c r="AE20" i="46"/>
  <c r="K21" i="46"/>
  <c r="K20" i="46"/>
  <c r="C4" i="46"/>
  <c r="BC8" i="16" s="1"/>
  <c r="AH3" i="46"/>
  <c r="AH4" i="46"/>
  <c r="N3" i="46"/>
  <c r="N4" i="46"/>
  <c r="AX21" i="46"/>
  <c r="AX20" i="46"/>
  <c r="AD21" i="46"/>
  <c r="AD20" i="46"/>
  <c r="J21" i="46"/>
  <c r="J20" i="46"/>
  <c r="BA3" i="46"/>
  <c r="BA4" i="46"/>
  <c r="AG3" i="46"/>
  <c r="AG4" i="46"/>
  <c r="M3" i="46"/>
  <c r="M4" i="46"/>
  <c r="AW21" i="46"/>
  <c r="AW20" i="46"/>
  <c r="AC21" i="46"/>
  <c r="AC20" i="46"/>
  <c r="I21" i="46"/>
  <c r="I20" i="46"/>
  <c r="AZ3" i="46"/>
  <c r="AZ4" i="46"/>
  <c r="AF3" i="46"/>
  <c r="AF4" i="46"/>
  <c r="L3" i="46"/>
  <c r="L4" i="46"/>
  <c r="AV21" i="46"/>
  <c r="AV20" i="46"/>
  <c r="AB21" i="46"/>
  <c r="AB20" i="46"/>
  <c r="AY3" i="46"/>
  <c r="AY4" i="46"/>
  <c r="AE3" i="46"/>
  <c r="AE4" i="46"/>
  <c r="K3" i="46"/>
  <c r="K4" i="46"/>
  <c r="AU21" i="46"/>
  <c r="AU20" i="46"/>
  <c r="AA21" i="46"/>
  <c r="AA20" i="46"/>
  <c r="AX3" i="46"/>
  <c r="AX4" i="46"/>
  <c r="AD3" i="46"/>
  <c r="AD4" i="46"/>
  <c r="J3" i="46"/>
  <c r="J4" i="46"/>
  <c r="AT21" i="46"/>
  <c r="AT20" i="46"/>
  <c r="Z21" i="46"/>
  <c r="Z20" i="46"/>
  <c r="AW3" i="46"/>
  <c r="AW4" i="46"/>
  <c r="AC3" i="46"/>
  <c r="AC4" i="46"/>
  <c r="I3" i="46"/>
  <c r="I4" i="46"/>
  <c r="AS21" i="46"/>
  <c r="AS20" i="46"/>
  <c r="Y21" i="46"/>
  <c r="Y20" i="46"/>
  <c r="E21" i="46"/>
  <c r="E20" i="46"/>
  <c r="AV3" i="46"/>
  <c r="AV4" i="46"/>
  <c r="AB3" i="46"/>
  <c r="AB4" i="46"/>
  <c r="H3" i="46"/>
  <c r="H4" i="46"/>
  <c r="AR21" i="46"/>
  <c r="AR20" i="46"/>
  <c r="X21" i="46"/>
  <c r="X20" i="46"/>
  <c r="D21" i="46"/>
  <c r="D20" i="46"/>
  <c r="AP3" i="46"/>
  <c r="AP4" i="46"/>
  <c r="AU3" i="46"/>
  <c r="AU4" i="46"/>
  <c r="AA3" i="46"/>
  <c r="AA4" i="46"/>
  <c r="G3" i="46"/>
  <c r="G4" i="46"/>
  <c r="W21" i="46"/>
  <c r="W20" i="46"/>
  <c r="AM5" i="39"/>
  <c r="C21" i="46" l="1"/>
  <c r="BC25" i="16" s="1"/>
  <c r="BB25" i="16"/>
  <c r="C3" i="46"/>
  <c r="BC7" i="16" s="1"/>
  <c r="BB7" i="16"/>
  <c r="C23" i="16"/>
  <c r="C24" i="16"/>
  <c r="I30" i="42" l="1" a="1"/>
  <c r="I30" i="42" s="1"/>
  <c r="G25" i="42" a="1"/>
  <c r="G25" i="42" s="1"/>
  <c r="G26" i="42" a="1"/>
  <c r="G26" i="42" s="1"/>
  <c r="G27" i="42" a="1"/>
  <c r="G27" i="42" s="1"/>
  <c r="G28" i="42" a="1"/>
  <c r="G28" i="42" s="1"/>
  <c r="G29" i="42" a="1"/>
  <c r="G29" i="42" s="1"/>
  <c r="G30" i="42" a="1"/>
  <c r="G30" i="42" s="1"/>
  <c r="E25" i="42" a="1"/>
  <c r="E25" i="42" s="1"/>
  <c r="E26" i="42" a="1"/>
  <c r="E26" i="42" s="1"/>
  <c r="E27" i="42" a="1"/>
  <c r="E27" i="42" s="1"/>
  <c r="E28" i="42" a="1"/>
  <c r="E28" i="42" s="1"/>
  <c r="E29" i="42" a="1"/>
  <c r="E29" i="42" s="1"/>
  <c r="E30" i="42" a="1"/>
  <c r="E30" i="42" s="1"/>
  <c r="AS25" i="33"/>
  <c r="I25" i="33" s="1"/>
  <c r="AS26" i="33"/>
  <c r="I26" i="33" s="1"/>
  <c r="AS27" i="33"/>
  <c r="I27" i="33" s="1"/>
  <c r="AS28" i="33"/>
  <c r="I28" i="33" s="1"/>
  <c r="AS29" i="33"/>
  <c r="I29" i="33" s="1"/>
  <c r="AS30" i="33"/>
  <c r="I30" i="33" s="1"/>
  <c r="AS7" i="33"/>
  <c r="AS8" i="33" l="1"/>
  <c r="C30" i="44" l="1" a="1"/>
  <c r="C30" i="44" s="1"/>
  <c r="F30" i="44" s="1"/>
  <c r="C29" i="44" a="1"/>
  <c r="C29" i="44" s="1"/>
  <c r="F29" i="44" s="1"/>
  <c r="C28" i="44" a="1"/>
  <c r="C28" i="44" s="1"/>
  <c r="F28" i="44" s="1"/>
  <c r="C27" i="44" a="1"/>
  <c r="C27" i="44" s="1"/>
  <c r="F27" i="44" s="1"/>
  <c r="C26" i="44" a="1"/>
  <c r="C26" i="44" s="1"/>
  <c r="C25" i="44" a="1"/>
  <c r="C25" i="44" s="1"/>
  <c r="F25" i="44" s="1"/>
  <c r="C11" i="44" a="1"/>
  <c r="C11" i="44" s="1"/>
  <c r="F11" i="44" s="1"/>
  <c r="C10" i="44" a="1"/>
  <c r="C10" i="44" s="1"/>
  <c r="F10" i="44" s="1"/>
  <c r="C9" i="44" a="1"/>
  <c r="C9" i="44" s="1"/>
  <c r="F9" i="44" s="1"/>
  <c r="C8" i="44" a="1"/>
  <c r="C8" i="44" s="1"/>
  <c r="F8" i="44" s="1"/>
  <c r="C7" i="44" a="1"/>
  <c r="C7" i="44" s="1"/>
  <c r="F7" i="44" s="1"/>
  <c r="L5" i="44"/>
  <c r="L26" i="44" l="1"/>
  <c r="F26" i="44"/>
  <c r="I26" i="44" s="1"/>
  <c r="I10" i="44"/>
  <c r="L28" i="44"/>
  <c r="I28" i="44"/>
  <c r="I27" i="44"/>
  <c r="L27" i="44"/>
  <c r="I29" i="44"/>
  <c r="L29" i="44"/>
  <c r="L25" i="44"/>
  <c r="I25" i="44"/>
  <c r="L30" i="44"/>
  <c r="I30" i="44"/>
  <c r="I11" i="44" l="1"/>
  <c r="I9" i="44"/>
  <c r="I8" i="44"/>
  <c r="I7" i="44"/>
  <c r="AR7" i="33" l="1"/>
  <c r="C2" i="42"/>
  <c r="AD15" i="33"/>
  <c r="L25" i="39"/>
  <c r="L26" i="39"/>
  <c r="L27" i="39"/>
  <c r="L28" i="39"/>
  <c r="L29" i="39"/>
  <c r="L30" i="39"/>
  <c r="N27" i="40" l="1" a="1"/>
  <c r="N27" i="40" s="1"/>
  <c r="AE27" i="33" s="1"/>
  <c r="AD27" i="33"/>
  <c r="N30" i="40" a="1"/>
  <c r="N30" i="40" s="1"/>
  <c r="AE30" i="33" s="1"/>
  <c r="AD30" i="33"/>
  <c r="O29" i="40" a="1"/>
  <c r="O29" i="40" s="1"/>
  <c r="AF29" i="33" s="1"/>
  <c r="AD29" i="33"/>
  <c r="N26" i="40" a="1"/>
  <c r="N26" i="40" s="1"/>
  <c r="AE26" i="33" s="1"/>
  <c r="AD26" i="33"/>
  <c r="P25" i="40" a="1"/>
  <c r="P25" i="40" s="1"/>
  <c r="AG25" i="33" s="1"/>
  <c r="AD25" i="33"/>
  <c r="P28" i="40" a="1"/>
  <c r="P28" i="40" s="1"/>
  <c r="AG28" i="33" s="1"/>
  <c r="AD28" i="33"/>
  <c r="O24" i="40" a="1"/>
  <c r="O24" i="40" s="1"/>
  <c r="AF24" i="33" s="1"/>
  <c r="AD24" i="33"/>
  <c r="O21" i="40" a="1"/>
  <c r="O21" i="40" s="1"/>
  <c r="AF21" i="33" s="1"/>
  <c r="AD21" i="33"/>
  <c r="O18" i="40" a="1"/>
  <c r="O18" i="40" s="1"/>
  <c r="AF18" i="33" s="1"/>
  <c r="AD18" i="33"/>
  <c r="N14" i="40" a="1"/>
  <c r="N14" i="40" s="1"/>
  <c r="AE14" i="33" s="1"/>
  <c r="AD14" i="33"/>
  <c r="P12" i="40" a="1"/>
  <c r="P12" i="40" s="1"/>
  <c r="AG12" i="33" s="1"/>
  <c r="AD12" i="33"/>
  <c r="P23" i="40" a="1"/>
  <c r="P23" i="40" s="1"/>
  <c r="AG23" i="33" s="1"/>
  <c r="AD23" i="33"/>
  <c r="O20" i="40" a="1"/>
  <c r="O20" i="40" s="1"/>
  <c r="AF20" i="33" s="1"/>
  <c r="AD20" i="33"/>
  <c r="O19" i="40" a="1"/>
  <c r="O19" i="40" s="1"/>
  <c r="AF19" i="33" s="1"/>
  <c r="AD19" i="33"/>
  <c r="N16" i="40" a="1"/>
  <c r="N16" i="40" s="1"/>
  <c r="AE16" i="33" s="1"/>
  <c r="AD16" i="33"/>
  <c r="O13" i="40" a="1"/>
  <c r="O13" i="40" s="1"/>
  <c r="AF13" i="33" s="1"/>
  <c r="AD13" i="33"/>
  <c r="P11" i="40" a="1"/>
  <c r="P11" i="40" s="1"/>
  <c r="AG11" i="33" s="1"/>
  <c r="AD11" i="33"/>
  <c r="N22" i="40" a="1"/>
  <c r="N22" i="40" s="1"/>
  <c r="AE22" i="33" s="1"/>
  <c r="AD22" i="33"/>
  <c r="AE9" i="33"/>
  <c r="AD9" i="33"/>
  <c r="P10" i="40" a="1"/>
  <c r="P10" i="40" s="1"/>
  <c r="AG10" i="33" s="1"/>
  <c r="AD10" i="33"/>
  <c r="P17" i="40" a="1"/>
  <c r="P17" i="40" s="1"/>
  <c r="AG17" i="33" s="1"/>
  <c r="AD17" i="33"/>
  <c r="AJ25" i="39"/>
  <c r="AM25" i="39"/>
  <c r="O28" i="39"/>
  <c r="AJ28" i="39"/>
  <c r="AM28" i="39"/>
  <c r="O30" i="39"/>
  <c r="AJ30" i="39"/>
  <c r="AM30" i="39"/>
  <c r="AM26" i="39"/>
  <c r="AJ26" i="39"/>
  <c r="O29" i="39"/>
  <c r="AJ29" i="39"/>
  <c r="AM29" i="39"/>
  <c r="O27" i="39"/>
  <c r="AJ27" i="39"/>
  <c r="AM27" i="39"/>
  <c r="AI7" i="33"/>
  <c r="O25" i="39"/>
  <c r="O26" i="39"/>
  <c r="N13" i="40" a="1"/>
  <c r="N13" i="40" s="1"/>
  <c r="AE13" i="33" s="1"/>
  <c r="N29" i="40" a="1"/>
  <c r="N29" i="40" s="1"/>
  <c r="AE29" i="33" s="1"/>
  <c r="N21" i="40" a="1"/>
  <c r="N21" i="40" s="1"/>
  <c r="AE21" i="33" s="1"/>
  <c r="O23" i="40" a="1"/>
  <c r="O23" i="40" s="1"/>
  <c r="AF23" i="33" s="1"/>
  <c r="P29" i="40" a="1"/>
  <c r="P29" i="40" s="1"/>
  <c r="AG29" i="33" s="1"/>
  <c r="P16" i="40" a="1"/>
  <c r="P16" i="40" s="1"/>
  <c r="AG16" i="33" s="1"/>
  <c r="M31" i="40"/>
  <c r="AI8" i="33"/>
  <c r="N28" i="40" a="1"/>
  <c r="N28" i="40" s="1"/>
  <c r="AE28" i="33" s="1"/>
  <c r="N20" i="40" a="1"/>
  <c r="N20" i="40" s="1"/>
  <c r="AE20" i="33" s="1"/>
  <c r="N12" i="40" a="1"/>
  <c r="N12" i="40" s="1"/>
  <c r="AE12" i="33" s="1"/>
  <c r="O28" i="40" a="1"/>
  <c r="O28" i="40" s="1"/>
  <c r="AF28" i="33" s="1"/>
  <c r="O22" i="40" a="1"/>
  <c r="O22" i="40" s="1"/>
  <c r="AF22" i="33" s="1"/>
  <c r="O17" i="40" a="1"/>
  <c r="O17" i="40" s="1"/>
  <c r="AF17" i="33" s="1"/>
  <c r="O12" i="40" a="1"/>
  <c r="O12" i="40" s="1"/>
  <c r="AF12" i="33" s="1"/>
  <c r="P15" i="40" a="1"/>
  <c r="P15" i="40" s="1"/>
  <c r="AG15" i="33" s="1"/>
  <c r="N19" i="40" a="1"/>
  <c r="N19" i="40" s="1"/>
  <c r="AE19" i="33" s="1"/>
  <c r="N11" i="40" a="1"/>
  <c r="N11" i="40" s="1"/>
  <c r="AE11" i="33" s="1"/>
  <c r="O27" i="40" a="1"/>
  <c r="O27" i="40" s="1"/>
  <c r="AF27" i="33" s="1"/>
  <c r="O11" i="40" a="1"/>
  <c r="O11" i="40" s="1"/>
  <c r="AF11" i="33" s="1"/>
  <c r="P27" i="40" a="1"/>
  <c r="P27" i="40" s="1"/>
  <c r="AG27" i="33" s="1"/>
  <c r="P21" i="40" a="1"/>
  <c r="P21" i="40" s="1"/>
  <c r="AG21" i="33" s="1"/>
  <c r="P14" i="40" a="1"/>
  <c r="P14" i="40" s="1"/>
  <c r="AG14" i="33" s="1"/>
  <c r="N18" i="40" a="1"/>
  <c r="N18" i="40" s="1"/>
  <c r="AE18" i="33" s="1"/>
  <c r="N10" i="40" a="1"/>
  <c r="N10" i="40" s="1"/>
  <c r="AE10" i="33" s="1"/>
  <c r="O26" i="40" a="1"/>
  <c r="O26" i="40" s="1"/>
  <c r="AF26" i="33" s="1"/>
  <c r="O16" i="40" a="1"/>
  <c r="O16" i="40" s="1"/>
  <c r="AF16" i="33" s="1"/>
  <c r="O10" i="40" a="1"/>
  <c r="O10" i="40" s="1"/>
  <c r="AF10" i="33" s="1"/>
  <c r="P26" i="40" a="1"/>
  <c r="P26" i="40" s="1"/>
  <c r="AG26" i="33" s="1"/>
  <c r="P20" i="40" a="1"/>
  <c r="P20" i="40" s="1"/>
  <c r="AG20" i="33" s="1"/>
  <c r="N17" i="40" a="1"/>
  <c r="N17" i="40" s="1"/>
  <c r="AE17" i="33" s="1"/>
  <c r="O9" i="40" a="1"/>
  <c r="O9" i="40" s="1"/>
  <c r="AF9" i="33" s="1"/>
  <c r="O15" i="40" a="1"/>
  <c r="O15" i="40" s="1"/>
  <c r="AF15" i="33" s="1"/>
  <c r="P19" i="40" a="1"/>
  <c r="P19" i="40" s="1"/>
  <c r="AG19" i="33" s="1"/>
  <c r="P13" i="40" a="1"/>
  <c r="P13" i="40" s="1"/>
  <c r="AG13" i="33" s="1"/>
  <c r="N25" i="40" a="1"/>
  <c r="N25" i="40" s="1"/>
  <c r="AE25" i="33" s="1"/>
  <c r="O30" i="40" a="1"/>
  <c r="O30" i="40" s="1"/>
  <c r="AF30" i="33" s="1"/>
  <c r="O25" i="40" a="1"/>
  <c r="O25" i="40" s="1"/>
  <c r="AF25" i="33" s="1"/>
  <c r="O14" i="40" a="1"/>
  <c r="O14" i="40" s="1"/>
  <c r="AF14" i="33" s="1"/>
  <c r="P9" i="40" a="1"/>
  <c r="P9" i="40" s="1"/>
  <c r="AG9" i="33" s="1"/>
  <c r="P18" i="40" a="1"/>
  <c r="P18" i="40" s="1"/>
  <c r="AG18" i="33" s="1"/>
  <c r="N24" i="40" a="1"/>
  <c r="N24" i="40" s="1"/>
  <c r="AE24" i="33" s="1"/>
  <c r="N15" i="40" a="1"/>
  <c r="N15" i="40" s="1"/>
  <c r="AE15" i="33" s="1"/>
  <c r="P30" i="40" a="1"/>
  <c r="P30" i="40" s="1"/>
  <c r="AG30" i="33" s="1"/>
  <c r="P24" i="40" a="1"/>
  <c r="P24" i="40" s="1"/>
  <c r="AG24" i="33" s="1"/>
  <c r="P22" i="40" a="1"/>
  <c r="P22" i="40" s="1"/>
  <c r="AG22" i="33" s="1"/>
  <c r="N23" i="40" a="1"/>
  <c r="N23" i="40" s="1"/>
  <c r="AE23" i="33" s="1"/>
  <c r="AT23" i="33"/>
  <c r="AT24" i="33"/>
  <c r="AL25" i="33"/>
  <c r="AM25" i="33"/>
  <c r="AN25" i="33"/>
  <c r="AO25" i="33"/>
  <c r="AP25" i="33"/>
  <c r="AQ25" i="33"/>
  <c r="AR25" i="33"/>
  <c r="AT25" i="33"/>
  <c r="AL26" i="33"/>
  <c r="AM26" i="33"/>
  <c r="AN26" i="33"/>
  <c r="AO26" i="33"/>
  <c r="AP26" i="33"/>
  <c r="AQ26" i="33"/>
  <c r="AR26" i="33"/>
  <c r="AT26" i="33"/>
  <c r="AL27" i="33"/>
  <c r="AM27" i="33"/>
  <c r="AN27" i="33"/>
  <c r="AO27" i="33"/>
  <c r="AP27" i="33"/>
  <c r="AQ27" i="33"/>
  <c r="AR27" i="33"/>
  <c r="AT27" i="33"/>
  <c r="AL28" i="33"/>
  <c r="AM28" i="33"/>
  <c r="AN28" i="33"/>
  <c r="AO28" i="33"/>
  <c r="AP28" i="33"/>
  <c r="AQ28" i="33"/>
  <c r="AR28" i="33"/>
  <c r="AT28" i="33"/>
  <c r="AL29" i="33"/>
  <c r="AM29" i="33"/>
  <c r="AN29" i="33"/>
  <c r="AO29" i="33"/>
  <c r="AP29" i="33"/>
  <c r="AQ29" i="33"/>
  <c r="AR29" i="33"/>
  <c r="AT29" i="33"/>
  <c r="AL30" i="33"/>
  <c r="AM30" i="33"/>
  <c r="AN30" i="33"/>
  <c r="AO30" i="33"/>
  <c r="AP30" i="33"/>
  <c r="AQ30" i="33"/>
  <c r="AR30" i="33"/>
  <c r="AT30" i="33"/>
  <c r="M6" i="36"/>
  <c r="BC6" i="36"/>
  <c r="BB6" i="36"/>
  <c r="AZ6" i="36"/>
  <c r="BA6" i="36"/>
  <c r="AX6" i="36"/>
  <c r="AY6" i="36"/>
  <c r="AM6" i="36"/>
  <c r="AN6" i="36"/>
  <c r="AO6" i="36"/>
  <c r="AP6" i="36"/>
  <c r="AQ6" i="36"/>
  <c r="AR6" i="36"/>
  <c r="AS6" i="36"/>
  <c r="AT6" i="36"/>
  <c r="AU6" i="36"/>
  <c r="AV6" i="36"/>
  <c r="AW6" i="36"/>
  <c r="AG6" i="36"/>
  <c r="AH6" i="36"/>
  <c r="AI6" i="36"/>
  <c r="AJ6" i="36"/>
  <c r="AK6" i="36"/>
  <c r="AL6" i="36"/>
  <c r="F6" i="36"/>
  <c r="G6" i="36"/>
  <c r="H6" i="36"/>
  <c r="I6" i="36"/>
  <c r="J6" i="36"/>
  <c r="K6" i="36"/>
  <c r="L6" i="36"/>
  <c r="N6" i="36"/>
  <c r="O6" i="36"/>
  <c r="P6" i="36"/>
  <c r="Q6" i="36"/>
  <c r="R6" i="36"/>
  <c r="S6" i="36"/>
  <c r="T6" i="36"/>
  <c r="U6" i="36"/>
  <c r="V6" i="36"/>
  <c r="W6" i="36"/>
  <c r="X6" i="36"/>
  <c r="Y6" i="36"/>
  <c r="Z6" i="36"/>
  <c r="AA6" i="36"/>
  <c r="AB6" i="36"/>
  <c r="AC6" i="36"/>
  <c r="AD6" i="36"/>
  <c r="AE6" i="36"/>
  <c r="AF6" i="36"/>
  <c r="E6" i="36"/>
  <c r="AO7" i="33"/>
  <c r="K9" i="40" a="1"/>
  <c r="K9" i="40" s="1"/>
  <c r="AB9" i="33" s="1"/>
  <c r="K10" i="40" a="1"/>
  <c r="K10" i="40" s="1"/>
  <c r="AB10" i="33" s="1"/>
  <c r="K11" i="40" a="1"/>
  <c r="K11" i="40" s="1"/>
  <c r="AB11" i="33" s="1"/>
  <c r="K12" i="40" a="1"/>
  <c r="K12" i="40" s="1"/>
  <c r="AB12" i="33" s="1"/>
  <c r="K13" i="40" a="1"/>
  <c r="K13" i="40" s="1"/>
  <c r="AB13" i="33" s="1"/>
  <c r="K14" i="40" a="1"/>
  <c r="K14" i="40" s="1"/>
  <c r="AB14" i="33" s="1"/>
  <c r="K15" i="40" a="1"/>
  <c r="K15" i="40" s="1"/>
  <c r="AB15" i="33" s="1"/>
  <c r="K16" i="40" a="1"/>
  <c r="K16" i="40" s="1"/>
  <c r="AB16" i="33" s="1"/>
  <c r="K17" i="40" a="1"/>
  <c r="K17" i="40" s="1"/>
  <c r="AB17" i="33" s="1"/>
  <c r="K18" i="40" a="1"/>
  <c r="K18" i="40" s="1"/>
  <c r="AB18" i="33" s="1"/>
  <c r="K19" i="40" a="1"/>
  <c r="K19" i="40" s="1"/>
  <c r="AB19" i="33" s="1"/>
  <c r="K20" i="40" a="1"/>
  <c r="K20" i="40" s="1"/>
  <c r="AB20" i="33" s="1"/>
  <c r="K21" i="40" a="1"/>
  <c r="K21" i="40" s="1"/>
  <c r="AB21" i="33" s="1"/>
  <c r="K22" i="40" a="1"/>
  <c r="K22" i="40" s="1"/>
  <c r="AB22" i="33" s="1"/>
  <c r="J9" i="40" a="1"/>
  <c r="J9" i="40" s="1"/>
  <c r="AA9" i="33" s="1"/>
  <c r="J10" i="40" a="1"/>
  <c r="J10" i="40" s="1"/>
  <c r="AA10" i="33" s="1"/>
  <c r="J11" i="40" a="1"/>
  <c r="J11" i="40" s="1"/>
  <c r="AA11" i="33" s="1"/>
  <c r="J12" i="40" a="1"/>
  <c r="J12" i="40" s="1"/>
  <c r="AA12" i="33" s="1"/>
  <c r="J13" i="40" a="1"/>
  <c r="J13" i="40" s="1"/>
  <c r="AA13" i="33" s="1"/>
  <c r="J14" i="40" a="1"/>
  <c r="J14" i="40" s="1"/>
  <c r="AA14" i="33" s="1"/>
  <c r="J15" i="40" a="1"/>
  <c r="J15" i="40" s="1"/>
  <c r="AA15" i="33" s="1"/>
  <c r="J16" i="40" a="1"/>
  <c r="J16" i="40" s="1"/>
  <c r="AA16" i="33" s="1"/>
  <c r="J17" i="40" a="1"/>
  <c r="J17" i="40" s="1"/>
  <c r="AA17" i="33" s="1"/>
  <c r="J18" i="40" a="1"/>
  <c r="J18" i="40" s="1"/>
  <c r="AA18" i="33" s="1"/>
  <c r="J19" i="40" a="1"/>
  <c r="J19" i="40" s="1"/>
  <c r="AA19" i="33" s="1"/>
  <c r="J20" i="40" a="1"/>
  <c r="J20" i="40" s="1"/>
  <c r="AA20" i="33" s="1"/>
  <c r="J21" i="40" a="1"/>
  <c r="J21" i="40" s="1"/>
  <c r="AA21" i="33" s="1"/>
  <c r="J22" i="40" a="1"/>
  <c r="J22" i="40" s="1"/>
  <c r="AA22" i="33" s="1"/>
  <c r="AM7" i="33"/>
  <c r="I9" i="40" a="1"/>
  <c r="I9" i="40" s="1"/>
  <c r="Z9" i="33" s="1"/>
  <c r="I10" i="40" a="1"/>
  <c r="I10" i="40" s="1"/>
  <c r="Z10" i="33" s="1"/>
  <c r="I11" i="40" a="1"/>
  <c r="I11" i="40" s="1"/>
  <c r="Z11" i="33" s="1"/>
  <c r="I12" i="40" a="1"/>
  <c r="I12" i="40" s="1"/>
  <c r="Z12" i="33" s="1"/>
  <c r="I13" i="40" a="1"/>
  <c r="I13" i="40" s="1"/>
  <c r="Z13" i="33" s="1"/>
  <c r="I14" i="40" a="1"/>
  <c r="I14" i="40" s="1"/>
  <c r="Z14" i="33" s="1"/>
  <c r="I15" i="40" a="1"/>
  <c r="I15" i="40" s="1"/>
  <c r="Z15" i="33" s="1"/>
  <c r="I16" i="40" a="1"/>
  <c r="I16" i="40" s="1"/>
  <c r="Z16" i="33" s="1"/>
  <c r="I17" i="40" a="1"/>
  <c r="I17" i="40" s="1"/>
  <c r="I18" i="40" a="1"/>
  <c r="I18" i="40" s="1"/>
  <c r="Z18" i="33" s="1"/>
  <c r="I19" i="40" a="1"/>
  <c r="I19" i="40" s="1"/>
  <c r="Z19" i="33" s="1"/>
  <c r="I20" i="40" a="1"/>
  <c r="I20" i="40" s="1"/>
  <c r="Z20" i="33" s="1"/>
  <c r="I21" i="40" a="1"/>
  <c r="I21" i="40" s="1"/>
  <c r="Z21" i="33" s="1"/>
  <c r="I22" i="40" a="1"/>
  <c r="I22" i="40" s="1"/>
  <c r="Z22" i="33" s="1"/>
  <c r="B41" i="15"/>
  <c r="B42" i="15" s="1"/>
  <c r="C8" i="12" a="1"/>
  <c r="C8" i="12" s="1"/>
  <c r="C9" i="12" a="1"/>
  <c r="C9" i="12" s="1"/>
  <c r="C25" i="12" a="1"/>
  <c r="C25" i="12" s="1"/>
  <c r="C26" i="12" a="1"/>
  <c r="C26" i="12" s="1"/>
  <c r="C27" i="12" a="1"/>
  <c r="C27" i="12" s="1"/>
  <c r="C28" i="12" a="1"/>
  <c r="C28" i="12" s="1"/>
  <c r="C29" i="12" a="1"/>
  <c r="C29" i="12" s="1"/>
  <c r="C30" i="12" a="1"/>
  <c r="C30" i="12" s="1"/>
  <c r="C7" i="12" a="1"/>
  <c r="C7" i="12" s="1"/>
  <c r="AQ7" i="33"/>
  <c r="AT7" i="33"/>
  <c r="AP7" i="33"/>
  <c r="AN7" i="33"/>
  <c r="C8" i="24" a="1"/>
  <c r="C8" i="24" s="1"/>
  <c r="C9" i="24" a="1"/>
  <c r="C9" i="24" s="1"/>
  <c r="C10" i="24" a="1"/>
  <c r="C10" i="24" s="1"/>
  <c r="C11" i="24" a="1"/>
  <c r="C11" i="24" s="1"/>
  <c r="C12" i="24" a="1"/>
  <c r="C12" i="24" s="1"/>
  <c r="C13" i="24" a="1"/>
  <c r="C13" i="24" s="1"/>
  <c r="C14" i="24" a="1"/>
  <c r="C14" i="24" s="1"/>
  <c r="C15" i="24" a="1"/>
  <c r="C15" i="24" s="1"/>
  <c r="C25" i="24" a="1"/>
  <c r="C25" i="24" s="1"/>
  <c r="L25" i="24" s="1"/>
  <c r="C26" i="24" a="1"/>
  <c r="C26" i="24" s="1"/>
  <c r="L26" i="24" s="1"/>
  <c r="C27" i="24" a="1"/>
  <c r="C27" i="24" s="1"/>
  <c r="L27" i="24" s="1"/>
  <c r="C28" i="24" a="1"/>
  <c r="C28" i="24" s="1"/>
  <c r="C29" i="24" a="1"/>
  <c r="C29" i="24" s="1"/>
  <c r="L29" i="24" s="1"/>
  <c r="C30" i="24" a="1"/>
  <c r="C30" i="24" s="1"/>
  <c r="L30" i="24" s="1"/>
  <c r="C7" i="24" a="1"/>
  <c r="C7" i="24" s="1"/>
  <c r="C8" i="8" a="1"/>
  <c r="C8" i="8" s="1"/>
  <c r="C9" i="8" a="1"/>
  <c r="C9" i="8" s="1"/>
  <c r="C25" i="8" a="1"/>
  <c r="C25" i="8" s="1"/>
  <c r="L25" i="8" s="1"/>
  <c r="C26" i="8" a="1"/>
  <c r="C26" i="8" s="1"/>
  <c r="L26" i="8" s="1"/>
  <c r="C27" i="8" a="1"/>
  <c r="C27" i="8" s="1"/>
  <c r="L27" i="8" s="1"/>
  <c r="C28" i="8" a="1"/>
  <c r="C28" i="8" s="1"/>
  <c r="L28" i="8" s="1"/>
  <c r="C29" i="8" a="1"/>
  <c r="C29" i="8" s="1"/>
  <c r="C30" i="8" a="1"/>
  <c r="C30" i="8" s="1"/>
  <c r="L30" i="8" s="1"/>
  <c r="C7" i="8" a="1"/>
  <c r="C7" i="8" s="1"/>
  <c r="I5" i="42"/>
  <c r="C7" i="7" a="1"/>
  <c r="C7" i="7" s="1"/>
  <c r="C7" i="13" a="1"/>
  <c r="C7" i="13" s="1"/>
  <c r="C7" i="22" a="1"/>
  <c r="C7" i="22" s="1"/>
  <c r="F7" i="22" s="1"/>
  <c r="C7" i="30" a="1"/>
  <c r="C7" i="30" s="1"/>
  <c r="F7" i="30" s="1"/>
  <c r="C25" i="42" a="1"/>
  <c r="C25" i="42" s="1"/>
  <c r="C26" i="42" a="1"/>
  <c r="C26" i="42" s="1"/>
  <c r="C27" i="42" a="1"/>
  <c r="C27" i="42" s="1"/>
  <c r="C28" i="42" a="1"/>
  <c r="C28" i="42" s="1"/>
  <c r="C29" i="42" a="1"/>
  <c r="C29" i="42" s="1"/>
  <c r="C8" i="30" a="1"/>
  <c r="C8" i="30" s="1"/>
  <c r="F8" i="30" s="1"/>
  <c r="C9" i="30" a="1"/>
  <c r="C9" i="30" s="1"/>
  <c r="F9" i="30" s="1"/>
  <c r="C10" i="30" a="1"/>
  <c r="C10" i="30" s="1"/>
  <c r="F10" i="30" s="1"/>
  <c r="C11" i="30" a="1"/>
  <c r="C11" i="30" s="1"/>
  <c r="F11" i="30" s="1"/>
  <c r="C12" i="30" a="1"/>
  <c r="C12" i="30" s="1"/>
  <c r="F12" i="30" s="1"/>
  <c r="C13" i="30" a="1"/>
  <c r="C13" i="30" s="1"/>
  <c r="F13" i="30" s="1"/>
  <c r="C14" i="30" a="1"/>
  <c r="C14" i="30" s="1"/>
  <c r="F14" i="30" s="1"/>
  <c r="C15" i="30" a="1"/>
  <c r="C15" i="30" s="1"/>
  <c r="F15" i="30" s="1"/>
  <c r="C16" i="30" a="1"/>
  <c r="C16" i="30" s="1"/>
  <c r="F16" i="30" s="1"/>
  <c r="C17" i="30" a="1"/>
  <c r="C17" i="30" s="1"/>
  <c r="F17" i="30" s="1"/>
  <c r="C25" i="30" a="1"/>
  <c r="C25" i="30" s="1"/>
  <c r="C26" i="30" a="1"/>
  <c r="C26" i="30" s="1"/>
  <c r="C27" i="30" a="1"/>
  <c r="C27" i="30" s="1"/>
  <c r="C28" i="30" a="1"/>
  <c r="C28" i="30" s="1"/>
  <c r="C29" i="30" a="1"/>
  <c r="C29" i="30" s="1"/>
  <c r="F29" i="30" s="1"/>
  <c r="C30" i="30" a="1"/>
  <c r="C30" i="30" s="1"/>
  <c r="C8" i="22" a="1"/>
  <c r="C8" i="22" s="1"/>
  <c r="F8" i="22" s="1"/>
  <c r="C9" i="22" a="1"/>
  <c r="C9" i="22" s="1"/>
  <c r="F9" i="22" s="1"/>
  <c r="C10" i="22" a="1"/>
  <c r="C10" i="22" s="1"/>
  <c r="F10" i="22" s="1"/>
  <c r="C11" i="22" a="1"/>
  <c r="C11" i="22" s="1"/>
  <c r="F11" i="22" s="1"/>
  <c r="C25" i="22" a="1"/>
  <c r="C25" i="22" s="1"/>
  <c r="C26" i="22" a="1"/>
  <c r="C26" i="22" s="1"/>
  <c r="C27" i="22" a="1"/>
  <c r="C27" i="22" s="1"/>
  <c r="C28" i="22" a="1"/>
  <c r="C28" i="22" s="1"/>
  <c r="C29" i="22" a="1"/>
  <c r="C29" i="22" s="1"/>
  <c r="C30" i="22" a="1"/>
  <c r="C30" i="22" s="1"/>
  <c r="C25" i="7" a="1"/>
  <c r="C25" i="7" s="1"/>
  <c r="C26" i="7" a="1"/>
  <c r="C26" i="7" s="1"/>
  <c r="C27" i="7" a="1"/>
  <c r="C27" i="7" s="1"/>
  <c r="C28" i="7" a="1"/>
  <c r="C28" i="7" s="1"/>
  <c r="C29" i="7" a="1"/>
  <c r="C29" i="7" s="1"/>
  <c r="C30" i="7" a="1"/>
  <c r="C30" i="7" s="1"/>
  <c r="C25" i="13" a="1"/>
  <c r="C25" i="13" s="1"/>
  <c r="C26" i="13" a="1"/>
  <c r="C26" i="13" s="1"/>
  <c r="C27" i="13" a="1"/>
  <c r="C27" i="13" s="1"/>
  <c r="C28" i="13" a="1"/>
  <c r="C28" i="13" s="1"/>
  <c r="C29" i="13" a="1"/>
  <c r="C29" i="13" s="1"/>
  <c r="C30" i="13" a="1"/>
  <c r="C30" i="13" s="1"/>
  <c r="C25" i="2" a="1"/>
  <c r="C25" i="2" s="1"/>
  <c r="L25" i="2" s="1"/>
  <c r="C26" i="2" a="1"/>
  <c r="C26" i="2" s="1"/>
  <c r="L26" i="2" s="1"/>
  <c r="C27" i="2" a="1"/>
  <c r="C27" i="2" s="1"/>
  <c r="L27" i="2" s="1"/>
  <c r="C28" i="2" a="1"/>
  <c r="C28" i="2" s="1"/>
  <c r="C29" i="2" a="1"/>
  <c r="C29" i="2" s="1"/>
  <c r="L29" i="2" s="1"/>
  <c r="C30" i="2" a="1"/>
  <c r="C30" i="2" s="1"/>
  <c r="L30" i="2" s="1"/>
  <c r="D25" i="42"/>
  <c r="D26" i="42"/>
  <c r="D27" i="42"/>
  <c r="D28" i="42"/>
  <c r="D29" i="42"/>
  <c r="D30" i="42"/>
  <c r="C30" i="42" a="1"/>
  <c r="C30" i="42" s="1"/>
  <c r="J30" i="42"/>
  <c r="H30" i="42"/>
  <c r="F30" i="42"/>
  <c r="J29" i="42"/>
  <c r="H29" i="42"/>
  <c r="F29" i="42"/>
  <c r="J28" i="42"/>
  <c r="H28" i="42"/>
  <c r="F28" i="42"/>
  <c r="J27" i="42"/>
  <c r="H27" i="42"/>
  <c r="F27" i="42"/>
  <c r="J26" i="42"/>
  <c r="H26" i="42"/>
  <c r="F26" i="42"/>
  <c r="J25" i="42"/>
  <c r="H25" i="42"/>
  <c r="F25" i="42"/>
  <c r="AG25" i="39"/>
  <c r="AG26" i="39"/>
  <c r="AG27" i="39"/>
  <c r="AG28" i="39"/>
  <c r="AG29" i="39"/>
  <c r="AG30" i="39"/>
  <c r="I25" i="39"/>
  <c r="I26" i="39"/>
  <c r="I27" i="39"/>
  <c r="I28" i="39"/>
  <c r="I29" i="39"/>
  <c r="I30" i="39"/>
  <c r="F25" i="39"/>
  <c r="F26" i="39"/>
  <c r="F27" i="39"/>
  <c r="F28" i="39"/>
  <c r="F29" i="39"/>
  <c r="F30" i="39"/>
  <c r="X30" i="39"/>
  <c r="AD29" i="39"/>
  <c r="AD28" i="39"/>
  <c r="AG5" i="12"/>
  <c r="AG5" i="13"/>
  <c r="AG5" i="7"/>
  <c r="L5" i="30"/>
  <c r="L5" i="24"/>
  <c r="L5" i="22"/>
  <c r="L5" i="12"/>
  <c r="L5" i="8"/>
  <c r="L5" i="7"/>
  <c r="L5" i="2"/>
  <c r="E20" i="16"/>
  <c r="C20" i="16" s="1"/>
  <c r="AJ5" i="39"/>
  <c r="AG5" i="39"/>
  <c r="AD5" i="39"/>
  <c r="O5" i="39"/>
  <c r="L5" i="13"/>
  <c r="C8" i="16"/>
  <c r="C22" i="16"/>
  <c r="B33" i="15"/>
  <c r="B34" i="15" s="1"/>
  <c r="E16" i="16"/>
  <c r="C16" i="16" s="1"/>
  <c r="C19" i="16"/>
  <c r="C21" i="16"/>
  <c r="E18" i="16"/>
  <c r="C18" i="16" s="1"/>
  <c r="E12" i="16"/>
  <c r="C12" i="16" s="1"/>
  <c r="E11" i="16"/>
  <c r="C11" i="16" s="1"/>
  <c r="E15" i="16"/>
  <c r="C15" i="16" s="1"/>
  <c r="E17" i="16"/>
  <c r="C17" i="16" s="1"/>
  <c r="BF8" i="16"/>
  <c r="B16" i="15"/>
  <c r="C7" i="16"/>
  <c r="B32" i="15"/>
  <c r="C9" i="16"/>
  <c r="C10" i="16"/>
  <c r="C13" i="16"/>
  <c r="C14" i="16"/>
  <c r="AA5" i="13"/>
  <c r="B19" i="16"/>
  <c r="B20" i="16" s="1"/>
  <c r="B21" i="16" s="1"/>
  <c r="B22" i="16" s="1"/>
  <c r="B23" i="16" s="1"/>
  <c r="B24" i="16" s="1"/>
  <c r="B25" i="16" s="1"/>
  <c r="B26" i="16" s="1"/>
  <c r="B27" i="16" s="1"/>
  <c r="B28" i="16" s="1"/>
  <c r="B29" i="16" s="1"/>
  <c r="B30" i="16" s="1"/>
  <c r="T28" i="15"/>
  <c r="Q28" i="15"/>
  <c r="T5" i="15"/>
  <c r="V5" i="15" s="1"/>
  <c r="T6" i="15"/>
  <c r="V6" i="15" s="1"/>
  <c r="T7" i="15"/>
  <c r="V7" i="15" s="1"/>
  <c r="T8" i="15"/>
  <c r="V8" i="15" s="1"/>
  <c r="T9" i="15"/>
  <c r="V9" i="15" s="1"/>
  <c r="B8" i="16"/>
  <c r="B9" i="16" s="1"/>
  <c r="B10" i="16" s="1"/>
  <c r="B11" i="16" s="1"/>
  <c r="B12" i="16" s="1"/>
  <c r="AD5" i="12"/>
  <c r="AD5" i="13"/>
  <c r="AA5" i="12"/>
  <c r="AD5" i="7"/>
  <c r="X5" i="12"/>
  <c r="AA5" i="7"/>
  <c r="X5" i="7"/>
  <c r="X5" i="13"/>
  <c r="BH8" i="16" l="1"/>
  <c r="BG8" i="16"/>
  <c r="Z17" i="33"/>
  <c r="R17" i="40"/>
  <c r="C105" i="40"/>
  <c r="C106" i="40"/>
  <c r="E13" i="40"/>
  <c r="F13" i="39" s="1"/>
  <c r="E10" i="40"/>
  <c r="F10" i="39" s="1"/>
  <c r="E9" i="40"/>
  <c r="F9" i="39" s="1"/>
  <c r="AP23" i="33"/>
  <c r="AR23" i="33"/>
  <c r="AP24" i="33"/>
  <c r="AQ24" i="33"/>
  <c r="AQ23" i="33"/>
  <c r="AR24" i="33"/>
  <c r="AS24" i="33"/>
  <c r="I24" i="33" s="1"/>
  <c r="C24" i="44" s="1" a="1"/>
  <c r="C24" i="44" s="1"/>
  <c r="AS13" i="33"/>
  <c r="AS10" i="33"/>
  <c r="AS17" i="33"/>
  <c r="AS15" i="33"/>
  <c r="AS12" i="33"/>
  <c r="AS14" i="33"/>
  <c r="AS18" i="33"/>
  <c r="AS9" i="33"/>
  <c r="AS22" i="33"/>
  <c r="I22" i="33" s="1"/>
  <c r="AS19" i="33"/>
  <c r="AS20" i="33"/>
  <c r="AS16" i="33"/>
  <c r="AS21" i="33"/>
  <c r="AS23" i="33"/>
  <c r="I23" i="33" s="1"/>
  <c r="AS11" i="33"/>
  <c r="BF9" i="16"/>
  <c r="B44" i="15"/>
  <c r="AU191" i="40" s="1"/>
  <c r="AU218" i="40" s="1" a="1"/>
  <c r="AU218" i="40" s="1"/>
  <c r="M95" i="40"/>
  <c r="M122" i="40" s="1"/>
  <c r="M149" i="40" s="1"/>
  <c r="AG95" i="40"/>
  <c r="BA95" i="40"/>
  <c r="BA122" i="40" s="1"/>
  <c r="BA149" i="40" s="1"/>
  <c r="W94" i="40"/>
  <c r="W121" i="40" s="1"/>
  <c r="W148" i="40" s="1"/>
  <c r="AQ94" i="40"/>
  <c r="AQ121" i="40" s="1"/>
  <c r="AQ148" i="40" s="1"/>
  <c r="V95" i="40"/>
  <c r="AQ95" i="40"/>
  <c r="N94" i="40"/>
  <c r="N121" i="40" s="1"/>
  <c r="N148" i="40" s="1"/>
  <c r="AI94" i="40"/>
  <c r="AI121" i="40" s="1"/>
  <c r="AI148" i="40" s="1"/>
  <c r="AS95" i="40"/>
  <c r="AS122" i="40" s="1"/>
  <c r="AS149" i="40" s="1"/>
  <c r="W95" i="40"/>
  <c r="W122" i="40" s="1"/>
  <c r="W149" i="40" s="1"/>
  <c r="AR95" i="40"/>
  <c r="AR122" i="40" s="1"/>
  <c r="AR149" i="40" s="1"/>
  <c r="O94" i="40"/>
  <c r="O121" i="40" s="1"/>
  <c r="O148" i="40" s="1"/>
  <c r="AJ94" i="40"/>
  <c r="AJ121" i="40" s="1"/>
  <c r="AJ148" i="40" s="1"/>
  <c r="X95" i="40"/>
  <c r="X122" i="40" s="1"/>
  <c r="X149" i="40" s="1"/>
  <c r="AK94" i="40"/>
  <c r="AK121" i="40" s="1"/>
  <c r="AK148" i="40" s="1"/>
  <c r="C95" i="40"/>
  <c r="P94" i="40"/>
  <c r="P121" i="40" s="1"/>
  <c r="P148" i="40" s="1"/>
  <c r="D95" i="40"/>
  <c r="Y95" i="40"/>
  <c r="AT95" i="40"/>
  <c r="AT122" i="40" s="1"/>
  <c r="AT149" i="40" s="1"/>
  <c r="Q94" i="40"/>
  <c r="AL94" i="40"/>
  <c r="AL121" i="40" s="1"/>
  <c r="AL148" i="40" s="1"/>
  <c r="AU95" i="40"/>
  <c r="AU122" i="40" s="1"/>
  <c r="AU149" i="40" s="1"/>
  <c r="E95" i="40"/>
  <c r="E122" i="40" s="1"/>
  <c r="E149" i="40" s="1"/>
  <c r="Z95" i="40"/>
  <c r="Z122" i="40" s="1"/>
  <c r="Z149" i="40" s="1"/>
  <c r="R94" i="40"/>
  <c r="R121" i="40" s="1"/>
  <c r="R148" i="40" s="1"/>
  <c r="AM94" i="40"/>
  <c r="AM121" i="40" s="1"/>
  <c r="AM148" i="40" s="1"/>
  <c r="F95" i="40"/>
  <c r="AA95" i="40"/>
  <c r="AA122" i="40" s="1"/>
  <c r="AA149" i="40" s="1"/>
  <c r="AV95" i="40"/>
  <c r="AV122" i="40" s="1"/>
  <c r="AV149" i="40" s="1"/>
  <c r="S94" i="40"/>
  <c r="S121" i="40" s="1"/>
  <c r="S148" i="40" s="1"/>
  <c r="AN94" i="40"/>
  <c r="G95" i="40"/>
  <c r="G122" i="40" s="1"/>
  <c r="G149" i="40" s="1"/>
  <c r="AB95" i="40"/>
  <c r="AW95" i="40"/>
  <c r="AW122" i="40" s="1"/>
  <c r="AW149" i="40" s="1"/>
  <c r="T94" i="40"/>
  <c r="T121" i="40" s="1"/>
  <c r="T148" i="40" s="1"/>
  <c r="AO94" i="40"/>
  <c r="AO121" i="40" s="1"/>
  <c r="AO148" i="40" s="1"/>
  <c r="H95" i="40"/>
  <c r="AC95" i="40"/>
  <c r="AC122" i="40" s="1"/>
  <c r="AC149" i="40" s="1"/>
  <c r="AX95" i="40"/>
  <c r="AX122" i="40" s="1"/>
  <c r="AX149" i="40" s="1"/>
  <c r="U94" i="40"/>
  <c r="U121" i="40" s="1"/>
  <c r="U148" i="40" s="1"/>
  <c r="AP94" i="40"/>
  <c r="I95" i="40"/>
  <c r="I122" i="40" s="1"/>
  <c r="I149" i="40" s="1"/>
  <c r="AY95" i="40"/>
  <c r="AR94" i="40"/>
  <c r="AD95" i="40"/>
  <c r="AD122" i="40" s="1"/>
  <c r="AD149" i="40" s="1"/>
  <c r="V94" i="40"/>
  <c r="V121" i="40" s="1"/>
  <c r="V148" i="40" s="1"/>
  <c r="J95" i="40"/>
  <c r="J122" i="40" s="1"/>
  <c r="J149" i="40" s="1"/>
  <c r="AE95" i="40"/>
  <c r="AE122" i="40" s="1"/>
  <c r="AE149" i="40" s="1"/>
  <c r="AZ95" i="40"/>
  <c r="X94" i="40"/>
  <c r="X121" i="40" s="1"/>
  <c r="X148" i="40" s="1"/>
  <c r="AS94" i="40"/>
  <c r="AS121" i="40" s="1"/>
  <c r="AS148" i="40" s="1"/>
  <c r="K95" i="40"/>
  <c r="AF95" i="40"/>
  <c r="AF122" i="40" s="1"/>
  <c r="AF149" i="40" s="1"/>
  <c r="D94" i="40"/>
  <c r="D121" i="40" s="1"/>
  <c r="D148" i="40" s="1"/>
  <c r="Y94" i="40"/>
  <c r="Y121" i="40" s="1"/>
  <c r="Y148" i="40" s="1"/>
  <c r="AT94" i="40"/>
  <c r="L95" i="40"/>
  <c r="AH95" i="40"/>
  <c r="E94" i="40"/>
  <c r="Z94" i="40"/>
  <c r="Z121" i="40" s="1"/>
  <c r="Z148" i="40" s="1"/>
  <c r="AU94" i="40"/>
  <c r="AU121" i="40" s="1"/>
  <c r="AU148" i="40" s="1"/>
  <c r="N95" i="40"/>
  <c r="AI95" i="40"/>
  <c r="AI122" i="40" s="1"/>
  <c r="AI149" i="40" s="1"/>
  <c r="F94" i="40"/>
  <c r="F121" i="40" s="1"/>
  <c r="F148" i="40" s="1"/>
  <c r="AA94" i="40"/>
  <c r="AA121" i="40" s="1"/>
  <c r="AA148" i="40" s="1"/>
  <c r="AV94" i="40"/>
  <c r="O95" i="40"/>
  <c r="AJ95" i="40"/>
  <c r="G94" i="40"/>
  <c r="G121" i="40" s="1"/>
  <c r="G148" i="40" s="1"/>
  <c r="AB94" i="40"/>
  <c r="AW94" i="40"/>
  <c r="P95" i="40"/>
  <c r="P122" i="40" s="1"/>
  <c r="P149" i="40" s="1"/>
  <c r="AK95" i="40"/>
  <c r="AK122" i="40" s="1"/>
  <c r="AK149" i="40" s="1"/>
  <c r="H94" i="40"/>
  <c r="H121" i="40" s="1"/>
  <c r="H148" i="40" s="1"/>
  <c r="AC94" i="40"/>
  <c r="AC121" i="40" s="1"/>
  <c r="AC148" i="40" s="1"/>
  <c r="AX94" i="40"/>
  <c r="AX121" i="40" s="1"/>
  <c r="AX148" i="40" s="1"/>
  <c r="Q95" i="40"/>
  <c r="Q122" i="40" s="1"/>
  <c r="Q149" i="40" s="1"/>
  <c r="AL95" i="40"/>
  <c r="AL122" i="40" s="1"/>
  <c r="AL149" i="40" s="1"/>
  <c r="I94" i="40"/>
  <c r="I121" i="40" s="1"/>
  <c r="I148" i="40" s="1"/>
  <c r="AD94" i="40"/>
  <c r="AD121" i="40" s="1"/>
  <c r="AD148" i="40" s="1"/>
  <c r="AY94" i="40"/>
  <c r="AY121" i="40" s="1"/>
  <c r="AY148" i="40" s="1"/>
  <c r="J94" i="40"/>
  <c r="K94" i="40"/>
  <c r="K121" i="40" s="1"/>
  <c r="K148" i="40" s="1"/>
  <c r="L94" i="40"/>
  <c r="L121" i="40" s="1"/>
  <c r="L148" i="40" s="1"/>
  <c r="AE94" i="40"/>
  <c r="AE121" i="40" s="1"/>
  <c r="AE148" i="40" s="1"/>
  <c r="M94" i="40"/>
  <c r="M121" i="40" s="1"/>
  <c r="M148" i="40" s="1"/>
  <c r="AG94" i="40"/>
  <c r="AG121" i="40" s="1"/>
  <c r="AG148" i="40" s="1"/>
  <c r="AN95" i="40"/>
  <c r="AN122" i="40" s="1"/>
  <c r="AN149" i="40" s="1"/>
  <c r="AF94" i="40"/>
  <c r="AF121" i="40" s="1"/>
  <c r="AF148" i="40" s="1"/>
  <c r="AH94" i="40"/>
  <c r="AH121" i="40" s="1"/>
  <c r="AH148" i="40" s="1"/>
  <c r="U95" i="40"/>
  <c r="U122" i="40" s="1"/>
  <c r="U149" i="40" s="1"/>
  <c r="AM95" i="40"/>
  <c r="AM122" i="40" s="1"/>
  <c r="AM149" i="40" s="1"/>
  <c r="AP95" i="40"/>
  <c r="AP122" i="40" s="1"/>
  <c r="AP149" i="40" s="1"/>
  <c r="AZ94" i="40"/>
  <c r="AZ121" i="40" s="1"/>
  <c r="AZ148" i="40" s="1"/>
  <c r="BA94" i="40"/>
  <c r="BA121" i="40" s="1"/>
  <c r="BA148" i="40" s="1"/>
  <c r="C94" i="40"/>
  <c r="AO95" i="40"/>
  <c r="R95" i="40"/>
  <c r="R122" i="40" s="1"/>
  <c r="R149" i="40" s="1"/>
  <c r="S95" i="40"/>
  <c r="S122" i="40" s="1"/>
  <c r="S149" i="40" s="1"/>
  <c r="T95" i="40"/>
  <c r="AQ177" i="40"/>
  <c r="AQ204" i="40" s="1" a="1"/>
  <c r="AQ204" i="40" s="1"/>
  <c r="AY197" i="40"/>
  <c r="AY224" i="40" s="1" a="1"/>
  <c r="AY224" i="40" s="1"/>
  <c r="AC197" i="40"/>
  <c r="AC224" i="40" s="1" a="1"/>
  <c r="AC224" i="40" s="1"/>
  <c r="AL187" i="40"/>
  <c r="AL214" i="40" s="1" a="1"/>
  <c r="AL214" i="40" s="1"/>
  <c r="R187" i="40"/>
  <c r="R214" i="40" s="1" a="1"/>
  <c r="R214" i="40" s="1"/>
  <c r="AX194" i="40"/>
  <c r="AX221" i="40" s="1" a="1"/>
  <c r="AX221" i="40" s="1"/>
  <c r="AB194" i="40"/>
  <c r="AB221" i="40" s="1" a="1"/>
  <c r="AB221" i="40" s="1"/>
  <c r="AK187" i="40"/>
  <c r="AK214" i="40" s="1" a="1"/>
  <c r="AK214" i="40" s="1"/>
  <c r="AP182" i="40"/>
  <c r="AP209" i="40" s="1" a="1"/>
  <c r="AP209" i="40" s="1"/>
  <c r="R178" i="40"/>
  <c r="R205" i="40" s="1" a="1"/>
  <c r="R205" i="40" s="1"/>
  <c r="K194" i="40"/>
  <c r="K221" i="40" s="1" a="1"/>
  <c r="K221" i="40" s="1"/>
  <c r="AR117" i="40"/>
  <c r="AJ117" i="40"/>
  <c r="R117" i="40"/>
  <c r="AZ117" i="40"/>
  <c r="Z117" i="40"/>
  <c r="Z198" i="40"/>
  <c r="Z225" i="40" s="1" a="1"/>
  <c r="Z225" i="40" s="1"/>
  <c r="Q117" i="40"/>
  <c r="Q198" i="40"/>
  <c r="Q225" i="40" s="1" a="1"/>
  <c r="Q225" i="40" s="1"/>
  <c r="BA117" i="40"/>
  <c r="AA117" i="40"/>
  <c r="AX117" i="40"/>
  <c r="AO117" i="40"/>
  <c r="AG117" i="40"/>
  <c r="X117" i="40"/>
  <c r="O117" i="40"/>
  <c r="Y117" i="40"/>
  <c r="AW117" i="40"/>
  <c r="AW198" i="40"/>
  <c r="AW225" i="40" s="1" a="1"/>
  <c r="AW225" i="40" s="1"/>
  <c r="AN117" i="40"/>
  <c r="AF117" i="40"/>
  <c r="V117" i="40"/>
  <c r="N117" i="40"/>
  <c r="N198" i="40"/>
  <c r="N225" i="40" s="1" a="1"/>
  <c r="N225" i="40" s="1"/>
  <c r="AI117" i="40"/>
  <c r="AH117" i="40"/>
  <c r="AV117" i="40"/>
  <c r="AM117" i="40"/>
  <c r="AD117" i="40"/>
  <c r="U117" i="40"/>
  <c r="M117" i="40"/>
  <c r="AQ117" i="40"/>
  <c r="AY117" i="40"/>
  <c r="AY198" i="40"/>
  <c r="AY225" i="40" s="1" a="1"/>
  <c r="AY225" i="40" s="1"/>
  <c r="P117" i="40"/>
  <c r="AU117" i="40"/>
  <c r="AL117" i="40"/>
  <c r="AC117" i="40"/>
  <c r="T117" i="40"/>
  <c r="J117" i="40"/>
  <c r="AP117" i="40"/>
  <c r="AS117" i="40"/>
  <c r="AK117" i="40"/>
  <c r="AB117" i="40"/>
  <c r="AB198" i="40"/>
  <c r="AB225" i="40" s="1" a="1"/>
  <c r="AB225" i="40" s="1"/>
  <c r="S117" i="40"/>
  <c r="I117" i="40"/>
  <c r="K117" i="40"/>
  <c r="AK69" i="40"/>
  <c r="AK96" i="40"/>
  <c r="BA89" i="40"/>
  <c r="BA116" i="40"/>
  <c r="AR87" i="40"/>
  <c r="AR114" i="40"/>
  <c r="AC82" i="40"/>
  <c r="AC109" i="40"/>
  <c r="C96" i="40"/>
  <c r="C76" i="40"/>
  <c r="C103" i="40"/>
  <c r="AZ69" i="40"/>
  <c r="AZ96" i="40"/>
  <c r="AR69" i="40"/>
  <c r="AR96" i="40"/>
  <c r="AB69" i="40"/>
  <c r="AB96" i="40"/>
  <c r="T69" i="40"/>
  <c r="T96" i="40"/>
  <c r="AZ89" i="40"/>
  <c r="AZ116" i="40"/>
  <c r="AQ89" i="40"/>
  <c r="AQ116" i="40"/>
  <c r="AI89" i="40"/>
  <c r="AI116" i="40"/>
  <c r="Z89" i="40"/>
  <c r="Z116" i="40"/>
  <c r="Q89" i="40"/>
  <c r="Q116" i="40"/>
  <c r="AZ88" i="40"/>
  <c r="AZ115" i="40"/>
  <c r="AQ88" i="40"/>
  <c r="AQ115" i="40"/>
  <c r="AI88" i="40"/>
  <c r="AI115" i="40"/>
  <c r="Z88" i="40"/>
  <c r="Z115" i="40"/>
  <c r="Q88" i="40"/>
  <c r="Q115" i="40"/>
  <c r="AZ87" i="40"/>
  <c r="AZ114" i="40"/>
  <c r="AQ87" i="40"/>
  <c r="AQ114" i="40"/>
  <c r="AI87" i="40"/>
  <c r="AI114" i="40"/>
  <c r="Z87" i="40"/>
  <c r="Z114" i="40"/>
  <c r="Q87" i="40"/>
  <c r="Q114" i="40"/>
  <c r="AZ86" i="40"/>
  <c r="AZ113" i="40"/>
  <c r="AQ86" i="40"/>
  <c r="AQ113" i="40"/>
  <c r="AI86" i="40"/>
  <c r="AI113" i="40"/>
  <c r="Z86" i="40"/>
  <c r="Z113" i="40"/>
  <c r="Q86" i="40"/>
  <c r="Q113" i="40"/>
  <c r="AZ85" i="40"/>
  <c r="AZ112" i="40"/>
  <c r="AQ85" i="40"/>
  <c r="AQ112" i="40"/>
  <c r="AI85" i="40"/>
  <c r="AI112" i="40"/>
  <c r="Z85" i="40"/>
  <c r="Z112" i="40"/>
  <c r="Q85" i="40"/>
  <c r="Q112" i="40"/>
  <c r="AZ84" i="40"/>
  <c r="AZ111" i="40"/>
  <c r="AQ84" i="40"/>
  <c r="AQ111" i="40"/>
  <c r="AI84" i="40"/>
  <c r="AI111" i="40"/>
  <c r="Z84" i="40"/>
  <c r="Z111" i="40"/>
  <c r="Q84" i="40"/>
  <c r="Q111" i="40"/>
  <c r="AZ83" i="40"/>
  <c r="AZ110" i="40"/>
  <c r="AQ83" i="40"/>
  <c r="AQ110" i="40"/>
  <c r="AI83" i="40"/>
  <c r="AI110" i="40"/>
  <c r="Z83" i="40"/>
  <c r="Z110" i="40"/>
  <c r="Q83" i="40"/>
  <c r="Q110" i="40"/>
  <c r="AZ82" i="40"/>
  <c r="AZ109" i="40"/>
  <c r="AR82" i="40"/>
  <c r="AR109" i="40"/>
  <c r="AJ82" i="40"/>
  <c r="AJ109" i="40"/>
  <c r="AB82" i="40"/>
  <c r="AB109" i="40"/>
  <c r="T82" i="40"/>
  <c r="T109" i="40"/>
  <c r="L82" i="40"/>
  <c r="L109" i="40"/>
  <c r="BA81" i="40"/>
  <c r="BA108" i="40"/>
  <c r="AS81" i="40"/>
  <c r="AS108" i="40"/>
  <c r="AK81" i="40"/>
  <c r="AK108" i="40"/>
  <c r="AC81" i="40"/>
  <c r="AC108" i="40"/>
  <c r="U81" i="40"/>
  <c r="U108" i="40"/>
  <c r="M81" i="40"/>
  <c r="M108" i="40"/>
  <c r="D81" i="40"/>
  <c r="D108" i="40"/>
  <c r="AT80" i="40"/>
  <c r="AT107" i="40"/>
  <c r="AL80" i="40"/>
  <c r="AL107" i="40"/>
  <c r="AD80" i="40"/>
  <c r="AD107" i="40"/>
  <c r="V80" i="40"/>
  <c r="V107" i="40"/>
  <c r="N80" i="40"/>
  <c r="N107" i="40"/>
  <c r="E80" i="40"/>
  <c r="E107" i="40"/>
  <c r="AU79" i="40"/>
  <c r="AU106" i="40"/>
  <c r="AM79" i="40"/>
  <c r="AM106" i="40"/>
  <c r="AE79" i="40"/>
  <c r="AE106" i="40"/>
  <c r="W79" i="40"/>
  <c r="W106" i="40"/>
  <c r="O79" i="40"/>
  <c r="O106" i="40"/>
  <c r="F79" i="40"/>
  <c r="F106" i="40"/>
  <c r="AV78" i="40"/>
  <c r="AV105" i="40"/>
  <c r="AN78" i="40"/>
  <c r="AN105" i="40"/>
  <c r="AF78" i="40"/>
  <c r="AF105" i="40"/>
  <c r="X78" i="40"/>
  <c r="X105" i="40"/>
  <c r="P78" i="40"/>
  <c r="P105" i="40"/>
  <c r="G78" i="40"/>
  <c r="G105" i="40"/>
  <c r="AW77" i="40"/>
  <c r="AW104" i="40"/>
  <c r="AO77" i="40"/>
  <c r="AO104" i="40"/>
  <c r="AG77" i="40"/>
  <c r="AG104" i="40"/>
  <c r="Y77" i="40"/>
  <c r="Y104" i="40"/>
  <c r="Q77" i="40"/>
  <c r="Q104" i="40"/>
  <c r="H77" i="40"/>
  <c r="H104" i="40"/>
  <c r="AX76" i="40"/>
  <c r="AX103" i="40"/>
  <c r="AP76" i="40"/>
  <c r="AP103" i="40"/>
  <c r="AH76" i="40"/>
  <c r="AH103" i="40"/>
  <c r="Z76" i="40"/>
  <c r="Z103" i="40"/>
  <c r="R76" i="40"/>
  <c r="R103" i="40"/>
  <c r="I76" i="40"/>
  <c r="I103" i="40"/>
  <c r="AY75" i="40"/>
  <c r="AY102" i="40"/>
  <c r="AQ75" i="40"/>
  <c r="AQ102" i="40"/>
  <c r="AI75" i="40"/>
  <c r="AI102" i="40"/>
  <c r="AA75" i="40"/>
  <c r="AA102" i="40"/>
  <c r="S75" i="40"/>
  <c r="S102" i="40"/>
  <c r="J75" i="40"/>
  <c r="J102" i="40"/>
  <c r="AZ74" i="40"/>
  <c r="AZ101" i="40"/>
  <c r="AR74" i="40"/>
  <c r="AR101" i="40"/>
  <c r="AJ74" i="40"/>
  <c r="AJ101" i="40"/>
  <c r="AB74" i="40"/>
  <c r="AB101" i="40"/>
  <c r="T74" i="40"/>
  <c r="T101" i="40"/>
  <c r="L74" i="40"/>
  <c r="L101" i="40"/>
  <c r="BA73" i="40"/>
  <c r="BA100" i="40"/>
  <c r="AS73" i="40"/>
  <c r="AS100" i="40"/>
  <c r="AK73" i="40"/>
  <c r="AK100" i="40"/>
  <c r="AC73" i="40"/>
  <c r="AC100" i="40"/>
  <c r="U73" i="40"/>
  <c r="U100" i="40"/>
  <c r="M73" i="40"/>
  <c r="M100" i="40"/>
  <c r="D73" i="40"/>
  <c r="D100" i="40"/>
  <c r="AT72" i="40"/>
  <c r="AT99" i="40"/>
  <c r="AL72" i="40"/>
  <c r="AL99" i="40"/>
  <c r="AD72" i="40"/>
  <c r="AD99" i="40"/>
  <c r="V72" i="40"/>
  <c r="V99" i="40"/>
  <c r="N72" i="40"/>
  <c r="N99" i="40"/>
  <c r="E72" i="40"/>
  <c r="E99" i="40"/>
  <c r="AU71" i="40"/>
  <c r="AU98" i="40"/>
  <c r="AM71" i="40"/>
  <c r="AM98" i="40"/>
  <c r="AE71" i="40"/>
  <c r="AE98" i="40"/>
  <c r="W71" i="40"/>
  <c r="W98" i="40"/>
  <c r="O71" i="40"/>
  <c r="O98" i="40"/>
  <c r="F71" i="40"/>
  <c r="F98" i="40"/>
  <c r="AV70" i="40"/>
  <c r="AV97" i="40"/>
  <c r="AN70" i="40"/>
  <c r="AN97" i="40"/>
  <c r="AF70" i="40"/>
  <c r="AF97" i="40"/>
  <c r="X70" i="40"/>
  <c r="X97" i="40"/>
  <c r="P70" i="40"/>
  <c r="P97" i="40"/>
  <c r="G70" i="40"/>
  <c r="G97" i="40"/>
  <c r="K88" i="40"/>
  <c r="K115" i="40"/>
  <c r="K80" i="40"/>
  <c r="K107" i="40"/>
  <c r="K72" i="40"/>
  <c r="K99" i="40"/>
  <c r="BA69" i="40"/>
  <c r="BA96" i="40"/>
  <c r="M69" i="40"/>
  <c r="M96" i="40"/>
  <c r="R89" i="40"/>
  <c r="R116" i="40"/>
  <c r="AA88" i="40"/>
  <c r="AA115" i="40"/>
  <c r="R87" i="40"/>
  <c r="R114" i="40"/>
  <c r="AR84" i="40"/>
  <c r="AR111" i="40"/>
  <c r="AO78" i="40"/>
  <c r="AO105" i="40"/>
  <c r="AQ69" i="40"/>
  <c r="AQ96" i="40"/>
  <c r="AP89" i="40"/>
  <c r="AP116" i="40"/>
  <c r="AY88" i="40"/>
  <c r="AY115" i="40"/>
  <c r="P87" i="40"/>
  <c r="P114" i="40"/>
  <c r="Y86" i="40"/>
  <c r="Y113" i="40"/>
  <c r="AH85" i="40"/>
  <c r="AH112" i="40"/>
  <c r="AP84" i="40"/>
  <c r="AP111" i="40"/>
  <c r="P84" i="40"/>
  <c r="P111" i="40"/>
  <c r="AH83" i="40"/>
  <c r="AH110" i="40"/>
  <c r="AI82" i="40"/>
  <c r="AI109" i="40"/>
  <c r="AZ81" i="40"/>
  <c r="AZ108" i="40"/>
  <c r="AB81" i="40"/>
  <c r="AB108" i="40"/>
  <c r="AS80" i="40"/>
  <c r="AS107" i="40"/>
  <c r="M80" i="40"/>
  <c r="M107" i="40"/>
  <c r="AD79" i="40"/>
  <c r="AD106" i="40"/>
  <c r="E79" i="40"/>
  <c r="E106" i="40"/>
  <c r="AE78" i="40"/>
  <c r="AE105" i="40"/>
  <c r="AV77" i="40"/>
  <c r="AV104" i="40"/>
  <c r="P77" i="40"/>
  <c r="P104" i="40"/>
  <c r="AO76" i="40"/>
  <c r="AO103" i="40"/>
  <c r="AX75" i="40"/>
  <c r="AX102" i="40"/>
  <c r="R75" i="40"/>
  <c r="R102" i="40"/>
  <c r="AY74" i="40"/>
  <c r="AY101" i="40"/>
  <c r="S74" i="40"/>
  <c r="S101" i="40"/>
  <c r="AZ73" i="40"/>
  <c r="AZ100" i="40"/>
  <c r="T73" i="40"/>
  <c r="T100" i="40"/>
  <c r="AK72" i="40"/>
  <c r="AK99" i="40"/>
  <c r="M72" i="40"/>
  <c r="M99" i="40"/>
  <c r="D72" i="40"/>
  <c r="D99" i="40"/>
  <c r="AD71" i="40"/>
  <c r="AD98" i="40"/>
  <c r="V71" i="40"/>
  <c r="V98" i="40"/>
  <c r="N71" i="40"/>
  <c r="N98" i="40"/>
  <c r="E71" i="40"/>
  <c r="E98" i="40"/>
  <c r="AU70" i="40"/>
  <c r="AU97" i="40"/>
  <c r="AM70" i="40"/>
  <c r="AM97" i="40"/>
  <c r="W70" i="40"/>
  <c r="W97" i="40"/>
  <c r="F70" i="40"/>
  <c r="F97" i="40"/>
  <c r="K87" i="40"/>
  <c r="K114" i="40"/>
  <c r="K79" i="40"/>
  <c r="K106" i="40"/>
  <c r="K71" i="40"/>
  <c r="K98" i="40"/>
  <c r="AO86" i="40"/>
  <c r="AO113" i="40"/>
  <c r="X83" i="40"/>
  <c r="X110" i="40"/>
  <c r="BA71" i="40"/>
  <c r="BA98" i="40"/>
  <c r="AS71" i="40"/>
  <c r="AS98" i="40"/>
  <c r="AK71" i="40"/>
  <c r="AK98" i="40"/>
  <c r="AC71" i="40"/>
  <c r="AC98" i="40"/>
  <c r="U71" i="40"/>
  <c r="U98" i="40"/>
  <c r="M71" i="40"/>
  <c r="M98" i="40"/>
  <c r="D71" i="40"/>
  <c r="D98" i="40"/>
  <c r="AT70" i="40"/>
  <c r="AT97" i="40"/>
  <c r="AL70" i="40"/>
  <c r="AL97" i="40"/>
  <c r="AD70" i="40"/>
  <c r="AD97" i="40"/>
  <c r="V70" i="40"/>
  <c r="V97" i="40"/>
  <c r="N70" i="40"/>
  <c r="N97" i="40"/>
  <c r="E70" i="40"/>
  <c r="E97" i="40"/>
  <c r="K86" i="40"/>
  <c r="K113" i="40"/>
  <c r="K78" i="40"/>
  <c r="K105" i="40"/>
  <c r="K70" i="40"/>
  <c r="K97" i="40"/>
  <c r="AS69" i="40"/>
  <c r="AS96" i="40"/>
  <c r="AA89" i="40"/>
  <c r="AA116" i="40"/>
  <c r="AJ88" i="40"/>
  <c r="AJ115" i="40"/>
  <c r="AJ87" i="40"/>
  <c r="AJ114" i="40"/>
  <c r="AR86" i="40"/>
  <c r="AR113" i="40"/>
  <c r="AA86" i="40"/>
  <c r="AA113" i="40"/>
  <c r="AR85" i="40"/>
  <c r="AR112" i="40"/>
  <c r="R85" i="40"/>
  <c r="R112" i="40"/>
  <c r="AA84" i="40"/>
  <c r="AA111" i="40"/>
  <c r="AR83" i="40"/>
  <c r="AR110" i="40"/>
  <c r="R83" i="40"/>
  <c r="R110" i="40"/>
  <c r="AK82" i="40"/>
  <c r="AK109" i="40"/>
  <c r="D82" i="40"/>
  <c r="D109" i="40"/>
  <c r="AD81" i="40"/>
  <c r="AD108" i="40"/>
  <c r="E81" i="40"/>
  <c r="E108" i="40"/>
  <c r="AE80" i="40"/>
  <c r="AE107" i="40"/>
  <c r="F80" i="40"/>
  <c r="F107" i="40"/>
  <c r="P79" i="40"/>
  <c r="P106" i="40"/>
  <c r="AG78" i="40"/>
  <c r="AG105" i="40"/>
  <c r="H78" i="40"/>
  <c r="H105" i="40"/>
  <c r="AP77" i="40"/>
  <c r="AP104" i="40"/>
  <c r="R77" i="40"/>
  <c r="R104" i="40"/>
  <c r="AQ76" i="40"/>
  <c r="AQ103" i="40"/>
  <c r="S76" i="40"/>
  <c r="S103" i="40"/>
  <c r="AR75" i="40"/>
  <c r="AR102" i="40"/>
  <c r="AB75" i="40"/>
  <c r="AB102" i="40"/>
  <c r="BA74" i="40"/>
  <c r="BA101" i="40"/>
  <c r="AL73" i="40"/>
  <c r="AL100" i="40"/>
  <c r="N73" i="40"/>
  <c r="N100" i="40"/>
  <c r="AM72" i="40"/>
  <c r="AM99" i="40"/>
  <c r="W72" i="40"/>
  <c r="W99" i="40"/>
  <c r="F72" i="40"/>
  <c r="F99" i="40"/>
  <c r="AF71" i="40"/>
  <c r="AF98" i="40"/>
  <c r="X71" i="40"/>
  <c r="X98" i="40"/>
  <c r="G71" i="40"/>
  <c r="G98" i="40"/>
  <c r="AO70" i="40"/>
  <c r="AO97" i="40"/>
  <c r="Y70" i="40"/>
  <c r="Y97" i="40"/>
  <c r="K89" i="40"/>
  <c r="K116" i="40"/>
  <c r="K73" i="40"/>
  <c r="K100" i="40"/>
  <c r="C75" i="40"/>
  <c r="C102" i="40"/>
  <c r="AI69" i="40"/>
  <c r="AI96" i="40"/>
  <c r="S69" i="40"/>
  <c r="S96" i="40"/>
  <c r="J69" i="40"/>
  <c r="J96" i="40"/>
  <c r="Y89" i="40"/>
  <c r="Y116" i="40"/>
  <c r="AH88" i="40"/>
  <c r="AH115" i="40"/>
  <c r="P88" i="40"/>
  <c r="P115" i="40"/>
  <c r="AH87" i="40"/>
  <c r="AH114" i="40"/>
  <c r="AH86" i="40"/>
  <c r="AH113" i="40"/>
  <c r="AP85" i="40"/>
  <c r="AP112" i="40"/>
  <c r="P85" i="40"/>
  <c r="P112" i="40"/>
  <c r="Y84" i="40"/>
  <c r="Y111" i="40"/>
  <c r="P83" i="40"/>
  <c r="P110" i="40"/>
  <c r="AA82" i="40"/>
  <c r="AA109" i="40"/>
  <c r="AR81" i="40"/>
  <c r="AR108" i="40"/>
  <c r="T81" i="40"/>
  <c r="T108" i="40"/>
  <c r="AK80" i="40"/>
  <c r="AK107" i="40"/>
  <c r="AT79" i="40"/>
  <c r="AT106" i="40"/>
  <c r="N79" i="40"/>
  <c r="N106" i="40"/>
  <c r="AM78" i="40"/>
  <c r="AM105" i="40"/>
  <c r="F78" i="40"/>
  <c r="F105" i="40"/>
  <c r="X77" i="40"/>
  <c r="X104" i="40"/>
  <c r="AG76" i="40"/>
  <c r="AG103" i="40"/>
  <c r="H76" i="40"/>
  <c r="H103" i="40"/>
  <c r="AH75" i="40"/>
  <c r="AH102" i="40"/>
  <c r="I75" i="40"/>
  <c r="I102" i="40"/>
  <c r="AA74" i="40"/>
  <c r="AA101" i="40"/>
  <c r="J74" i="40"/>
  <c r="J101" i="40"/>
  <c r="AJ73" i="40"/>
  <c r="AJ100" i="40"/>
  <c r="L73" i="40"/>
  <c r="L100" i="40"/>
  <c r="AC72" i="40"/>
  <c r="AC99" i="40"/>
  <c r="AT71" i="40"/>
  <c r="AT98" i="40"/>
  <c r="AE70" i="40"/>
  <c r="AE97" i="40"/>
  <c r="AX69" i="40"/>
  <c r="AX96" i="40"/>
  <c r="AH69" i="40"/>
  <c r="AH96" i="40"/>
  <c r="R69" i="40"/>
  <c r="R96" i="40"/>
  <c r="AX89" i="40"/>
  <c r="AX116" i="40"/>
  <c r="AG89" i="40"/>
  <c r="AG116" i="40"/>
  <c r="AO88" i="40"/>
  <c r="AO115" i="40"/>
  <c r="AX87" i="40"/>
  <c r="AX114" i="40"/>
  <c r="X87" i="40"/>
  <c r="X114" i="40"/>
  <c r="AX86" i="40"/>
  <c r="AX113" i="40"/>
  <c r="O86" i="40"/>
  <c r="O113" i="40"/>
  <c r="AG85" i="40"/>
  <c r="AG112" i="40"/>
  <c r="O85" i="40"/>
  <c r="O112" i="40"/>
  <c r="AG84" i="40"/>
  <c r="AG111" i="40"/>
  <c r="AG83" i="40"/>
  <c r="AG110" i="40"/>
  <c r="AP82" i="40"/>
  <c r="AP109" i="40"/>
  <c r="R82" i="40"/>
  <c r="R109" i="40"/>
  <c r="AY81" i="40"/>
  <c r="AY108" i="40"/>
  <c r="AA81" i="40"/>
  <c r="AA108" i="40"/>
  <c r="AZ80" i="40"/>
  <c r="AZ107" i="40"/>
  <c r="AB80" i="40"/>
  <c r="AB107" i="40"/>
  <c r="AS79" i="40"/>
  <c r="AS106" i="40"/>
  <c r="AC79" i="40"/>
  <c r="AC106" i="40"/>
  <c r="D79" i="40"/>
  <c r="D106" i="40"/>
  <c r="AL78" i="40"/>
  <c r="AL105" i="40"/>
  <c r="N78" i="40"/>
  <c r="N105" i="40"/>
  <c r="AM77" i="40"/>
  <c r="AM104" i="40"/>
  <c r="AE77" i="40"/>
  <c r="AE104" i="40"/>
  <c r="F77" i="40"/>
  <c r="F104" i="40"/>
  <c r="AF76" i="40"/>
  <c r="AF103" i="40"/>
  <c r="X76" i="40"/>
  <c r="X103" i="40"/>
  <c r="G76" i="40"/>
  <c r="G103" i="40"/>
  <c r="AG75" i="40"/>
  <c r="AG102" i="40"/>
  <c r="AX74" i="40"/>
  <c r="AX101" i="40"/>
  <c r="I74" i="40"/>
  <c r="I101" i="40"/>
  <c r="AB72" i="40"/>
  <c r="AB99" i="40"/>
  <c r="C81" i="40"/>
  <c r="C108" i="40"/>
  <c r="C73" i="40"/>
  <c r="C100" i="40"/>
  <c r="AW69" i="40"/>
  <c r="AW96" i="40"/>
  <c r="AO69" i="40"/>
  <c r="AO96" i="40"/>
  <c r="AG69" i="40"/>
  <c r="AG96" i="40"/>
  <c r="Y69" i="40"/>
  <c r="Y96" i="40"/>
  <c r="Q69" i="40"/>
  <c r="Q96" i="40"/>
  <c r="H69" i="40"/>
  <c r="H96" i="40"/>
  <c r="AW89" i="40"/>
  <c r="AW116" i="40"/>
  <c r="AN89" i="40"/>
  <c r="AN116" i="40"/>
  <c r="AF89" i="40"/>
  <c r="AF116" i="40"/>
  <c r="V89" i="40"/>
  <c r="V116" i="40"/>
  <c r="N89" i="40"/>
  <c r="N116" i="40"/>
  <c r="AW88" i="40"/>
  <c r="AW115" i="40"/>
  <c r="AN88" i="40"/>
  <c r="AN115" i="40"/>
  <c r="AF88" i="40"/>
  <c r="AF115" i="40"/>
  <c r="V88" i="40"/>
  <c r="V115" i="40"/>
  <c r="N88" i="40"/>
  <c r="N115" i="40"/>
  <c r="AW87" i="40"/>
  <c r="AW114" i="40"/>
  <c r="AN87" i="40"/>
  <c r="AN114" i="40"/>
  <c r="AF87" i="40"/>
  <c r="AF114" i="40"/>
  <c r="V87" i="40"/>
  <c r="V114" i="40"/>
  <c r="N87" i="40"/>
  <c r="N114" i="40"/>
  <c r="AW86" i="40"/>
  <c r="AW113" i="40"/>
  <c r="AN86" i="40"/>
  <c r="AN113" i="40"/>
  <c r="AF86" i="40"/>
  <c r="AF113" i="40"/>
  <c r="V86" i="40"/>
  <c r="V113" i="40"/>
  <c r="N86" i="40"/>
  <c r="N113" i="40"/>
  <c r="AW85" i="40"/>
  <c r="AW112" i="40"/>
  <c r="AN85" i="40"/>
  <c r="AN112" i="40"/>
  <c r="AF85" i="40"/>
  <c r="AF112" i="40"/>
  <c r="V85" i="40"/>
  <c r="V112" i="40"/>
  <c r="N85" i="40"/>
  <c r="N112" i="40"/>
  <c r="AW84" i="40"/>
  <c r="AW111" i="40"/>
  <c r="AN84" i="40"/>
  <c r="AN111" i="40"/>
  <c r="AF84" i="40"/>
  <c r="AF111" i="40"/>
  <c r="V84" i="40"/>
  <c r="V111" i="40"/>
  <c r="N84" i="40"/>
  <c r="N111" i="40"/>
  <c r="AW83" i="40"/>
  <c r="AW110" i="40"/>
  <c r="AN83" i="40"/>
  <c r="AN110" i="40"/>
  <c r="AF83" i="40"/>
  <c r="AF110" i="40"/>
  <c r="V83" i="40"/>
  <c r="V110" i="40"/>
  <c r="N83" i="40"/>
  <c r="N110" i="40"/>
  <c r="AW82" i="40"/>
  <c r="AW109" i="40"/>
  <c r="AO82" i="40"/>
  <c r="AO109" i="40"/>
  <c r="AG82" i="40"/>
  <c r="AG109" i="40"/>
  <c r="Y82" i="40"/>
  <c r="Y109" i="40"/>
  <c r="Q82" i="40"/>
  <c r="Q109" i="40"/>
  <c r="H82" i="40"/>
  <c r="H109" i="40"/>
  <c r="AX81" i="40"/>
  <c r="AX108" i="40"/>
  <c r="AP81" i="40"/>
  <c r="AP108" i="40"/>
  <c r="AH81" i="40"/>
  <c r="AH108" i="40"/>
  <c r="Z81" i="40"/>
  <c r="Z108" i="40"/>
  <c r="R81" i="40"/>
  <c r="R108" i="40"/>
  <c r="I81" i="40"/>
  <c r="I108" i="40"/>
  <c r="AY80" i="40"/>
  <c r="AY107" i="40"/>
  <c r="AQ80" i="40"/>
  <c r="AQ107" i="40"/>
  <c r="AI80" i="40"/>
  <c r="AI107" i="40"/>
  <c r="AA80" i="40"/>
  <c r="AA107" i="40"/>
  <c r="S80" i="40"/>
  <c r="S107" i="40"/>
  <c r="J80" i="40"/>
  <c r="J107" i="40"/>
  <c r="AZ79" i="40"/>
  <c r="AZ106" i="40"/>
  <c r="AR79" i="40"/>
  <c r="AR106" i="40"/>
  <c r="AJ79" i="40"/>
  <c r="AJ106" i="40"/>
  <c r="AB79" i="40"/>
  <c r="AB106" i="40"/>
  <c r="T79" i="40"/>
  <c r="T106" i="40"/>
  <c r="L79" i="40"/>
  <c r="L106" i="40"/>
  <c r="BA78" i="40"/>
  <c r="BA105" i="40"/>
  <c r="AS78" i="40"/>
  <c r="AS105" i="40"/>
  <c r="AK78" i="40"/>
  <c r="AK105" i="40"/>
  <c r="AC78" i="40"/>
  <c r="AC105" i="40"/>
  <c r="U78" i="40"/>
  <c r="U105" i="40"/>
  <c r="M78" i="40"/>
  <c r="M105" i="40"/>
  <c r="D78" i="40"/>
  <c r="D105" i="40"/>
  <c r="AT77" i="40"/>
  <c r="AT104" i="40"/>
  <c r="AL77" i="40"/>
  <c r="AL104" i="40"/>
  <c r="AD77" i="40"/>
  <c r="AD104" i="40"/>
  <c r="V77" i="40"/>
  <c r="V104" i="40"/>
  <c r="N77" i="40"/>
  <c r="N104" i="40"/>
  <c r="E77" i="40"/>
  <c r="E104" i="40"/>
  <c r="AU76" i="40"/>
  <c r="AU103" i="40"/>
  <c r="AM76" i="40"/>
  <c r="AM103" i="40"/>
  <c r="AE76" i="40"/>
  <c r="AE103" i="40"/>
  <c r="W76" i="40"/>
  <c r="W103" i="40"/>
  <c r="O76" i="40"/>
  <c r="O103" i="40"/>
  <c r="F76" i="40"/>
  <c r="F103" i="40"/>
  <c r="AV75" i="40"/>
  <c r="AV102" i="40"/>
  <c r="AN75" i="40"/>
  <c r="AN102" i="40"/>
  <c r="AF75" i="40"/>
  <c r="AF102" i="40"/>
  <c r="X75" i="40"/>
  <c r="X102" i="40"/>
  <c r="P75" i="40"/>
  <c r="P102" i="40"/>
  <c r="G75" i="40"/>
  <c r="G102" i="40"/>
  <c r="AW74" i="40"/>
  <c r="AW101" i="40"/>
  <c r="AO74" i="40"/>
  <c r="AO101" i="40"/>
  <c r="AG74" i="40"/>
  <c r="AG101" i="40"/>
  <c r="Y74" i="40"/>
  <c r="Y101" i="40"/>
  <c r="Q74" i="40"/>
  <c r="Q101" i="40"/>
  <c r="H74" i="40"/>
  <c r="H101" i="40"/>
  <c r="AX73" i="40"/>
  <c r="AX100" i="40"/>
  <c r="AP73" i="40"/>
  <c r="AP100" i="40"/>
  <c r="AH73" i="40"/>
  <c r="AH100" i="40"/>
  <c r="Z73" i="40"/>
  <c r="Z100" i="40"/>
  <c r="R73" i="40"/>
  <c r="R100" i="40"/>
  <c r="I73" i="40"/>
  <c r="I100" i="40"/>
  <c r="AY72" i="40"/>
  <c r="AY99" i="40"/>
  <c r="AQ72" i="40"/>
  <c r="AQ99" i="40"/>
  <c r="AI72" i="40"/>
  <c r="AI99" i="40"/>
  <c r="AA72" i="40"/>
  <c r="AA99" i="40"/>
  <c r="S72" i="40"/>
  <c r="S99" i="40"/>
  <c r="J72" i="40"/>
  <c r="J99" i="40"/>
  <c r="AZ71" i="40"/>
  <c r="AZ98" i="40"/>
  <c r="AR71" i="40"/>
  <c r="AR98" i="40"/>
  <c r="AJ71" i="40"/>
  <c r="AJ98" i="40"/>
  <c r="AB71" i="40"/>
  <c r="AB98" i="40"/>
  <c r="T71" i="40"/>
  <c r="T98" i="40"/>
  <c r="L71" i="40"/>
  <c r="L98" i="40"/>
  <c r="BA70" i="40"/>
  <c r="BA97" i="40"/>
  <c r="AS70" i="40"/>
  <c r="AS97" i="40"/>
  <c r="AK70" i="40"/>
  <c r="AK97" i="40"/>
  <c r="AC70" i="40"/>
  <c r="AC97" i="40"/>
  <c r="U70" i="40"/>
  <c r="U97" i="40"/>
  <c r="M70" i="40"/>
  <c r="M97" i="40"/>
  <c r="D97" i="40"/>
  <c r="K85" i="40"/>
  <c r="K112" i="40"/>
  <c r="K77" i="40"/>
  <c r="K104" i="40"/>
  <c r="AH74" i="40"/>
  <c r="AH101" i="40"/>
  <c r="C80" i="40"/>
  <c r="C107" i="40"/>
  <c r="C72" i="40"/>
  <c r="C99" i="40"/>
  <c r="AV69" i="40"/>
  <c r="AV96" i="40"/>
  <c r="AN69" i="40"/>
  <c r="AN96" i="40"/>
  <c r="AF69" i="40"/>
  <c r="AF96" i="40"/>
  <c r="X69" i="40"/>
  <c r="X96" i="40"/>
  <c r="P69" i="40"/>
  <c r="P96" i="40"/>
  <c r="G96" i="40"/>
  <c r="AV89" i="40"/>
  <c r="AV116" i="40"/>
  <c r="AM89" i="40"/>
  <c r="AM116" i="40"/>
  <c r="AD89" i="40"/>
  <c r="AD116" i="40"/>
  <c r="U89" i="40"/>
  <c r="U116" i="40"/>
  <c r="M89" i="40"/>
  <c r="M116" i="40"/>
  <c r="AV88" i="40"/>
  <c r="AV115" i="40"/>
  <c r="AM88" i="40"/>
  <c r="AM115" i="40"/>
  <c r="AD88" i="40"/>
  <c r="AD115" i="40"/>
  <c r="U88" i="40"/>
  <c r="U115" i="40"/>
  <c r="M88" i="40"/>
  <c r="M115" i="40"/>
  <c r="AV87" i="40"/>
  <c r="AV114" i="40"/>
  <c r="AM87" i="40"/>
  <c r="AM114" i="40"/>
  <c r="AD87" i="40"/>
  <c r="AD114" i="40"/>
  <c r="U87" i="40"/>
  <c r="U114" i="40"/>
  <c r="M87" i="40"/>
  <c r="M114" i="40"/>
  <c r="AV86" i="40"/>
  <c r="AV113" i="40"/>
  <c r="AM86" i="40"/>
  <c r="AM113" i="40"/>
  <c r="AD86" i="40"/>
  <c r="AD113" i="40"/>
  <c r="U86" i="40"/>
  <c r="U113" i="40"/>
  <c r="M86" i="40"/>
  <c r="M113" i="40"/>
  <c r="AV85" i="40"/>
  <c r="AV112" i="40"/>
  <c r="AM85" i="40"/>
  <c r="AM112" i="40"/>
  <c r="AD85" i="40"/>
  <c r="AD112" i="40"/>
  <c r="U85" i="40"/>
  <c r="U112" i="40"/>
  <c r="M85" i="40"/>
  <c r="M112" i="40"/>
  <c r="AV84" i="40"/>
  <c r="AV111" i="40"/>
  <c r="AM84" i="40"/>
  <c r="AM111" i="40"/>
  <c r="AD84" i="40"/>
  <c r="AD111" i="40"/>
  <c r="U84" i="40"/>
  <c r="U111" i="40"/>
  <c r="M84" i="40"/>
  <c r="M111" i="40"/>
  <c r="AV83" i="40"/>
  <c r="AV110" i="40"/>
  <c r="AM83" i="40"/>
  <c r="AM110" i="40"/>
  <c r="AD83" i="40"/>
  <c r="AD110" i="40"/>
  <c r="U83" i="40"/>
  <c r="U110" i="40"/>
  <c r="M83" i="40"/>
  <c r="M110" i="40"/>
  <c r="AV82" i="40"/>
  <c r="AV109" i="40"/>
  <c r="AN82" i="40"/>
  <c r="AN109" i="40"/>
  <c r="AF82" i="40"/>
  <c r="AF109" i="40"/>
  <c r="X82" i="40"/>
  <c r="X109" i="40"/>
  <c r="P82" i="40"/>
  <c r="P109" i="40"/>
  <c r="G82" i="40"/>
  <c r="G109" i="40"/>
  <c r="AW81" i="40"/>
  <c r="AW108" i="40"/>
  <c r="AO81" i="40"/>
  <c r="AO108" i="40"/>
  <c r="AG81" i="40"/>
  <c r="AG108" i="40"/>
  <c r="Y81" i="40"/>
  <c r="Y108" i="40"/>
  <c r="Q81" i="40"/>
  <c r="Q108" i="40"/>
  <c r="H81" i="40"/>
  <c r="H108" i="40"/>
  <c r="AX80" i="40"/>
  <c r="AX107" i="40"/>
  <c r="AP80" i="40"/>
  <c r="AP107" i="40"/>
  <c r="AH80" i="40"/>
  <c r="AH107" i="40"/>
  <c r="Z80" i="40"/>
  <c r="Z107" i="40"/>
  <c r="R80" i="40"/>
  <c r="R107" i="40"/>
  <c r="I80" i="40"/>
  <c r="I107" i="40"/>
  <c r="AY79" i="40"/>
  <c r="AY106" i="40"/>
  <c r="AQ79" i="40"/>
  <c r="AQ106" i="40"/>
  <c r="AI79" i="40"/>
  <c r="AI106" i="40"/>
  <c r="AA79" i="40"/>
  <c r="AA106" i="40"/>
  <c r="S79" i="40"/>
  <c r="S106" i="40"/>
  <c r="J79" i="40"/>
  <c r="J106" i="40"/>
  <c r="AZ78" i="40"/>
  <c r="AZ105" i="40"/>
  <c r="AR78" i="40"/>
  <c r="AR105" i="40"/>
  <c r="AJ78" i="40"/>
  <c r="AJ105" i="40"/>
  <c r="AB78" i="40"/>
  <c r="AB105" i="40"/>
  <c r="T78" i="40"/>
  <c r="T105" i="40"/>
  <c r="L78" i="40"/>
  <c r="L105" i="40"/>
  <c r="BA77" i="40"/>
  <c r="BA104" i="40"/>
  <c r="AS77" i="40"/>
  <c r="AS104" i="40"/>
  <c r="AK77" i="40"/>
  <c r="AK104" i="40"/>
  <c r="AC77" i="40"/>
  <c r="AC104" i="40"/>
  <c r="U77" i="40"/>
  <c r="U104" i="40"/>
  <c r="M77" i="40"/>
  <c r="M104" i="40"/>
  <c r="D77" i="40"/>
  <c r="D104" i="40"/>
  <c r="AT76" i="40"/>
  <c r="AT103" i="40"/>
  <c r="AL76" i="40"/>
  <c r="AL103" i="40"/>
  <c r="AD76" i="40"/>
  <c r="AD103" i="40"/>
  <c r="V76" i="40"/>
  <c r="V103" i="40"/>
  <c r="N76" i="40"/>
  <c r="N103" i="40"/>
  <c r="E76" i="40"/>
  <c r="E103" i="40"/>
  <c r="AU75" i="40"/>
  <c r="AU102" i="40"/>
  <c r="AM75" i="40"/>
  <c r="AM102" i="40"/>
  <c r="AE75" i="40"/>
  <c r="AE102" i="40"/>
  <c r="W75" i="40"/>
  <c r="W102" i="40"/>
  <c r="O75" i="40"/>
  <c r="O102" i="40"/>
  <c r="F75" i="40"/>
  <c r="F102" i="40"/>
  <c r="AV74" i="40"/>
  <c r="AV101" i="40"/>
  <c r="AN74" i="40"/>
  <c r="AN101" i="40"/>
  <c r="AF74" i="40"/>
  <c r="AF101" i="40"/>
  <c r="X74" i="40"/>
  <c r="X101" i="40"/>
  <c r="P74" i="40"/>
  <c r="P101" i="40"/>
  <c r="G74" i="40"/>
  <c r="G101" i="40"/>
  <c r="AW73" i="40"/>
  <c r="AW100" i="40"/>
  <c r="AO73" i="40"/>
  <c r="AO100" i="40"/>
  <c r="AG73" i="40"/>
  <c r="AG100" i="40"/>
  <c r="Y73" i="40"/>
  <c r="Y100" i="40"/>
  <c r="Q73" i="40"/>
  <c r="Q100" i="40"/>
  <c r="H73" i="40"/>
  <c r="H100" i="40"/>
  <c r="AX72" i="40"/>
  <c r="AX99" i="40"/>
  <c r="AP72" i="40"/>
  <c r="AP99" i="40"/>
  <c r="AH72" i="40"/>
  <c r="AH99" i="40"/>
  <c r="Z72" i="40"/>
  <c r="Z99" i="40"/>
  <c r="R72" i="40"/>
  <c r="R99" i="40"/>
  <c r="I72" i="40"/>
  <c r="I99" i="40"/>
  <c r="AY71" i="40"/>
  <c r="AY98" i="40"/>
  <c r="AQ71" i="40"/>
  <c r="AQ98" i="40"/>
  <c r="AI71" i="40"/>
  <c r="AI98" i="40"/>
  <c r="AA71" i="40"/>
  <c r="AA98" i="40"/>
  <c r="S71" i="40"/>
  <c r="S98" i="40"/>
  <c r="J71" i="40"/>
  <c r="J98" i="40"/>
  <c r="AZ70" i="40"/>
  <c r="AZ97" i="40"/>
  <c r="AR70" i="40"/>
  <c r="AR97" i="40"/>
  <c r="AJ70" i="40"/>
  <c r="AJ97" i="40"/>
  <c r="AB70" i="40"/>
  <c r="AB97" i="40"/>
  <c r="T70" i="40"/>
  <c r="T97" i="40"/>
  <c r="L70" i="40"/>
  <c r="L97" i="40"/>
  <c r="K84" i="40"/>
  <c r="K111" i="40"/>
  <c r="K76" i="40"/>
  <c r="K103" i="40"/>
  <c r="AC69" i="40"/>
  <c r="AC96" i="40"/>
  <c r="AJ89" i="40"/>
  <c r="AJ116" i="40"/>
  <c r="AR88" i="40"/>
  <c r="AR115" i="40"/>
  <c r="BA87" i="40"/>
  <c r="BA114" i="40"/>
  <c r="BA86" i="40"/>
  <c r="BA113" i="40"/>
  <c r="BA85" i="40"/>
  <c r="BA112" i="40"/>
  <c r="AA85" i="40"/>
  <c r="AA112" i="40"/>
  <c r="AJ84" i="40"/>
  <c r="AJ111" i="40"/>
  <c r="BA83" i="40"/>
  <c r="BA110" i="40"/>
  <c r="AA83" i="40"/>
  <c r="AA110" i="40"/>
  <c r="BA82" i="40"/>
  <c r="BA109" i="40"/>
  <c r="U82" i="40"/>
  <c r="U109" i="40"/>
  <c r="AL81" i="40"/>
  <c r="AL108" i="40"/>
  <c r="N81" i="40"/>
  <c r="N108" i="40"/>
  <c r="AM80" i="40"/>
  <c r="AM107" i="40"/>
  <c r="O80" i="40"/>
  <c r="O107" i="40"/>
  <c r="AV79" i="40"/>
  <c r="AV106" i="40"/>
  <c r="AF79" i="40"/>
  <c r="AF106" i="40"/>
  <c r="AW78" i="40"/>
  <c r="AW105" i="40"/>
  <c r="Q78" i="40"/>
  <c r="Q105" i="40"/>
  <c r="AH77" i="40"/>
  <c r="AH104" i="40"/>
  <c r="I77" i="40"/>
  <c r="I104" i="40"/>
  <c r="AA76" i="40"/>
  <c r="AA103" i="40"/>
  <c r="AZ75" i="40"/>
  <c r="AZ102" i="40"/>
  <c r="T75" i="40"/>
  <c r="T102" i="40"/>
  <c r="AK74" i="40"/>
  <c r="AK101" i="40"/>
  <c r="AT73" i="40"/>
  <c r="AT100" i="40"/>
  <c r="E73" i="40"/>
  <c r="E100" i="40"/>
  <c r="AN71" i="40"/>
  <c r="AN98" i="40"/>
  <c r="P71" i="40"/>
  <c r="P98" i="40"/>
  <c r="H70" i="40"/>
  <c r="H97" i="40"/>
  <c r="AJ69" i="40"/>
  <c r="AJ96" i="40"/>
  <c r="AY69" i="40"/>
  <c r="AY96" i="40"/>
  <c r="AH89" i="40"/>
  <c r="AH116" i="40"/>
  <c r="AP88" i="40"/>
  <c r="AP115" i="40"/>
  <c r="Y88" i="40"/>
  <c r="Y115" i="40"/>
  <c r="AP87" i="40"/>
  <c r="AP114" i="40"/>
  <c r="AY86" i="40"/>
  <c r="AY113" i="40"/>
  <c r="P86" i="40"/>
  <c r="P113" i="40"/>
  <c r="Y85" i="40"/>
  <c r="Y112" i="40"/>
  <c r="AH84" i="40"/>
  <c r="AH111" i="40"/>
  <c r="AY83" i="40"/>
  <c r="AY110" i="40"/>
  <c r="Y83" i="40"/>
  <c r="Y110" i="40"/>
  <c r="AQ82" i="40"/>
  <c r="AQ109" i="40"/>
  <c r="J82" i="40"/>
  <c r="J109" i="40"/>
  <c r="AJ81" i="40"/>
  <c r="AJ108" i="40"/>
  <c r="BA80" i="40"/>
  <c r="BA107" i="40"/>
  <c r="U80" i="40"/>
  <c r="U107" i="40"/>
  <c r="AL79" i="40"/>
  <c r="AL106" i="40"/>
  <c r="W78" i="40"/>
  <c r="W105" i="40"/>
  <c r="AN77" i="40"/>
  <c r="AN104" i="40"/>
  <c r="G77" i="40"/>
  <c r="G104" i="40"/>
  <c r="Y76" i="40"/>
  <c r="Y103" i="40"/>
  <c r="AP75" i="40"/>
  <c r="AP102" i="40"/>
  <c r="AQ74" i="40"/>
  <c r="AQ101" i="40"/>
  <c r="AS72" i="40"/>
  <c r="AS99" i="40"/>
  <c r="C74" i="40"/>
  <c r="C101" i="40"/>
  <c r="O89" i="40"/>
  <c r="O116" i="40"/>
  <c r="AG88" i="40"/>
  <c r="AG115" i="40"/>
  <c r="X88" i="40"/>
  <c r="X115" i="40"/>
  <c r="O88" i="40"/>
  <c r="O115" i="40"/>
  <c r="AG87" i="40"/>
  <c r="AG114" i="40"/>
  <c r="O87" i="40"/>
  <c r="O114" i="40"/>
  <c r="X86" i="40"/>
  <c r="X113" i="40"/>
  <c r="AX85" i="40"/>
  <c r="AX112" i="40"/>
  <c r="X85" i="40"/>
  <c r="X112" i="40"/>
  <c r="AX84" i="40"/>
  <c r="AX111" i="40"/>
  <c r="X84" i="40"/>
  <c r="X111" i="40"/>
  <c r="AX83" i="40"/>
  <c r="AX110" i="40"/>
  <c r="O83" i="40"/>
  <c r="O110" i="40"/>
  <c r="AH82" i="40"/>
  <c r="AH109" i="40"/>
  <c r="I82" i="40"/>
  <c r="I109" i="40"/>
  <c r="AI81" i="40"/>
  <c r="AI108" i="40"/>
  <c r="J81" i="40"/>
  <c r="J108" i="40"/>
  <c r="AJ80" i="40"/>
  <c r="AJ107" i="40"/>
  <c r="L80" i="40"/>
  <c r="L107" i="40"/>
  <c r="M79" i="40"/>
  <c r="M106" i="40"/>
  <c r="V78" i="40"/>
  <c r="V105" i="40"/>
  <c r="AU77" i="40"/>
  <c r="AU104" i="40"/>
  <c r="W77" i="40"/>
  <c r="W104" i="40"/>
  <c r="AV76" i="40"/>
  <c r="AV103" i="40"/>
  <c r="P76" i="40"/>
  <c r="P103" i="40"/>
  <c r="AO75" i="40"/>
  <c r="AO102" i="40"/>
  <c r="Y75" i="40"/>
  <c r="Y102" i="40"/>
  <c r="H75" i="40"/>
  <c r="H102" i="40"/>
  <c r="AP74" i="40"/>
  <c r="AP101" i="40"/>
  <c r="Z74" i="40"/>
  <c r="Z101" i="40"/>
  <c r="AY73" i="40"/>
  <c r="AY100" i="40"/>
  <c r="AI73" i="40"/>
  <c r="AI100" i="40"/>
  <c r="J73" i="40"/>
  <c r="J100" i="40"/>
  <c r="L72" i="40"/>
  <c r="L99" i="40"/>
  <c r="C79" i="40"/>
  <c r="C133" i="40" s="1"/>
  <c r="C71" i="40"/>
  <c r="C98" i="40"/>
  <c r="AU69" i="40"/>
  <c r="AU96" i="40"/>
  <c r="AM69" i="40"/>
  <c r="AM96" i="40"/>
  <c r="AE69" i="40"/>
  <c r="AE96" i="40"/>
  <c r="W69" i="40"/>
  <c r="W96" i="40"/>
  <c r="O69" i="40"/>
  <c r="O96" i="40"/>
  <c r="F96" i="40"/>
  <c r="AU89" i="40"/>
  <c r="AU116" i="40"/>
  <c r="AL89" i="40"/>
  <c r="AL116" i="40"/>
  <c r="AC89" i="40"/>
  <c r="AC116" i="40"/>
  <c r="T89" i="40"/>
  <c r="T116" i="40"/>
  <c r="J89" i="40"/>
  <c r="J116" i="40"/>
  <c r="AU88" i="40"/>
  <c r="AU115" i="40"/>
  <c r="AL88" i="40"/>
  <c r="AL115" i="40"/>
  <c r="AC88" i="40"/>
  <c r="AC115" i="40"/>
  <c r="T88" i="40"/>
  <c r="T115" i="40"/>
  <c r="J88" i="40"/>
  <c r="J115" i="40"/>
  <c r="AU87" i="40"/>
  <c r="AU114" i="40"/>
  <c r="AL87" i="40"/>
  <c r="AL114" i="40"/>
  <c r="AC87" i="40"/>
  <c r="AC114" i="40"/>
  <c r="T87" i="40"/>
  <c r="T114" i="40"/>
  <c r="J87" i="40"/>
  <c r="J114" i="40"/>
  <c r="AU86" i="40"/>
  <c r="AU113" i="40"/>
  <c r="AL86" i="40"/>
  <c r="AL113" i="40"/>
  <c r="AC86" i="40"/>
  <c r="AC113" i="40"/>
  <c r="T86" i="40"/>
  <c r="T113" i="40"/>
  <c r="J86" i="40"/>
  <c r="J113" i="40"/>
  <c r="AU85" i="40"/>
  <c r="AU112" i="40"/>
  <c r="AL85" i="40"/>
  <c r="AL112" i="40"/>
  <c r="AC85" i="40"/>
  <c r="AC112" i="40"/>
  <c r="T85" i="40"/>
  <c r="T112" i="40"/>
  <c r="J85" i="40"/>
  <c r="J112" i="40"/>
  <c r="AU84" i="40"/>
  <c r="AU111" i="40"/>
  <c r="AL84" i="40"/>
  <c r="AL111" i="40"/>
  <c r="AC84" i="40"/>
  <c r="AC111" i="40"/>
  <c r="T84" i="40"/>
  <c r="T111" i="40"/>
  <c r="J84" i="40"/>
  <c r="J111" i="40"/>
  <c r="AU83" i="40"/>
  <c r="AU110" i="40"/>
  <c r="AL83" i="40"/>
  <c r="AL110" i="40"/>
  <c r="AC83" i="40"/>
  <c r="AC110" i="40"/>
  <c r="T83" i="40"/>
  <c r="T110" i="40"/>
  <c r="J83" i="40"/>
  <c r="J110" i="40"/>
  <c r="AU82" i="40"/>
  <c r="AU109" i="40"/>
  <c r="AM82" i="40"/>
  <c r="AM109" i="40"/>
  <c r="AE82" i="40"/>
  <c r="AE109" i="40"/>
  <c r="W82" i="40"/>
  <c r="W109" i="40"/>
  <c r="O82" i="40"/>
  <c r="O109" i="40"/>
  <c r="F82" i="40"/>
  <c r="F109" i="40"/>
  <c r="AV81" i="40"/>
  <c r="AV108" i="40"/>
  <c r="AN81" i="40"/>
  <c r="AN108" i="40"/>
  <c r="AF81" i="40"/>
  <c r="AF108" i="40"/>
  <c r="X81" i="40"/>
  <c r="X108" i="40"/>
  <c r="P81" i="40"/>
  <c r="P108" i="40"/>
  <c r="G81" i="40"/>
  <c r="G108" i="40"/>
  <c r="AW80" i="40"/>
  <c r="AW107" i="40"/>
  <c r="AO80" i="40"/>
  <c r="AO107" i="40"/>
  <c r="AG80" i="40"/>
  <c r="AG107" i="40"/>
  <c r="Y80" i="40"/>
  <c r="Y107" i="40"/>
  <c r="Q80" i="40"/>
  <c r="Q107" i="40"/>
  <c r="H80" i="40"/>
  <c r="H107" i="40"/>
  <c r="AX79" i="40"/>
  <c r="AX106" i="40"/>
  <c r="AP79" i="40"/>
  <c r="AP106" i="40"/>
  <c r="AH79" i="40"/>
  <c r="AH106" i="40"/>
  <c r="Z79" i="40"/>
  <c r="Z106" i="40"/>
  <c r="R79" i="40"/>
  <c r="R106" i="40"/>
  <c r="I79" i="40"/>
  <c r="I106" i="40"/>
  <c r="AY78" i="40"/>
  <c r="AY105" i="40"/>
  <c r="AQ78" i="40"/>
  <c r="AQ105" i="40"/>
  <c r="AI78" i="40"/>
  <c r="AI105" i="40"/>
  <c r="AA78" i="40"/>
  <c r="AA105" i="40"/>
  <c r="S78" i="40"/>
  <c r="S105" i="40"/>
  <c r="J78" i="40"/>
  <c r="J105" i="40"/>
  <c r="AZ77" i="40"/>
  <c r="AZ104" i="40"/>
  <c r="AR77" i="40"/>
  <c r="AR104" i="40"/>
  <c r="AJ77" i="40"/>
  <c r="AJ104" i="40"/>
  <c r="AB77" i="40"/>
  <c r="AB104" i="40"/>
  <c r="T77" i="40"/>
  <c r="T104" i="40"/>
  <c r="L77" i="40"/>
  <c r="L104" i="40"/>
  <c r="BA76" i="40"/>
  <c r="BA103" i="40"/>
  <c r="AS76" i="40"/>
  <c r="AS103" i="40"/>
  <c r="AK76" i="40"/>
  <c r="AK103" i="40"/>
  <c r="AC76" i="40"/>
  <c r="AC103" i="40"/>
  <c r="U76" i="40"/>
  <c r="U103" i="40"/>
  <c r="M76" i="40"/>
  <c r="M103" i="40"/>
  <c r="D76" i="40"/>
  <c r="D103" i="40"/>
  <c r="AT75" i="40"/>
  <c r="AT102" i="40"/>
  <c r="AL75" i="40"/>
  <c r="AL102" i="40"/>
  <c r="AD75" i="40"/>
  <c r="AD102" i="40"/>
  <c r="V75" i="40"/>
  <c r="V102" i="40"/>
  <c r="N75" i="40"/>
  <c r="N102" i="40"/>
  <c r="E75" i="40"/>
  <c r="E102" i="40"/>
  <c r="AU74" i="40"/>
  <c r="AU101" i="40"/>
  <c r="AM74" i="40"/>
  <c r="AM101" i="40"/>
  <c r="AE74" i="40"/>
  <c r="AE101" i="40"/>
  <c r="W74" i="40"/>
  <c r="W101" i="40"/>
  <c r="O74" i="40"/>
  <c r="O101" i="40"/>
  <c r="F74" i="40"/>
  <c r="F101" i="40"/>
  <c r="AV73" i="40"/>
  <c r="AV100" i="40"/>
  <c r="AN73" i="40"/>
  <c r="AN100" i="40"/>
  <c r="AF73" i="40"/>
  <c r="AF100" i="40"/>
  <c r="X73" i="40"/>
  <c r="X100" i="40"/>
  <c r="P73" i="40"/>
  <c r="P100" i="40"/>
  <c r="G73" i="40"/>
  <c r="G100" i="40"/>
  <c r="AW72" i="40"/>
  <c r="AW99" i="40"/>
  <c r="AO72" i="40"/>
  <c r="AO99" i="40"/>
  <c r="AG72" i="40"/>
  <c r="AG99" i="40"/>
  <c r="Y72" i="40"/>
  <c r="Y99" i="40"/>
  <c r="Q72" i="40"/>
  <c r="Q99" i="40"/>
  <c r="H72" i="40"/>
  <c r="H99" i="40"/>
  <c r="AX71" i="40"/>
  <c r="AX98" i="40"/>
  <c r="AP71" i="40"/>
  <c r="AP98" i="40"/>
  <c r="AH71" i="40"/>
  <c r="AH98" i="40"/>
  <c r="Z71" i="40"/>
  <c r="Z98" i="40"/>
  <c r="R71" i="40"/>
  <c r="R98" i="40"/>
  <c r="I71" i="40"/>
  <c r="I98" i="40"/>
  <c r="AY70" i="40"/>
  <c r="AY97" i="40"/>
  <c r="AQ70" i="40"/>
  <c r="AQ97" i="40"/>
  <c r="AI70" i="40"/>
  <c r="AI97" i="40"/>
  <c r="AA70" i="40"/>
  <c r="AA97" i="40"/>
  <c r="S70" i="40"/>
  <c r="S97" i="40"/>
  <c r="J70" i="40"/>
  <c r="J97" i="40"/>
  <c r="K69" i="40"/>
  <c r="K96" i="40"/>
  <c r="K83" i="40"/>
  <c r="K110" i="40"/>
  <c r="K75" i="40"/>
  <c r="K102" i="40"/>
  <c r="C77" i="40"/>
  <c r="C104" i="40"/>
  <c r="U69" i="40"/>
  <c r="U96" i="40"/>
  <c r="AR89" i="40"/>
  <c r="AR116" i="40"/>
  <c r="BA88" i="40"/>
  <c r="BA115" i="40"/>
  <c r="R88" i="40"/>
  <c r="R115" i="40"/>
  <c r="AA87" i="40"/>
  <c r="AA114" i="40"/>
  <c r="AJ86" i="40"/>
  <c r="AJ113" i="40"/>
  <c r="R86" i="40"/>
  <c r="R113" i="40"/>
  <c r="AJ85" i="40"/>
  <c r="AJ112" i="40"/>
  <c r="BA84" i="40"/>
  <c r="BA111" i="40"/>
  <c r="R84" i="40"/>
  <c r="R111" i="40"/>
  <c r="AJ83" i="40"/>
  <c r="AJ110" i="40"/>
  <c r="AS82" i="40"/>
  <c r="AS109" i="40"/>
  <c r="M82" i="40"/>
  <c r="M109" i="40"/>
  <c r="AT81" i="40"/>
  <c r="AT108" i="40"/>
  <c r="V81" i="40"/>
  <c r="V108" i="40"/>
  <c r="AU80" i="40"/>
  <c r="AU107" i="40"/>
  <c r="W80" i="40"/>
  <c r="W107" i="40"/>
  <c r="AN79" i="40"/>
  <c r="AN106" i="40"/>
  <c r="X79" i="40"/>
  <c r="X106" i="40"/>
  <c r="G79" i="40"/>
  <c r="G106" i="40"/>
  <c r="Y78" i="40"/>
  <c r="Y105" i="40"/>
  <c r="AX77" i="40"/>
  <c r="AX104" i="40"/>
  <c r="Z77" i="40"/>
  <c r="Z104" i="40"/>
  <c r="AY76" i="40"/>
  <c r="AY103" i="40"/>
  <c r="AI76" i="40"/>
  <c r="AI103" i="40"/>
  <c r="J76" i="40"/>
  <c r="J103" i="40"/>
  <c r="AJ75" i="40"/>
  <c r="AJ102" i="40"/>
  <c r="L75" i="40"/>
  <c r="L102" i="40"/>
  <c r="AS74" i="40"/>
  <c r="AS101" i="40"/>
  <c r="AC74" i="40"/>
  <c r="AC101" i="40"/>
  <c r="U74" i="40"/>
  <c r="U101" i="40"/>
  <c r="M74" i="40"/>
  <c r="M101" i="40"/>
  <c r="D74" i="40"/>
  <c r="D101" i="40"/>
  <c r="AD73" i="40"/>
  <c r="AD100" i="40"/>
  <c r="V73" i="40"/>
  <c r="V100" i="40"/>
  <c r="AU72" i="40"/>
  <c r="AU99" i="40"/>
  <c r="AE72" i="40"/>
  <c r="AE99" i="40"/>
  <c r="O72" i="40"/>
  <c r="O99" i="40"/>
  <c r="AV71" i="40"/>
  <c r="AV98" i="40"/>
  <c r="AW70" i="40"/>
  <c r="AW97" i="40"/>
  <c r="AG70" i="40"/>
  <c r="AG97" i="40"/>
  <c r="Q70" i="40"/>
  <c r="Q97" i="40"/>
  <c r="K81" i="40"/>
  <c r="K108" i="40"/>
  <c r="L69" i="40"/>
  <c r="L96" i="40"/>
  <c r="D96" i="40"/>
  <c r="AA69" i="40"/>
  <c r="AA96" i="40"/>
  <c r="AY89" i="40"/>
  <c r="AY116" i="40"/>
  <c r="P89" i="40"/>
  <c r="P116" i="40"/>
  <c r="AY87" i="40"/>
  <c r="AY114" i="40"/>
  <c r="Y87" i="40"/>
  <c r="Y114" i="40"/>
  <c r="AP86" i="40"/>
  <c r="AP113" i="40"/>
  <c r="AY85" i="40"/>
  <c r="AY112" i="40"/>
  <c r="AY84" i="40"/>
  <c r="AY111" i="40"/>
  <c r="AP83" i="40"/>
  <c r="AP110" i="40"/>
  <c r="AY82" i="40"/>
  <c r="AY109" i="40"/>
  <c r="S82" i="40"/>
  <c r="S109" i="40"/>
  <c r="L81" i="40"/>
  <c r="L108" i="40"/>
  <c r="AC80" i="40"/>
  <c r="AC107" i="40"/>
  <c r="D80" i="40"/>
  <c r="D107" i="40"/>
  <c r="V79" i="40"/>
  <c r="V106" i="40"/>
  <c r="AU78" i="40"/>
  <c r="AU105" i="40"/>
  <c r="O78" i="40"/>
  <c r="O105" i="40"/>
  <c r="AF77" i="40"/>
  <c r="AF104" i="40"/>
  <c r="AW76" i="40"/>
  <c r="AW103" i="40"/>
  <c r="Q76" i="40"/>
  <c r="Q103" i="40"/>
  <c r="Z75" i="40"/>
  <c r="Z102" i="40"/>
  <c r="AI74" i="40"/>
  <c r="AI101" i="40"/>
  <c r="AR73" i="40"/>
  <c r="AR100" i="40"/>
  <c r="AB73" i="40"/>
  <c r="AB100" i="40"/>
  <c r="BA72" i="40"/>
  <c r="BA99" i="40"/>
  <c r="U72" i="40"/>
  <c r="U99" i="40"/>
  <c r="AL71" i="40"/>
  <c r="AL98" i="40"/>
  <c r="O70" i="40"/>
  <c r="O97" i="40"/>
  <c r="C82" i="40"/>
  <c r="C109" i="40"/>
  <c r="AP69" i="40"/>
  <c r="AP96" i="40"/>
  <c r="Z69" i="40"/>
  <c r="Z96" i="40"/>
  <c r="I69" i="40"/>
  <c r="I96" i="40"/>
  <c r="AO89" i="40"/>
  <c r="AO116" i="40"/>
  <c r="X89" i="40"/>
  <c r="X116" i="40"/>
  <c r="AX88" i="40"/>
  <c r="AX115" i="40"/>
  <c r="AO87" i="40"/>
  <c r="AO114" i="40"/>
  <c r="AG86" i="40"/>
  <c r="AG113" i="40"/>
  <c r="AO85" i="40"/>
  <c r="AO112" i="40"/>
  <c r="AO84" i="40"/>
  <c r="AO111" i="40"/>
  <c r="O84" i="40"/>
  <c r="O111" i="40"/>
  <c r="AO83" i="40"/>
  <c r="AO110" i="40"/>
  <c r="AX82" i="40"/>
  <c r="AX109" i="40"/>
  <c r="Z82" i="40"/>
  <c r="Z109" i="40"/>
  <c r="AQ81" i="40"/>
  <c r="AQ108" i="40"/>
  <c r="S81" i="40"/>
  <c r="S108" i="40"/>
  <c r="AR80" i="40"/>
  <c r="AR107" i="40"/>
  <c r="T80" i="40"/>
  <c r="T107" i="40"/>
  <c r="BA79" i="40"/>
  <c r="BA106" i="40"/>
  <c r="AK79" i="40"/>
  <c r="AK106" i="40"/>
  <c r="U79" i="40"/>
  <c r="U106" i="40"/>
  <c r="AT78" i="40"/>
  <c r="AT105" i="40"/>
  <c r="AD78" i="40"/>
  <c r="AD105" i="40"/>
  <c r="E78" i="40"/>
  <c r="E105" i="40"/>
  <c r="O77" i="40"/>
  <c r="O104" i="40"/>
  <c r="AN76" i="40"/>
  <c r="AN103" i="40"/>
  <c r="AW75" i="40"/>
  <c r="AW102" i="40"/>
  <c r="Q75" i="40"/>
  <c r="Q102" i="40"/>
  <c r="R74" i="40"/>
  <c r="R101" i="40"/>
  <c r="AQ73" i="40"/>
  <c r="AQ100" i="40"/>
  <c r="AA73" i="40"/>
  <c r="AA100" i="40"/>
  <c r="S73" i="40"/>
  <c r="S100" i="40"/>
  <c r="AZ72" i="40"/>
  <c r="AZ99" i="40"/>
  <c r="AR72" i="40"/>
  <c r="AR99" i="40"/>
  <c r="AJ72" i="40"/>
  <c r="AJ99" i="40"/>
  <c r="T72" i="40"/>
  <c r="T99" i="40"/>
  <c r="C78" i="40"/>
  <c r="C70" i="40"/>
  <c r="C97" i="40"/>
  <c r="AT69" i="40"/>
  <c r="AT96" i="40"/>
  <c r="AL69" i="40"/>
  <c r="AL96" i="40"/>
  <c r="AD69" i="40"/>
  <c r="AD96" i="40"/>
  <c r="V69" i="40"/>
  <c r="V96" i="40"/>
  <c r="N69" i="40"/>
  <c r="N96" i="40"/>
  <c r="E96" i="40"/>
  <c r="AS89" i="40"/>
  <c r="AS116" i="40"/>
  <c r="AK89" i="40"/>
  <c r="AK116" i="40"/>
  <c r="AB89" i="40"/>
  <c r="AB116" i="40"/>
  <c r="S89" i="40"/>
  <c r="S116" i="40"/>
  <c r="I89" i="40"/>
  <c r="I116" i="40"/>
  <c r="AS88" i="40"/>
  <c r="AS115" i="40"/>
  <c r="AK88" i="40"/>
  <c r="AK115" i="40"/>
  <c r="AB88" i="40"/>
  <c r="AB115" i="40"/>
  <c r="S88" i="40"/>
  <c r="S115" i="40"/>
  <c r="I88" i="40"/>
  <c r="I115" i="40"/>
  <c r="AS87" i="40"/>
  <c r="AS114" i="40"/>
  <c r="AK87" i="40"/>
  <c r="AK114" i="40"/>
  <c r="AB87" i="40"/>
  <c r="AB114" i="40"/>
  <c r="S87" i="40"/>
  <c r="S114" i="40"/>
  <c r="I87" i="40"/>
  <c r="I114" i="40"/>
  <c r="AS86" i="40"/>
  <c r="AS113" i="40"/>
  <c r="AK86" i="40"/>
  <c r="AK113" i="40"/>
  <c r="AB86" i="40"/>
  <c r="AB113" i="40"/>
  <c r="S86" i="40"/>
  <c r="S113" i="40"/>
  <c r="I86" i="40"/>
  <c r="I113" i="40"/>
  <c r="AS85" i="40"/>
  <c r="AS112" i="40"/>
  <c r="AK85" i="40"/>
  <c r="AK112" i="40"/>
  <c r="AB85" i="40"/>
  <c r="AB112" i="40"/>
  <c r="S85" i="40"/>
  <c r="S112" i="40"/>
  <c r="I85" i="40"/>
  <c r="I112" i="40"/>
  <c r="AS84" i="40"/>
  <c r="AS111" i="40"/>
  <c r="AK84" i="40"/>
  <c r="AK111" i="40"/>
  <c r="AB84" i="40"/>
  <c r="AB111" i="40"/>
  <c r="S84" i="40"/>
  <c r="S111" i="40"/>
  <c r="I84" i="40"/>
  <c r="I111" i="40"/>
  <c r="AS83" i="40"/>
  <c r="AS110" i="40"/>
  <c r="AK83" i="40"/>
  <c r="AK110" i="40"/>
  <c r="AB83" i="40"/>
  <c r="AB110" i="40"/>
  <c r="S83" i="40"/>
  <c r="S110" i="40"/>
  <c r="I83" i="40"/>
  <c r="I110" i="40"/>
  <c r="AT82" i="40"/>
  <c r="AT109" i="40"/>
  <c r="AL82" i="40"/>
  <c r="AL109" i="40"/>
  <c r="AD82" i="40"/>
  <c r="AD109" i="40"/>
  <c r="V82" i="40"/>
  <c r="V109" i="40"/>
  <c r="N82" i="40"/>
  <c r="N109" i="40"/>
  <c r="E82" i="40"/>
  <c r="E109" i="40"/>
  <c r="AU81" i="40"/>
  <c r="AU108" i="40"/>
  <c r="AM81" i="40"/>
  <c r="AM108" i="40"/>
  <c r="AE81" i="40"/>
  <c r="AE108" i="40"/>
  <c r="W81" i="40"/>
  <c r="W108" i="40"/>
  <c r="O81" i="40"/>
  <c r="O108" i="40"/>
  <c r="F81" i="40"/>
  <c r="F108" i="40"/>
  <c r="AV80" i="40"/>
  <c r="AV107" i="40"/>
  <c r="AN80" i="40"/>
  <c r="AN107" i="40"/>
  <c r="AF80" i="40"/>
  <c r="AF107" i="40"/>
  <c r="X80" i="40"/>
  <c r="X107" i="40"/>
  <c r="P80" i="40"/>
  <c r="P107" i="40"/>
  <c r="G80" i="40"/>
  <c r="G107" i="40"/>
  <c r="AW79" i="40"/>
  <c r="AW106" i="40"/>
  <c r="AO79" i="40"/>
  <c r="AO106" i="40"/>
  <c r="AG79" i="40"/>
  <c r="AG106" i="40"/>
  <c r="Y79" i="40"/>
  <c r="Y106" i="40"/>
  <c r="Q79" i="40"/>
  <c r="Q106" i="40"/>
  <c r="H79" i="40"/>
  <c r="H106" i="40"/>
  <c r="AX78" i="40"/>
  <c r="AX105" i="40"/>
  <c r="AP78" i="40"/>
  <c r="AP105" i="40"/>
  <c r="AH78" i="40"/>
  <c r="AH105" i="40"/>
  <c r="Z78" i="40"/>
  <c r="Z105" i="40"/>
  <c r="R78" i="40"/>
  <c r="R105" i="40"/>
  <c r="I78" i="40"/>
  <c r="I105" i="40"/>
  <c r="AY77" i="40"/>
  <c r="AY104" i="40"/>
  <c r="AQ77" i="40"/>
  <c r="AQ104" i="40"/>
  <c r="AI77" i="40"/>
  <c r="AI104" i="40"/>
  <c r="AA77" i="40"/>
  <c r="AA104" i="40"/>
  <c r="S77" i="40"/>
  <c r="S104" i="40"/>
  <c r="J77" i="40"/>
  <c r="J104" i="40"/>
  <c r="AZ76" i="40"/>
  <c r="AZ103" i="40"/>
  <c r="AR76" i="40"/>
  <c r="AR103" i="40"/>
  <c r="AJ76" i="40"/>
  <c r="AJ103" i="40"/>
  <c r="AB76" i="40"/>
  <c r="AB103" i="40"/>
  <c r="T76" i="40"/>
  <c r="T103" i="40"/>
  <c r="L76" i="40"/>
  <c r="L103" i="40"/>
  <c r="BA75" i="40"/>
  <c r="BA102" i="40"/>
  <c r="AS75" i="40"/>
  <c r="AS102" i="40"/>
  <c r="AK75" i="40"/>
  <c r="AK102" i="40"/>
  <c r="AC75" i="40"/>
  <c r="AC102" i="40"/>
  <c r="U75" i="40"/>
  <c r="U102" i="40"/>
  <c r="M75" i="40"/>
  <c r="M102" i="40"/>
  <c r="D75" i="40"/>
  <c r="D102" i="40"/>
  <c r="AT74" i="40"/>
  <c r="AT101" i="40"/>
  <c r="AL74" i="40"/>
  <c r="AL101" i="40"/>
  <c r="AD74" i="40"/>
  <c r="AD101" i="40"/>
  <c r="V74" i="40"/>
  <c r="V101" i="40"/>
  <c r="N74" i="40"/>
  <c r="N101" i="40"/>
  <c r="E74" i="40"/>
  <c r="E101" i="40"/>
  <c r="AU73" i="40"/>
  <c r="AU100" i="40"/>
  <c r="AM73" i="40"/>
  <c r="AM100" i="40"/>
  <c r="AE73" i="40"/>
  <c r="AE100" i="40"/>
  <c r="W73" i="40"/>
  <c r="W100" i="40"/>
  <c r="O73" i="40"/>
  <c r="O100" i="40"/>
  <c r="F73" i="40"/>
  <c r="F100" i="40"/>
  <c r="AV72" i="40"/>
  <c r="AV99" i="40"/>
  <c r="AN72" i="40"/>
  <c r="AN99" i="40"/>
  <c r="AF72" i="40"/>
  <c r="AF99" i="40"/>
  <c r="X72" i="40"/>
  <c r="X99" i="40"/>
  <c r="P72" i="40"/>
  <c r="P99" i="40"/>
  <c r="G72" i="40"/>
  <c r="G99" i="40"/>
  <c r="AW71" i="40"/>
  <c r="AW98" i="40"/>
  <c r="AO71" i="40"/>
  <c r="AO98" i="40"/>
  <c r="AG71" i="40"/>
  <c r="AG98" i="40"/>
  <c r="Y71" i="40"/>
  <c r="Y98" i="40"/>
  <c r="Q71" i="40"/>
  <c r="Q98" i="40"/>
  <c r="H71" i="40"/>
  <c r="H98" i="40"/>
  <c r="AX70" i="40"/>
  <c r="AX97" i="40"/>
  <c r="AP70" i="40"/>
  <c r="AP97" i="40"/>
  <c r="AH70" i="40"/>
  <c r="AH97" i="40"/>
  <c r="Z70" i="40"/>
  <c r="Z97" i="40"/>
  <c r="R70" i="40"/>
  <c r="R97" i="40"/>
  <c r="I70" i="40"/>
  <c r="I97" i="40"/>
  <c r="K82" i="40"/>
  <c r="K109" i="40"/>
  <c r="K74" i="40"/>
  <c r="K101" i="40"/>
  <c r="AA90" i="40"/>
  <c r="AZ90" i="40"/>
  <c r="Q90" i="40"/>
  <c r="AY90" i="40"/>
  <c r="AP90" i="40"/>
  <c r="AH90" i="40"/>
  <c r="Y90" i="40"/>
  <c r="P90" i="40"/>
  <c r="AX90" i="40"/>
  <c r="AO90" i="40"/>
  <c r="AG90" i="40"/>
  <c r="X90" i="40"/>
  <c r="O90" i="40"/>
  <c r="AR90" i="40"/>
  <c r="AI90" i="40"/>
  <c r="AW90" i="40"/>
  <c r="AN90" i="40"/>
  <c r="AF90" i="40"/>
  <c r="V90" i="40"/>
  <c r="N90" i="40"/>
  <c r="AQ90" i="40"/>
  <c r="AV90" i="40"/>
  <c r="AM90" i="40"/>
  <c r="AD90" i="40"/>
  <c r="U90" i="40"/>
  <c r="M90" i="40"/>
  <c r="AJ90" i="40"/>
  <c r="Z90" i="40"/>
  <c r="AU90" i="40"/>
  <c r="AL90" i="40"/>
  <c r="AC90" i="40"/>
  <c r="T90" i="40"/>
  <c r="J90" i="40"/>
  <c r="BA90" i="40"/>
  <c r="R90" i="40"/>
  <c r="AS90" i="40"/>
  <c r="AK90" i="40"/>
  <c r="AB90" i="40"/>
  <c r="S90" i="40"/>
  <c r="I90" i="40"/>
  <c r="K90" i="40"/>
  <c r="C18" i="40"/>
  <c r="L27" i="13"/>
  <c r="O27" i="13"/>
  <c r="I27" i="13"/>
  <c r="O7" i="12"/>
  <c r="I7" i="12"/>
  <c r="L25" i="13"/>
  <c r="O25" i="13"/>
  <c r="I25" i="13"/>
  <c r="O29" i="12"/>
  <c r="I29" i="12"/>
  <c r="O7" i="7"/>
  <c r="I7" i="7"/>
  <c r="L26" i="13"/>
  <c r="O26" i="13"/>
  <c r="I26" i="13"/>
  <c r="O28" i="12"/>
  <c r="I28" i="12"/>
  <c r="O30" i="7"/>
  <c r="I30" i="7"/>
  <c r="L27" i="12"/>
  <c r="I27" i="12"/>
  <c r="O27" i="12"/>
  <c r="O30" i="12"/>
  <c r="I30" i="12"/>
  <c r="L30" i="13"/>
  <c r="I30" i="13"/>
  <c r="O30" i="13"/>
  <c r="L29" i="7"/>
  <c r="O29" i="7"/>
  <c r="I29" i="7"/>
  <c r="L26" i="12"/>
  <c r="I26" i="12"/>
  <c r="O26" i="12"/>
  <c r="O25" i="7"/>
  <c r="I25" i="7"/>
  <c r="O29" i="13"/>
  <c r="I29" i="13"/>
  <c r="O28" i="7"/>
  <c r="I28" i="7"/>
  <c r="O25" i="12"/>
  <c r="I25" i="12"/>
  <c r="L26" i="7"/>
  <c r="O26" i="7"/>
  <c r="I26" i="7"/>
  <c r="O9" i="12"/>
  <c r="I9" i="12"/>
  <c r="O8" i="12"/>
  <c r="I8" i="12"/>
  <c r="L28" i="13"/>
  <c r="O28" i="13"/>
  <c r="I28" i="13"/>
  <c r="L27" i="7"/>
  <c r="O27" i="7"/>
  <c r="I27" i="7"/>
  <c r="O7" i="13"/>
  <c r="I7" i="13"/>
  <c r="L9" i="44"/>
  <c r="L10" i="44"/>
  <c r="L11" i="44"/>
  <c r="L8" i="44"/>
  <c r="L7" i="44"/>
  <c r="L25" i="22"/>
  <c r="F25" i="22"/>
  <c r="I25" i="22" s="1"/>
  <c r="L28" i="30"/>
  <c r="F28" i="30"/>
  <c r="I28" i="30" s="1"/>
  <c r="L27" i="30"/>
  <c r="F27" i="30"/>
  <c r="I27" i="30" s="1"/>
  <c r="L26" i="30"/>
  <c r="F26" i="30"/>
  <c r="I26" i="30" s="1"/>
  <c r="L30" i="22"/>
  <c r="F30" i="22"/>
  <c r="I30" i="22" s="1"/>
  <c r="L25" i="30"/>
  <c r="F25" i="30"/>
  <c r="I25" i="30" s="1"/>
  <c r="L29" i="22"/>
  <c r="F29" i="22"/>
  <c r="I29" i="22" s="1"/>
  <c r="L28" i="22"/>
  <c r="F28" i="22"/>
  <c r="I28" i="22" s="1"/>
  <c r="L27" i="22"/>
  <c r="F27" i="22"/>
  <c r="I27" i="22" s="1"/>
  <c r="L30" i="30"/>
  <c r="F30" i="30"/>
  <c r="I30" i="30" s="1"/>
  <c r="L26" i="22"/>
  <c r="F26" i="22"/>
  <c r="I26" i="22" s="1"/>
  <c r="R15" i="40"/>
  <c r="R21" i="40"/>
  <c r="R13" i="40"/>
  <c r="R16" i="40"/>
  <c r="R22" i="40"/>
  <c r="R14" i="40"/>
  <c r="R20" i="40"/>
  <c r="R12" i="40"/>
  <c r="R19" i="40"/>
  <c r="R11" i="40"/>
  <c r="R18" i="40"/>
  <c r="R10" i="40"/>
  <c r="R9" i="40"/>
  <c r="AI16" i="33"/>
  <c r="AI15" i="33"/>
  <c r="AI22" i="33"/>
  <c r="AI14" i="33"/>
  <c r="AI21" i="33"/>
  <c r="AI13" i="33"/>
  <c r="AI10" i="33"/>
  <c r="AI17" i="33"/>
  <c r="AI20" i="33"/>
  <c r="AI12" i="33"/>
  <c r="AI18" i="33"/>
  <c r="AI19" i="33"/>
  <c r="AI11" i="33"/>
  <c r="L9" i="22"/>
  <c r="L11" i="30"/>
  <c r="L8" i="24"/>
  <c r="L8" i="22"/>
  <c r="L10" i="30"/>
  <c r="L7" i="12"/>
  <c r="AT22" i="33"/>
  <c r="J22" i="33" s="1"/>
  <c r="AO22" i="33"/>
  <c r="E22" i="33" s="1"/>
  <c r="AR22" i="33"/>
  <c r="H22" i="33" s="1"/>
  <c r="AM22" i="33"/>
  <c r="AQ22" i="33"/>
  <c r="G22" i="33" s="1"/>
  <c r="AP22" i="33"/>
  <c r="F22" i="33" s="1"/>
  <c r="AN22" i="33"/>
  <c r="AT193" i="40"/>
  <c r="AT220" i="40" s="1" a="1"/>
  <c r="AT220" i="40" s="1"/>
  <c r="AL8" i="33"/>
  <c r="AT21" i="33"/>
  <c r="J21" i="33" s="1"/>
  <c r="AT15" i="33"/>
  <c r="AL7" i="33"/>
  <c r="AT14" i="33"/>
  <c r="AT13" i="33"/>
  <c r="AT20" i="33"/>
  <c r="J20" i="33" s="1"/>
  <c r="AT12" i="33"/>
  <c r="AT19" i="33"/>
  <c r="J19" i="33" s="1"/>
  <c r="AT11" i="33"/>
  <c r="AT18" i="33"/>
  <c r="J18" i="33" s="1"/>
  <c r="AT10" i="33"/>
  <c r="AT17" i="33"/>
  <c r="AT9" i="33"/>
  <c r="AT16" i="33"/>
  <c r="AT8" i="33"/>
  <c r="AR21" i="33"/>
  <c r="H21" i="33" s="1"/>
  <c r="C21" i="44" s="1" a="1"/>
  <c r="C21" i="44" s="1"/>
  <c r="F21" i="44" s="1"/>
  <c r="AR20" i="33"/>
  <c r="H20" i="33" s="1"/>
  <c r="C20" i="44" s="1" a="1"/>
  <c r="C20" i="44" s="1"/>
  <c r="F20" i="44" s="1"/>
  <c r="AR19" i="33"/>
  <c r="H19" i="33" s="1"/>
  <c r="C19" i="44" s="1" a="1"/>
  <c r="C19" i="44" s="1"/>
  <c r="F19" i="44" s="1"/>
  <c r="AR18" i="33"/>
  <c r="H18" i="33" s="1"/>
  <c r="C18" i="44" s="1" a="1"/>
  <c r="C18" i="44" s="1"/>
  <c r="F18" i="44" s="1"/>
  <c r="AR17" i="33"/>
  <c r="H17" i="33" s="1"/>
  <c r="C17" i="44" s="1" a="1"/>
  <c r="C17" i="44" s="1"/>
  <c r="F17" i="44" s="1"/>
  <c r="AR16" i="33"/>
  <c r="H16" i="33" s="1"/>
  <c r="C16" i="44" s="1" a="1"/>
  <c r="C16" i="44" s="1"/>
  <c r="F16" i="44" s="1"/>
  <c r="AR15" i="33"/>
  <c r="AR14" i="33"/>
  <c r="H14" i="33" s="1"/>
  <c r="C14" i="44" s="1" a="1"/>
  <c r="C14" i="44" s="1"/>
  <c r="F14" i="44" s="1"/>
  <c r="AR13" i="33"/>
  <c r="H13" i="33" s="1"/>
  <c r="C13" i="44" s="1" a="1"/>
  <c r="C13" i="44" s="1"/>
  <c r="F13" i="44" s="1"/>
  <c r="AR12" i="33"/>
  <c r="H12" i="33" s="1"/>
  <c r="C12" i="44" s="1" a="1"/>
  <c r="C12" i="44" s="1"/>
  <c r="F12" i="44" s="1"/>
  <c r="AR11" i="33"/>
  <c r="AR10" i="33"/>
  <c r="AR9" i="33"/>
  <c r="AR8" i="33"/>
  <c r="AQ21" i="33"/>
  <c r="G21" i="33" s="1"/>
  <c r="AQ20" i="33"/>
  <c r="G20" i="33" s="1"/>
  <c r="AQ19" i="33"/>
  <c r="G19" i="33" s="1"/>
  <c r="AQ18" i="33"/>
  <c r="G18" i="33" s="1"/>
  <c r="AQ17" i="33"/>
  <c r="G17" i="33" s="1"/>
  <c r="AQ16" i="33"/>
  <c r="G16" i="33" s="1"/>
  <c r="C16" i="8" s="1" a="1"/>
  <c r="C16" i="8" s="1"/>
  <c r="L16" i="8" s="1"/>
  <c r="AQ15" i="33"/>
  <c r="G15" i="33" s="1"/>
  <c r="C15" i="8" s="1" a="1"/>
  <c r="C15" i="8" s="1"/>
  <c r="L15" i="8" s="1"/>
  <c r="AQ14" i="33"/>
  <c r="G14" i="33" s="1"/>
  <c r="AQ13" i="33"/>
  <c r="G13" i="33" s="1"/>
  <c r="AQ12" i="33"/>
  <c r="G12" i="33" s="1"/>
  <c r="C12" i="8" s="1" a="1"/>
  <c r="C12" i="8" s="1"/>
  <c r="AQ11" i="33"/>
  <c r="G11" i="33" s="1"/>
  <c r="AQ10" i="33"/>
  <c r="G10" i="33" s="1"/>
  <c r="AQ9" i="33"/>
  <c r="AQ8" i="33"/>
  <c r="AP21" i="33"/>
  <c r="F21" i="33" s="1"/>
  <c r="AP20" i="33"/>
  <c r="F20" i="33" s="1"/>
  <c r="AP19" i="33"/>
  <c r="F19" i="33" s="1"/>
  <c r="AP18" i="33"/>
  <c r="F18" i="33" s="1"/>
  <c r="AP17" i="33"/>
  <c r="F17" i="33" s="1"/>
  <c r="AP16" i="33"/>
  <c r="F16" i="33" s="1"/>
  <c r="AP15" i="33"/>
  <c r="AP14" i="33"/>
  <c r="AP13" i="33"/>
  <c r="AP12" i="33"/>
  <c r="AP11" i="33"/>
  <c r="AP10" i="33"/>
  <c r="AP9" i="33"/>
  <c r="AP8" i="33"/>
  <c r="AO21" i="33"/>
  <c r="E21" i="33" s="1"/>
  <c r="C21" i="12" s="1" a="1"/>
  <c r="C21" i="12" s="1"/>
  <c r="AO20" i="33"/>
  <c r="E20" i="33" s="1"/>
  <c r="AO19" i="33"/>
  <c r="E19" i="33" s="1"/>
  <c r="AO18" i="33"/>
  <c r="E18" i="33" s="1"/>
  <c r="AO17" i="33"/>
  <c r="E17" i="33" s="1"/>
  <c r="AO16" i="33"/>
  <c r="E16" i="33" s="1"/>
  <c r="AO15" i="33"/>
  <c r="E15" i="33" s="1"/>
  <c r="AO14" i="33"/>
  <c r="E14" i="33" s="1"/>
  <c r="AO13" i="33"/>
  <c r="E13" i="33" s="1"/>
  <c r="AO12" i="33"/>
  <c r="E12" i="33" s="1"/>
  <c r="AO11" i="33"/>
  <c r="E11" i="33" s="1"/>
  <c r="AO10" i="33"/>
  <c r="E10" i="33" s="1"/>
  <c r="AO9" i="33"/>
  <c r="AO8" i="33"/>
  <c r="AN21" i="33"/>
  <c r="AN20" i="33"/>
  <c r="AN19" i="33"/>
  <c r="AN18" i="33"/>
  <c r="AN17" i="33"/>
  <c r="AN16" i="33"/>
  <c r="AN15" i="33"/>
  <c r="AN14" i="33"/>
  <c r="AN13" i="33"/>
  <c r="AN12" i="33"/>
  <c r="AN11" i="33"/>
  <c r="AN10" i="33"/>
  <c r="AN9" i="33"/>
  <c r="AN8" i="33"/>
  <c r="AM21" i="33"/>
  <c r="AM20" i="33"/>
  <c r="AM19" i="33"/>
  <c r="AM18" i="33"/>
  <c r="AM17" i="33"/>
  <c r="AM16" i="33"/>
  <c r="AM15" i="33"/>
  <c r="AM14" i="33"/>
  <c r="AM13" i="33"/>
  <c r="AM12" i="33"/>
  <c r="AM11" i="33"/>
  <c r="AM10" i="33"/>
  <c r="AM9" i="33"/>
  <c r="AM8" i="33"/>
  <c r="L17" i="30"/>
  <c r="L9" i="30"/>
  <c r="L7" i="22"/>
  <c r="L14" i="24"/>
  <c r="L9" i="12"/>
  <c r="V30" i="15"/>
  <c r="L7" i="13"/>
  <c r="L13" i="24"/>
  <c r="L8" i="12"/>
  <c r="L15" i="30"/>
  <c r="L7" i="7"/>
  <c r="L14" i="30"/>
  <c r="L7" i="8"/>
  <c r="L11" i="24"/>
  <c r="T10" i="15"/>
  <c r="T11" i="15" s="1"/>
  <c r="L11" i="22"/>
  <c r="L13" i="30"/>
  <c r="L9" i="8"/>
  <c r="L10" i="24"/>
  <c r="L10" i="22"/>
  <c r="L8" i="8"/>
  <c r="L9" i="24"/>
  <c r="I29" i="30"/>
  <c r="L29" i="30"/>
  <c r="I16" i="30"/>
  <c r="L16" i="30"/>
  <c r="I12" i="30"/>
  <c r="L12" i="30"/>
  <c r="F29" i="8"/>
  <c r="L29" i="8"/>
  <c r="I7" i="30"/>
  <c r="L7" i="30"/>
  <c r="F15" i="24"/>
  <c r="I15" i="24" s="1"/>
  <c r="L15" i="24"/>
  <c r="F7" i="24"/>
  <c r="I7" i="24" s="1"/>
  <c r="L7" i="24"/>
  <c r="I8" i="30"/>
  <c r="L8" i="30"/>
  <c r="F28" i="24"/>
  <c r="I28" i="24" s="1"/>
  <c r="L28" i="24"/>
  <c r="F12" i="24"/>
  <c r="I12" i="24" s="1"/>
  <c r="L12" i="24"/>
  <c r="U29" i="13"/>
  <c r="L29" i="13"/>
  <c r="AA25" i="12"/>
  <c r="L25" i="12"/>
  <c r="R30" i="7"/>
  <c r="L30" i="7"/>
  <c r="F28" i="2"/>
  <c r="I28" i="2" s="1"/>
  <c r="L28" i="2"/>
  <c r="R28" i="7"/>
  <c r="L28" i="7"/>
  <c r="AG30" i="12"/>
  <c r="L30" i="12"/>
  <c r="AD25" i="7"/>
  <c r="L25" i="7"/>
  <c r="X29" i="12"/>
  <c r="L29" i="12"/>
  <c r="AG28" i="12"/>
  <c r="L28" i="12"/>
  <c r="AT194" i="40"/>
  <c r="AT221" i="40" s="1" a="1"/>
  <c r="AT221" i="40" s="1"/>
  <c r="V10" i="15"/>
  <c r="V11" i="15" s="1"/>
  <c r="AT195" i="40"/>
  <c r="AT222" i="40" s="1" a="1"/>
  <c r="AT222" i="40" s="1"/>
  <c r="F7" i="8"/>
  <c r="I7" i="8" s="1"/>
  <c r="F13" i="24"/>
  <c r="I13" i="24" s="1"/>
  <c r="I27" i="8"/>
  <c r="F27" i="8"/>
  <c r="F28" i="8"/>
  <c r="I28" i="8"/>
  <c r="F14" i="24"/>
  <c r="I14" i="24" s="1"/>
  <c r="F9" i="8"/>
  <c r="I9" i="8" s="1"/>
  <c r="F25" i="24"/>
  <c r="I25" i="24" s="1"/>
  <c r="F26" i="8"/>
  <c r="F29" i="24"/>
  <c r="I29" i="24" s="1"/>
  <c r="I25" i="8"/>
  <c r="F25" i="8"/>
  <c r="I11" i="22"/>
  <c r="I10" i="30"/>
  <c r="F8" i="8"/>
  <c r="I8" i="8" s="1"/>
  <c r="I9" i="30"/>
  <c r="F27" i="24"/>
  <c r="I27" i="24" s="1"/>
  <c r="I15" i="30"/>
  <c r="F26" i="24"/>
  <c r="I26" i="24" s="1"/>
  <c r="I17" i="30"/>
  <c r="I9" i="22"/>
  <c r="I14" i="30"/>
  <c r="F30" i="24"/>
  <c r="I30" i="24" s="1"/>
  <c r="I11" i="30"/>
  <c r="I8" i="22"/>
  <c r="I13" i="30"/>
  <c r="I7" i="22"/>
  <c r="F30" i="8"/>
  <c r="I30" i="8"/>
  <c r="F11" i="24"/>
  <c r="I11" i="24" s="1"/>
  <c r="F10" i="24"/>
  <c r="I10" i="24" s="1"/>
  <c r="F8" i="24"/>
  <c r="I8" i="24" s="1"/>
  <c r="F9" i="24"/>
  <c r="I9" i="24" s="1"/>
  <c r="I26" i="8"/>
  <c r="I29" i="8"/>
  <c r="I10" i="22"/>
  <c r="E16" i="40"/>
  <c r="F16" i="39" s="1"/>
  <c r="E22" i="40"/>
  <c r="F22" i="39" s="1"/>
  <c r="E14" i="40"/>
  <c r="F14" i="39" s="1"/>
  <c r="E21" i="40"/>
  <c r="F21" i="39" s="1"/>
  <c r="E20" i="40"/>
  <c r="F20" i="39" s="1"/>
  <c r="E12" i="40"/>
  <c r="F12" i="39" s="1"/>
  <c r="E15" i="40"/>
  <c r="F15" i="39" s="1"/>
  <c r="E19" i="40"/>
  <c r="F19" i="39" s="1"/>
  <c r="E11" i="40"/>
  <c r="F11" i="39" s="1"/>
  <c r="E18" i="40"/>
  <c r="F18" i="39" s="1"/>
  <c r="E17" i="40"/>
  <c r="F17" i="39" s="1"/>
  <c r="X28" i="39"/>
  <c r="C17" i="40"/>
  <c r="C20" i="40"/>
  <c r="C12" i="40"/>
  <c r="C15" i="40"/>
  <c r="C19" i="40"/>
  <c r="C11" i="40"/>
  <c r="C10" i="40"/>
  <c r="C16" i="40"/>
  <c r="C22" i="40"/>
  <c r="C14" i="40"/>
  <c r="C21" i="40"/>
  <c r="C13" i="40"/>
  <c r="AD26" i="39"/>
  <c r="AD27" i="39"/>
  <c r="AD25" i="13"/>
  <c r="R25" i="13"/>
  <c r="R28" i="13"/>
  <c r="AD28" i="13"/>
  <c r="R26" i="13"/>
  <c r="F26" i="13"/>
  <c r="AA26" i="13" s="1"/>
  <c r="U26" i="13"/>
  <c r="AD26" i="13"/>
  <c r="AG26" i="13"/>
  <c r="X26" i="13"/>
  <c r="R30" i="13"/>
  <c r="U30" i="13"/>
  <c r="AG30" i="13"/>
  <c r="F30" i="13"/>
  <c r="AA30" i="13" s="1"/>
  <c r="AD30" i="13"/>
  <c r="X30" i="13"/>
  <c r="AG27" i="13"/>
  <c r="F27" i="13"/>
  <c r="AA27" i="13" s="1"/>
  <c r="U27" i="13"/>
  <c r="R27" i="13"/>
  <c r="X27" i="13"/>
  <c r="AD27" i="13"/>
  <c r="X27" i="39"/>
  <c r="F25" i="13"/>
  <c r="AA25" i="13" s="1"/>
  <c r="R29" i="13"/>
  <c r="AG28" i="13"/>
  <c r="X29" i="39"/>
  <c r="AD29" i="13"/>
  <c r="AG25" i="13"/>
  <c r="AG29" i="13"/>
  <c r="AA28" i="12"/>
  <c r="AD30" i="39"/>
  <c r="X25" i="13"/>
  <c r="F29" i="13"/>
  <c r="AA29" i="13" s="1"/>
  <c r="X29" i="13"/>
  <c r="F28" i="13"/>
  <c r="AA28" i="13" s="1"/>
  <c r="U28" i="13"/>
  <c r="U25" i="13"/>
  <c r="F7" i="13"/>
  <c r="X28" i="13"/>
  <c r="F30" i="2"/>
  <c r="I30" i="2" s="1"/>
  <c r="F27" i="7"/>
  <c r="AA27" i="7" s="1"/>
  <c r="AD27" i="7"/>
  <c r="F26" i="2"/>
  <c r="I26" i="2" s="1"/>
  <c r="AG26" i="7"/>
  <c r="AD26" i="7"/>
  <c r="U26" i="7"/>
  <c r="F26" i="7"/>
  <c r="AA26" i="7" s="1"/>
  <c r="X26" i="7"/>
  <c r="R26" i="7"/>
  <c r="F25" i="2"/>
  <c r="I25" i="2" s="1"/>
  <c r="AA26" i="12"/>
  <c r="R26" i="12"/>
  <c r="X26" i="12"/>
  <c r="AD26" i="12"/>
  <c r="U26" i="12"/>
  <c r="F26" i="12"/>
  <c r="AG26" i="12"/>
  <c r="F29" i="2"/>
  <c r="I29" i="2" s="1"/>
  <c r="J27" i="40" a="1"/>
  <c r="J27" i="40" s="1"/>
  <c r="AA27" i="33" s="1"/>
  <c r="AD25" i="39"/>
  <c r="AA30" i="12"/>
  <c r="X26" i="39"/>
  <c r="X30" i="12"/>
  <c r="F30" i="12"/>
  <c r="I23" i="40" a="1"/>
  <c r="I23" i="40" s="1"/>
  <c r="Z23" i="33" s="1"/>
  <c r="X25" i="39"/>
  <c r="AD30" i="12"/>
  <c r="R30" i="12"/>
  <c r="U30" i="12"/>
  <c r="F27" i="2"/>
  <c r="I27" i="2" s="1"/>
  <c r="X29" i="7"/>
  <c r="R29" i="7"/>
  <c r="F29" i="7"/>
  <c r="AA29" i="7" s="1"/>
  <c r="AD29" i="7"/>
  <c r="AG29" i="7"/>
  <c r="U29" i="7"/>
  <c r="R25" i="7"/>
  <c r="X25" i="7"/>
  <c r="AG25" i="7"/>
  <c r="U25" i="7"/>
  <c r="F25" i="7"/>
  <c r="AA25" i="7" s="1"/>
  <c r="X30" i="7"/>
  <c r="U30" i="7"/>
  <c r="AG30" i="7"/>
  <c r="F30" i="7"/>
  <c r="AA30" i="7" s="1"/>
  <c r="AD30" i="7"/>
  <c r="F7" i="12"/>
  <c r="F8" i="12"/>
  <c r="F28" i="7"/>
  <c r="AA28" i="7" s="1"/>
  <c r="AD28" i="7"/>
  <c r="X28" i="7"/>
  <c r="AG28" i="7"/>
  <c r="U28" i="7"/>
  <c r="U25" i="12"/>
  <c r="F25" i="12"/>
  <c r="AD25" i="12"/>
  <c r="X25" i="12"/>
  <c r="R25" i="12"/>
  <c r="AG25" i="12"/>
  <c r="AG27" i="7"/>
  <c r="R27" i="7"/>
  <c r="X27" i="7"/>
  <c r="U27" i="7"/>
  <c r="F7" i="7"/>
  <c r="U29" i="12"/>
  <c r="AA29" i="12"/>
  <c r="R29" i="12"/>
  <c r="AG29" i="12"/>
  <c r="F29" i="12"/>
  <c r="AD29" i="12"/>
  <c r="F28" i="12"/>
  <c r="AD28" i="12"/>
  <c r="U28" i="12"/>
  <c r="R28" i="12"/>
  <c r="X28" i="12"/>
  <c r="U27" i="12"/>
  <c r="R27" i="12"/>
  <c r="X27" i="12"/>
  <c r="AA27" i="12"/>
  <c r="F27" i="12"/>
  <c r="AD27" i="12"/>
  <c r="AG27" i="12"/>
  <c r="F9" i="12"/>
  <c r="BH9" i="16" l="1"/>
  <c r="BG9" i="16"/>
  <c r="AB195" i="40"/>
  <c r="AB222" i="40" s="1" a="1"/>
  <c r="AB222" i="40" s="1"/>
  <c r="W182" i="40"/>
  <c r="W209" i="40" s="1" a="1"/>
  <c r="W209" i="40" s="1"/>
  <c r="AX198" i="40"/>
  <c r="AX225" i="40" s="1" a="1"/>
  <c r="AX225" i="40" s="1"/>
  <c r="AQ182" i="40"/>
  <c r="AQ209" i="40" s="1" a="1"/>
  <c r="AQ209" i="40" s="1"/>
  <c r="U198" i="40"/>
  <c r="U225" i="40" s="1" a="1"/>
  <c r="U225" i="40" s="1"/>
  <c r="N183" i="40"/>
  <c r="N210" i="40" s="1" a="1"/>
  <c r="N210" i="40" s="1"/>
  <c r="AU186" i="40"/>
  <c r="AU213" i="40" s="1" a="1"/>
  <c r="AU213" i="40" s="1"/>
  <c r="F11" i="40"/>
  <c r="I11" i="39" s="1"/>
  <c r="L11" i="39" s="1"/>
  <c r="P198" i="40"/>
  <c r="P225" i="40" s="1" a="1"/>
  <c r="P225" i="40" s="1"/>
  <c r="AE181" i="40"/>
  <c r="AE208" i="40" s="1" a="1"/>
  <c r="AE208" i="40" s="1"/>
  <c r="AB188" i="40"/>
  <c r="AB215" i="40" s="1" a="1"/>
  <c r="AB215" i="40" s="1"/>
  <c r="AO198" i="40"/>
  <c r="AO225" i="40" s="1" a="1"/>
  <c r="AO225" i="40" s="1"/>
  <c r="AV188" i="40"/>
  <c r="AV215" i="40" s="1" a="1"/>
  <c r="AV215" i="40" s="1"/>
  <c r="C22" i="44" a="1"/>
  <c r="C22" i="44" s="1"/>
  <c r="F22" i="44" s="1"/>
  <c r="AA8" i="12"/>
  <c r="F24" i="44"/>
  <c r="I24" i="44" s="1"/>
  <c r="L24" i="44"/>
  <c r="I26" i="42" a="1"/>
  <c r="I26" i="42" s="1"/>
  <c r="I25" i="42" a="1"/>
  <c r="I25" i="42" s="1"/>
  <c r="I29" i="42" a="1"/>
  <c r="I29" i="42" s="1"/>
  <c r="I27" i="42" a="1"/>
  <c r="I27" i="42" s="1"/>
  <c r="I28" i="42" a="1"/>
  <c r="I28" i="42" s="1"/>
  <c r="V182" i="40"/>
  <c r="V209" i="40" s="1" a="1"/>
  <c r="V209" i="40" s="1"/>
  <c r="AA9" i="12"/>
  <c r="X9" i="12"/>
  <c r="AB182" i="40"/>
  <c r="AB209" i="40" s="1" a="1"/>
  <c r="AB209" i="40" s="1"/>
  <c r="BF10" i="16"/>
  <c r="J194" i="40"/>
  <c r="J221" i="40" s="1" a="1"/>
  <c r="J221" i="40" s="1"/>
  <c r="AK190" i="40"/>
  <c r="AK217" i="40" s="1" a="1"/>
  <c r="AK217" i="40" s="1"/>
  <c r="AT196" i="40"/>
  <c r="AT223" i="40" s="1" a="1"/>
  <c r="AT223" i="40" s="1"/>
  <c r="K198" i="40"/>
  <c r="K225" i="40" s="1" a="1"/>
  <c r="K225" i="40" s="1"/>
  <c r="AK198" i="40"/>
  <c r="AK225" i="40" s="1" a="1"/>
  <c r="AK225" i="40" s="1"/>
  <c r="V198" i="40"/>
  <c r="V225" i="40" s="1" a="1"/>
  <c r="V225" i="40" s="1"/>
  <c r="AL178" i="40"/>
  <c r="AL205" i="40" s="1" a="1"/>
  <c r="AL205" i="40" s="1"/>
  <c r="M183" i="40"/>
  <c r="M210" i="40" s="1" a="1"/>
  <c r="M210" i="40" s="1"/>
  <c r="AB191" i="40"/>
  <c r="AB218" i="40" s="1" a="1"/>
  <c r="AB218" i="40" s="1"/>
  <c r="AX195" i="40"/>
  <c r="AX222" i="40" s="1" a="1"/>
  <c r="AX222" i="40" s="1"/>
  <c r="AH183" i="40"/>
  <c r="AH210" i="40" s="1" a="1"/>
  <c r="AH210" i="40" s="1"/>
  <c r="AY193" i="40"/>
  <c r="AY220" i="40" s="1" a="1"/>
  <c r="AY220" i="40" s="1"/>
  <c r="C187" i="40"/>
  <c r="C214" i="40" s="1" a="1"/>
  <c r="C214" i="40" s="1"/>
  <c r="AB186" i="40"/>
  <c r="AB213" i="40" s="1" a="1"/>
  <c r="AB213" i="40" s="1"/>
  <c r="N195" i="40"/>
  <c r="N222" i="40" s="1" a="1"/>
  <c r="N222" i="40" s="1"/>
  <c r="AT197" i="40"/>
  <c r="AT224" i="40" s="1" a="1"/>
  <c r="AT224" i="40" s="1"/>
  <c r="AL198" i="40"/>
  <c r="AL225" i="40" s="1" a="1"/>
  <c r="AL225" i="40" s="1"/>
  <c r="AQ198" i="40"/>
  <c r="AQ225" i="40" s="1" a="1"/>
  <c r="AQ225" i="40" s="1"/>
  <c r="AA198" i="40"/>
  <c r="AA225" i="40" s="1" a="1"/>
  <c r="AA225" i="40" s="1"/>
  <c r="H179" i="40"/>
  <c r="H206" i="40" s="1" a="1"/>
  <c r="H206" i="40" s="1"/>
  <c r="AG183" i="40"/>
  <c r="AG210" i="40" s="1" a="1"/>
  <c r="AG210" i="40" s="1"/>
  <c r="AX191" i="40"/>
  <c r="AX218" i="40" s="1" a="1"/>
  <c r="AX218" i="40" s="1"/>
  <c r="AM178" i="40"/>
  <c r="AM205" i="40" s="1" a="1"/>
  <c r="AM205" i="40" s="1"/>
  <c r="Y184" i="40"/>
  <c r="Y211" i="40" s="1" a="1"/>
  <c r="Y211" i="40" s="1"/>
  <c r="AY194" i="40"/>
  <c r="AY221" i="40" s="1" a="1"/>
  <c r="AY221" i="40" s="1"/>
  <c r="AZ197" i="40"/>
  <c r="AZ224" i="40" s="1" a="1"/>
  <c r="AZ224" i="40" s="1"/>
  <c r="K183" i="40"/>
  <c r="K210" i="40" s="1" a="1"/>
  <c r="K210" i="40" s="1"/>
  <c r="I198" i="40"/>
  <c r="I225" i="40" s="1" a="1"/>
  <c r="I225" i="40" s="1"/>
  <c r="AS198" i="40"/>
  <c r="AS225" i="40" s="1" a="1"/>
  <c r="AS225" i="40" s="1"/>
  <c r="AH198" i="40"/>
  <c r="AH225" i="40" s="1" a="1"/>
  <c r="AH225" i="40" s="1"/>
  <c r="AF198" i="40"/>
  <c r="AF225" i="40" s="1" a="1"/>
  <c r="AF225" i="40" s="1"/>
  <c r="AC179" i="40"/>
  <c r="AC206" i="40" s="1" a="1"/>
  <c r="AC206" i="40" s="1"/>
  <c r="Z186" i="40"/>
  <c r="Z213" i="40" s="1" a="1"/>
  <c r="Z213" i="40" s="1"/>
  <c r="AB192" i="40"/>
  <c r="AB219" i="40" s="1" a="1"/>
  <c r="AB219" i="40" s="1"/>
  <c r="L181" i="40"/>
  <c r="L208" i="40" s="1" a="1"/>
  <c r="L208" i="40" s="1"/>
  <c r="AS184" i="40"/>
  <c r="AS211" i="40" s="1" a="1"/>
  <c r="AS211" i="40" s="1"/>
  <c r="AY195" i="40"/>
  <c r="AY222" i="40" s="1" a="1"/>
  <c r="AY222" i="40" s="1"/>
  <c r="AG190" i="40"/>
  <c r="AG217" i="40" s="1" a="1"/>
  <c r="AG217" i="40" s="1"/>
  <c r="AL191" i="40"/>
  <c r="AL218" i="40" s="1" a="1"/>
  <c r="AL218" i="40" s="1"/>
  <c r="AT191" i="40"/>
  <c r="AT218" i="40" s="1" a="1"/>
  <c r="AT218" i="40" s="1"/>
  <c r="AU198" i="40"/>
  <c r="AU225" i="40" s="1" a="1"/>
  <c r="AU225" i="40" s="1"/>
  <c r="M198" i="40"/>
  <c r="M225" i="40" s="1" a="1"/>
  <c r="M225" i="40" s="1"/>
  <c r="AG198" i="40"/>
  <c r="AG225" i="40" s="1" a="1"/>
  <c r="AG225" i="40" s="1"/>
  <c r="BA198" i="40"/>
  <c r="BA225" i="40" s="1" a="1"/>
  <c r="BA225" i="40" s="1"/>
  <c r="T180" i="40"/>
  <c r="T207" i="40" s="1" a="1"/>
  <c r="T207" i="40" s="1"/>
  <c r="AT186" i="40"/>
  <c r="AT213" i="40" s="1" a="1"/>
  <c r="AT213" i="40" s="1"/>
  <c r="AB193" i="40"/>
  <c r="AB220" i="40" s="1" a="1"/>
  <c r="AB220" i="40" s="1"/>
  <c r="AF181" i="40"/>
  <c r="AF208" i="40" s="1" a="1"/>
  <c r="AF208" i="40" s="1"/>
  <c r="AJ185" i="40"/>
  <c r="AJ212" i="40" s="1" a="1"/>
  <c r="AJ212" i="40" s="1"/>
  <c r="AC196" i="40"/>
  <c r="AC223" i="40" s="1" a="1"/>
  <c r="AC223" i="40" s="1"/>
  <c r="AF196" i="40"/>
  <c r="AF223" i="40" s="1" a="1"/>
  <c r="AF223" i="40" s="1"/>
  <c r="R192" i="40"/>
  <c r="R219" i="40" s="1" a="1"/>
  <c r="R219" i="40" s="1"/>
  <c r="AT192" i="40"/>
  <c r="AT219" i="40" s="1" a="1"/>
  <c r="AT219" i="40" s="1"/>
  <c r="S198" i="40"/>
  <c r="S225" i="40" s="1" a="1"/>
  <c r="S225" i="40" s="1"/>
  <c r="AP198" i="40"/>
  <c r="AP225" i="40" s="1" a="1"/>
  <c r="AP225" i="40" s="1"/>
  <c r="AI198" i="40"/>
  <c r="AI225" i="40" s="1" a="1"/>
  <c r="AI225" i="40" s="1"/>
  <c r="AN198" i="40"/>
  <c r="AN225" i="40" s="1" a="1"/>
  <c r="AN225" i="40" s="1"/>
  <c r="AR198" i="40"/>
  <c r="AR225" i="40" s="1" a="1"/>
  <c r="AR225" i="40" s="1"/>
  <c r="J181" i="40"/>
  <c r="J208" i="40" s="1" a="1"/>
  <c r="J208" i="40" s="1"/>
  <c r="Q187" i="40"/>
  <c r="Q214" i="40" s="1" a="1"/>
  <c r="Q214" i="40" s="1"/>
  <c r="AX193" i="40"/>
  <c r="AX220" i="40" s="1" a="1"/>
  <c r="AX220" i="40" s="1"/>
  <c r="AZ181" i="40"/>
  <c r="AZ208" i="40" s="1" a="1"/>
  <c r="AZ208" i="40" s="1"/>
  <c r="AA186" i="40"/>
  <c r="AA213" i="40" s="1" a="1"/>
  <c r="AA213" i="40" s="1"/>
  <c r="AY196" i="40"/>
  <c r="AY223" i="40" s="1" a="1"/>
  <c r="AY223" i="40" s="1"/>
  <c r="I197" i="40"/>
  <c r="I224" i="40" s="1" a="1"/>
  <c r="I224" i="40" s="1"/>
  <c r="AD178" i="40"/>
  <c r="AD205" i="40" s="1" a="1"/>
  <c r="AD205" i="40" s="1"/>
  <c r="AW186" i="40"/>
  <c r="AW213" i="40" s="1" a="1"/>
  <c r="AW213" i="40" s="1"/>
  <c r="BA196" i="40"/>
  <c r="BA223" i="40" s="1" a="1"/>
  <c r="BA223" i="40" s="1"/>
  <c r="AH195" i="40"/>
  <c r="AH222" i="40" s="1" a="1"/>
  <c r="AH222" i="40" s="1"/>
  <c r="AJ191" i="40"/>
  <c r="AJ218" i="40" s="1" a="1"/>
  <c r="AJ218" i="40" s="1"/>
  <c r="AA178" i="40"/>
  <c r="AA205" i="40" s="1" a="1"/>
  <c r="AA205" i="40" s="1"/>
  <c r="AN194" i="40"/>
  <c r="AN221" i="40" s="1" a="1"/>
  <c r="AN221" i="40" s="1"/>
  <c r="J188" i="40"/>
  <c r="J215" i="40" s="1" a="1"/>
  <c r="J215" i="40" s="1"/>
  <c r="AQ189" i="40"/>
  <c r="AQ216" i="40" s="1" a="1"/>
  <c r="AQ216" i="40" s="1"/>
  <c r="AK181" i="40"/>
  <c r="AK208" i="40" s="1" a="1"/>
  <c r="AK208" i="40" s="1"/>
  <c r="N194" i="40"/>
  <c r="N221" i="40" s="1" a="1"/>
  <c r="N221" i="40" s="1"/>
  <c r="P191" i="40"/>
  <c r="P218" i="40" s="1" a="1"/>
  <c r="P218" i="40" s="1"/>
  <c r="I178" i="40"/>
  <c r="I205" i="40" s="1" a="1"/>
  <c r="I205" i="40" s="1"/>
  <c r="AV186" i="40"/>
  <c r="AV213" i="40" s="1" a="1"/>
  <c r="AV213" i="40" s="1"/>
  <c r="BA190" i="40"/>
  <c r="BA217" i="40" s="1" a="1"/>
  <c r="BA217" i="40" s="1"/>
  <c r="AG197" i="40"/>
  <c r="AG224" i="40" s="1" a="1"/>
  <c r="AG224" i="40" s="1"/>
  <c r="AV182" i="40"/>
  <c r="AV209" i="40" s="1" a="1"/>
  <c r="AV209" i="40" s="1"/>
  <c r="AJ195" i="40"/>
  <c r="AJ222" i="40" s="1" a="1"/>
  <c r="AJ222" i="40" s="1"/>
  <c r="O184" i="40"/>
  <c r="O211" i="40" s="1" a="1"/>
  <c r="O211" i="40" s="1"/>
  <c r="AO179" i="40"/>
  <c r="AO206" i="40" s="1" a="1"/>
  <c r="AO206" i="40" s="1"/>
  <c r="S187" i="40"/>
  <c r="S214" i="40" s="1" a="1"/>
  <c r="S214" i="40" s="1"/>
  <c r="BA192" i="40"/>
  <c r="BA219" i="40" s="1" a="1"/>
  <c r="BA219" i="40" s="1"/>
  <c r="AU182" i="40"/>
  <c r="AU209" i="40" s="1" a="1"/>
  <c r="AU209" i="40" s="1"/>
  <c r="AZ186" i="40"/>
  <c r="AZ213" i="40" s="1" a="1"/>
  <c r="AZ213" i="40" s="1"/>
  <c r="K182" i="40"/>
  <c r="K209" i="40" s="1" a="1"/>
  <c r="K209" i="40" s="1"/>
  <c r="Z185" i="40"/>
  <c r="Z212" i="40" s="1" a="1"/>
  <c r="Z212" i="40" s="1"/>
  <c r="AP191" i="40"/>
  <c r="AP218" i="40" s="1" a="1"/>
  <c r="AP218" i="40" s="1"/>
  <c r="AZ196" i="40"/>
  <c r="AZ223" i="40" s="1" a="1"/>
  <c r="AZ223" i="40" s="1"/>
  <c r="AF193" i="40"/>
  <c r="AF220" i="40" s="1" a="1"/>
  <c r="AF220" i="40" s="1"/>
  <c r="R183" i="40"/>
  <c r="R210" i="40" s="1" a="1"/>
  <c r="R210" i="40" s="1"/>
  <c r="W187" i="40"/>
  <c r="W214" i="40" s="1" a="1"/>
  <c r="W214" i="40" s="1"/>
  <c r="N186" i="40"/>
  <c r="N213" i="40" s="1" a="1"/>
  <c r="N213" i="40" s="1"/>
  <c r="AV187" i="40"/>
  <c r="AV214" i="40" s="1" a="1"/>
  <c r="AV214" i="40" s="1"/>
  <c r="AS181" i="40"/>
  <c r="AS208" i="40" s="1" a="1"/>
  <c r="AS208" i="40" s="1"/>
  <c r="AD197" i="40"/>
  <c r="AD224" i="40" s="1" a="1"/>
  <c r="AD224" i="40" s="1"/>
  <c r="BA193" i="40"/>
  <c r="BA220" i="40" s="1" a="1"/>
  <c r="BA220" i="40" s="1"/>
  <c r="AL183" i="40"/>
  <c r="AL210" i="40" s="1" a="1"/>
  <c r="AL210" i="40" s="1"/>
  <c r="AQ187" i="40"/>
  <c r="AQ214" i="40" s="1" a="1"/>
  <c r="AQ214" i="40" s="1"/>
  <c r="I177" i="40"/>
  <c r="I204" i="40" s="1" a="1"/>
  <c r="I204" i="40" s="1"/>
  <c r="AX189" i="40"/>
  <c r="AX216" i="40" s="1" a="1"/>
  <c r="AX216" i="40" s="1"/>
  <c r="AN186" i="40"/>
  <c r="AN213" i="40" s="1" a="1"/>
  <c r="AN213" i="40" s="1"/>
  <c r="AF194" i="40"/>
  <c r="AF221" i="40" s="1" a="1"/>
  <c r="AF221" i="40" s="1"/>
  <c r="L186" i="40"/>
  <c r="L213" i="40" s="1" a="1"/>
  <c r="L213" i="40" s="1"/>
  <c r="R179" i="40"/>
  <c r="R206" i="40" s="1" a="1"/>
  <c r="R206" i="40" s="1"/>
  <c r="N180" i="40"/>
  <c r="N207" i="40" s="1" a="1"/>
  <c r="N207" i="40" s="1"/>
  <c r="BA195" i="40"/>
  <c r="BA222" i="40" s="1" a="1"/>
  <c r="BA222" i="40" s="1"/>
  <c r="AF186" i="40"/>
  <c r="AF213" i="40" s="1" a="1"/>
  <c r="AF213" i="40" s="1"/>
  <c r="AM190" i="40"/>
  <c r="AM217" i="40" s="1" a="1"/>
  <c r="AM217" i="40" s="1"/>
  <c r="AH180" i="40"/>
  <c r="AH207" i="40" s="1" a="1"/>
  <c r="AH207" i="40" s="1"/>
  <c r="P192" i="40"/>
  <c r="P219" i="40" s="1" a="1"/>
  <c r="P219" i="40" s="1"/>
  <c r="J187" i="40"/>
  <c r="J214" i="40" s="1" a="1"/>
  <c r="J214" i="40" s="1"/>
  <c r="J198" i="40"/>
  <c r="J225" i="40" s="1" a="1"/>
  <c r="J225" i="40" s="1"/>
  <c r="AD198" i="40"/>
  <c r="AD225" i="40" s="1" a="1"/>
  <c r="AD225" i="40" s="1"/>
  <c r="Y198" i="40"/>
  <c r="Y225" i="40" s="1" a="1"/>
  <c r="Y225" i="40" s="1"/>
  <c r="AZ198" i="40"/>
  <c r="AZ225" i="40" s="1" a="1"/>
  <c r="AZ225" i="40" s="1"/>
  <c r="BA183" i="40"/>
  <c r="AB196" i="40"/>
  <c r="H188" i="40"/>
  <c r="AM187" i="40"/>
  <c r="N190" i="40"/>
  <c r="D189" i="40"/>
  <c r="AL192" i="40"/>
  <c r="AL219" i="40" s="1" a="1"/>
  <c r="AL219" i="40" s="1"/>
  <c r="N189" i="40"/>
  <c r="N216" i="40" s="1" a="1"/>
  <c r="N216" i="40" s="1"/>
  <c r="AR184" i="40"/>
  <c r="AR211" i="40" s="1" a="1"/>
  <c r="AR211" i="40" s="1"/>
  <c r="AX196" i="40"/>
  <c r="AX223" i="40" s="1" a="1"/>
  <c r="AX223" i="40" s="1"/>
  <c r="AW188" i="40"/>
  <c r="AW215" i="40" s="1" a="1"/>
  <c r="AW215" i="40" s="1"/>
  <c r="AD188" i="40"/>
  <c r="AD215" i="40" s="1" a="1"/>
  <c r="AD215" i="40" s="1"/>
  <c r="I192" i="40"/>
  <c r="I219" i="40" s="1" a="1"/>
  <c r="I219" i="40" s="1"/>
  <c r="M186" i="40"/>
  <c r="AL195" i="40"/>
  <c r="AL222" i="40" s="1" a="1"/>
  <c r="AL222" i="40" s="1"/>
  <c r="Y190" i="40"/>
  <c r="Y217" i="40" s="1" a="1"/>
  <c r="Y217" i="40" s="1"/>
  <c r="T198" i="40"/>
  <c r="T225" i="40" s="1" a="1"/>
  <c r="T225" i="40" s="1"/>
  <c r="AM198" i="40"/>
  <c r="AM225" i="40" s="1" a="1"/>
  <c r="AM225" i="40" s="1"/>
  <c r="O198" i="40"/>
  <c r="O225" i="40" s="1" a="1"/>
  <c r="O225" i="40" s="1"/>
  <c r="R198" i="40"/>
  <c r="R225" i="40" s="1" a="1"/>
  <c r="R225" i="40" s="1"/>
  <c r="O185" i="40"/>
  <c r="O212" i="40" s="1" a="1"/>
  <c r="O212" i="40" s="1"/>
  <c r="AX197" i="40"/>
  <c r="AX224" i="40" s="1" a="1"/>
  <c r="AX224" i="40" s="1"/>
  <c r="T189" i="40"/>
  <c r="T216" i="40" s="1" a="1"/>
  <c r="T216" i="40" s="1"/>
  <c r="AX188" i="40"/>
  <c r="AG192" i="40"/>
  <c r="AG219" i="40" s="1" a="1"/>
  <c r="AG219" i="40" s="1"/>
  <c r="AG186" i="40"/>
  <c r="AG213" i="40" s="1" a="1"/>
  <c r="AG213" i="40" s="1"/>
  <c r="AB178" i="40"/>
  <c r="AB205" i="40" s="1" a="1"/>
  <c r="AB205" i="40" s="1"/>
  <c r="AR191" i="40"/>
  <c r="AR218" i="40" s="1" a="1"/>
  <c r="AR218" i="40" s="1"/>
  <c r="AI185" i="40"/>
  <c r="AI212" i="40" s="1" a="1"/>
  <c r="AI212" i="40" s="1"/>
  <c r="V177" i="40"/>
  <c r="V204" i="40" s="1" a="1"/>
  <c r="V204" i="40" s="1"/>
  <c r="AY191" i="40"/>
  <c r="AY218" i="40" s="1" a="1"/>
  <c r="AY218" i="40" s="1"/>
  <c r="AD195" i="40"/>
  <c r="AD222" i="40" s="1" a="1"/>
  <c r="AD222" i="40" s="1"/>
  <c r="I193" i="40"/>
  <c r="I220" i="40" s="1" a="1"/>
  <c r="I220" i="40" s="1"/>
  <c r="X187" i="40"/>
  <c r="X214" i="40" s="1" a="1"/>
  <c r="X214" i="40" s="1"/>
  <c r="BA182" i="40"/>
  <c r="BA209" i="40" s="1" a="1"/>
  <c r="BA209" i="40" s="1"/>
  <c r="V192" i="40"/>
  <c r="V219" i="40" s="1" a="1"/>
  <c r="V219" i="40" s="1"/>
  <c r="AC198" i="40"/>
  <c r="AC225" i="40" s="1" a="1"/>
  <c r="AC225" i="40" s="1"/>
  <c r="AV198" i="40"/>
  <c r="AV225" i="40" s="1" a="1"/>
  <c r="AV225" i="40" s="1"/>
  <c r="X198" i="40"/>
  <c r="X225" i="40" s="1" a="1"/>
  <c r="X225" i="40" s="1"/>
  <c r="AJ198" i="40"/>
  <c r="AJ225" i="40" s="1" a="1"/>
  <c r="AJ225" i="40" s="1"/>
  <c r="E186" i="40"/>
  <c r="E213" i="40" s="1" a="1"/>
  <c r="E213" i="40" s="1"/>
  <c r="C186" i="40"/>
  <c r="C213" i="40" s="1" a="1"/>
  <c r="C213" i="40" s="1"/>
  <c r="AC193" i="40"/>
  <c r="AZ195" i="40"/>
  <c r="AG195" i="40"/>
  <c r="AR187" i="40"/>
  <c r="AR183" i="40"/>
  <c r="AR210" i="40" s="1" a="1"/>
  <c r="AR210" i="40" s="1"/>
  <c r="AH178" i="40"/>
  <c r="AH205" i="40" s="1" a="1"/>
  <c r="AH205" i="40" s="1"/>
  <c r="N252" i="40" a="1"/>
  <c r="N252" i="40" s="1"/>
  <c r="AC251" i="40" a="1"/>
  <c r="AC251" i="40" s="1"/>
  <c r="AT248" i="40" a="1"/>
  <c r="AT248" i="40" s="1"/>
  <c r="AY251" i="40" a="1"/>
  <c r="AY251" i="40" s="1"/>
  <c r="AY252" i="40" a="1"/>
  <c r="AY252" i="40" s="1"/>
  <c r="Q252" i="40" a="1"/>
  <c r="Q252" i="40" s="1"/>
  <c r="AB248" i="40" a="1"/>
  <c r="AB248" i="40" s="1"/>
  <c r="AQ231" i="40" a="1"/>
  <c r="AQ231" i="40" s="1"/>
  <c r="AB252" i="40" a="1"/>
  <c r="AB252" i="40" s="1"/>
  <c r="AT247" i="40" a="1"/>
  <c r="AT247" i="40" s="1"/>
  <c r="AP236" i="40" a="1"/>
  <c r="AP236" i="40" s="1"/>
  <c r="AX248" i="40" a="1"/>
  <c r="AX248" i="40" s="1"/>
  <c r="AW252" i="40" a="1"/>
  <c r="AW252" i="40" s="1"/>
  <c r="Z252" i="40" a="1"/>
  <c r="Z252" i="40" s="1"/>
  <c r="AB249" i="40" a="1"/>
  <c r="AB249" i="40" s="1"/>
  <c r="R241" i="40" a="1"/>
  <c r="R241" i="40" s="1"/>
  <c r="AU245" i="40" a="1"/>
  <c r="AU245" i="40" s="1"/>
  <c r="X177" i="40"/>
  <c r="X204" i="40" s="1" a="1"/>
  <c r="X204" i="40" s="1"/>
  <c r="AF197" i="40"/>
  <c r="AF224" i="40" s="1" a="1"/>
  <c r="AF224" i="40" s="1"/>
  <c r="AW184" i="40"/>
  <c r="AW211" i="40" s="1" a="1"/>
  <c r="AW211" i="40" s="1"/>
  <c r="AS189" i="40"/>
  <c r="AS216" i="40" s="1" a="1"/>
  <c r="AS216" i="40" s="1"/>
  <c r="AH186" i="40"/>
  <c r="AH213" i="40" s="1" a="1"/>
  <c r="AH213" i="40" s="1"/>
  <c r="S179" i="40"/>
  <c r="S206" i="40" s="1" a="1"/>
  <c r="S206" i="40" s="1"/>
  <c r="AZ180" i="40"/>
  <c r="AZ207" i="40" s="1" a="1"/>
  <c r="AZ207" i="40" s="1"/>
  <c r="P180" i="40"/>
  <c r="P207" i="40" s="1" a="1"/>
  <c r="P207" i="40" s="1"/>
  <c r="AL241" i="40" a="1"/>
  <c r="AL241" i="40" s="1"/>
  <c r="V180" i="40"/>
  <c r="V207" i="40" s="1" a="1"/>
  <c r="V207" i="40" s="1"/>
  <c r="AR177" i="40"/>
  <c r="AR204" i="40" s="1" a="1"/>
  <c r="AR204" i="40" s="1"/>
  <c r="BA197" i="40"/>
  <c r="BA224" i="40" s="1" a="1"/>
  <c r="BA224" i="40" s="1"/>
  <c r="T185" i="40"/>
  <c r="T212" i="40" s="1" a="1"/>
  <c r="T212" i="40" s="1"/>
  <c r="AI192" i="40"/>
  <c r="AI219" i="40" s="1" a="1"/>
  <c r="AI219" i="40" s="1"/>
  <c r="AS187" i="40"/>
  <c r="AS214" i="40" s="1" a="1"/>
  <c r="AS214" i="40" s="1"/>
  <c r="AM179" i="40"/>
  <c r="AM206" i="40" s="1" a="1"/>
  <c r="AM206" i="40" s="1"/>
  <c r="AO197" i="40"/>
  <c r="AO224" i="40" s="1" a="1"/>
  <c r="AO224" i="40" s="1"/>
  <c r="AA181" i="40"/>
  <c r="AA208" i="40" s="1" a="1"/>
  <c r="AA208" i="40" s="1"/>
  <c r="R232" i="40" a="1"/>
  <c r="R232" i="40" s="1"/>
  <c r="M181" i="40"/>
  <c r="M208" i="40" s="1" a="1"/>
  <c r="M208" i="40" s="1"/>
  <c r="K197" i="40"/>
  <c r="K224" i="40" s="1" a="1"/>
  <c r="K224" i="40" s="1"/>
  <c r="M179" i="40"/>
  <c r="M206" i="40" s="1" a="1"/>
  <c r="M206" i="40" s="1"/>
  <c r="AN185" i="40"/>
  <c r="AN212" i="40" s="1" a="1"/>
  <c r="AN212" i="40" s="1"/>
  <c r="AI195" i="40"/>
  <c r="AI222" i="40" s="1" a="1"/>
  <c r="AI222" i="40" s="1"/>
  <c r="P188" i="40"/>
  <c r="P215" i="40" s="1" a="1"/>
  <c r="P215" i="40" s="1"/>
  <c r="AX180" i="40"/>
  <c r="AX207" i="40" s="1" a="1"/>
  <c r="AX207" i="40" s="1"/>
  <c r="N177" i="40"/>
  <c r="N204" i="40" s="1" a="1"/>
  <c r="N204" i="40" s="1"/>
  <c r="AU181" i="40"/>
  <c r="AU208" i="40" s="1" a="1"/>
  <c r="AU208" i="40" s="1"/>
  <c r="BA181" i="40"/>
  <c r="BA208" i="40" s="1" a="1"/>
  <c r="BA208" i="40" s="1"/>
  <c r="U178" i="40"/>
  <c r="U205" i="40" s="1" a="1"/>
  <c r="U205" i="40" s="1"/>
  <c r="AB184" i="40"/>
  <c r="AB211" i="40" s="1" a="1"/>
  <c r="AB211" i="40" s="1"/>
  <c r="J186" i="40"/>
  <c r="J213" i="40" s="1" a="1"/>
  <c r="J213" i="40" s="1"/>
  <c r="M196" i="40"/>
  <c r="M223" i="40" s="1" a="1"/>
  <c r="M223" i="40" s="1"/>
  <c r="AJ188" i="40"/>
  <c r="AJ215" i="40" s="1" a="1"/>
  <c r="AJ215" i="40" s="1"/>
  <c r="AO181" i="40"/>
  <c r="AO208" i="40" s="1" a="1"/>
  <c r="AO208" i="40" s="1"/>
  <c r="V179" i="40"/>
  <c r="V206" i="40" s="1" a="1"/>
  <c r="V206" i="40" s="1"/>
  <c r="Z190" i="40"/>
  <c r="Z217" i="40" s="1" a="1"/>
  <c r="Z217" i="40" s="1"/>
  <c r="X182" i="40"/>
  <c r="X209" i="40" s="1" a="1"/>
  <c r="X209" i="40" s="1"/>
  <c r="L179" i="40"/>
  <c r="L206" i="40" s="1" a="1"/>
  <c r="L206" i="40" s="1"/>
  <c r="AD186" i="40"/>
  <c r="AD213" i="40" s="1" a="1"/>
  <c r="AD213" i="40" s="1"/>
  <c r="AE186" i="40"/>
  <c r="AE213" i="40" s="1" a="1"/>
  <c r="AE213" i="40" s="1"/>
  <c r="AI197" i="40"/>
  <c r="AI224" i="40" s="1" a="1"/>
  <c r="AI224" i="40" s="1"/>
  <c r="F189" i="40"/>
  <c r="F216" i="40" s="1" a="1"/>
  <c r="F216" i="40" s="1"/>
  <c r="W183" i="40"/>
  <c r="W210" i="40" s="1" a="1"/>
  <c r="W210" i="40" s="1"/>
  <c r="O182" i="40"/>
  <c r="O209" i="40" s="1" a="1"/>
  <c r="O209" i="40" s="1"/>
  <c r="AS196" i="40"/>
  <c r="AS223" i="40" s="1" a="1"/>
  <c r="AS223" i="40" s="1"/>
  <c r="AT249" i="40" a="1"/>
  <c r="AT249" i="40" s="1"/>
  <c r="S178" i="40"/>
  <c r="S205" i="40" s="1" a="1"/>
  <c r="S205" i="40" s="1"/>
  <c r="AY190" i="40"/>
  <c r="AY217" i="40" s="1" a="1"/>
  <c r="AY217" i="40" s="1"/>
  <c r="AR182" i="40"/>
  <c r="AR209" i="40" s="1" a="1"/>
  <c r="AR209" i="40" s="1"/>
  <c r="AF179" i="40"/>
  <c r="AF206" i="40" s="1" a="1"/>
  <c r="AF206" i="40" s="1"/>
  <c r="AX186" i="40"/>
  <c r="AX213" i="40" s="1" a="1"/>
  <c r="AX213" i="40" s="1"/>
  <c r="AP187" i="40"/>
  <c r="AP214" i="40" s="1" a="1"/>
  <c r="AP214" i="40" s="1"/>
  <c r="T183" i="40"/>
  <c r="T210" i="40" s="1" a="1"/>
  <c r="T210" i="40" s="1"/>
  <c r="AA189" i="40"/>
  <c r="AA216" i="40" s="1" a="1"/>
  <c r="AA216" i="40" s="1"/>
  <c r="AQ183" i="40"/>
  <c r="AQ210" i="40" s="1" a="1"/>
  <c r="AQ210" i="40" s="1"/>
  <c r="AI182" i="40"/>
  <c r="AI209" i="40" s="1" a="1"/>
  <c r="AI209" i="40" s="1"/>
  <c r="R177" i="40"/>
  <c r="R204" i="40" s="1" a="1"/>
  <c r="R204" i="40" s="1"/>
  <c r="O183" i="40"/>
  <c r="O210" i="40" s="1" a="1"/>
  <c r="O210" i="40" s="1"/>
  <c r="W180" i="40"/>
  <c r="W207" i="40" s="1" a="1"/>
  <c r="W207" i="40" s="1"/>
  <c r="U187" i="40"/>
  <c r="U214" i="40" s="1" a="1"/>
  <c r="U214" i="40" s="1"/>
  <c r="O190" i="40"/>
  <c r="O217" i="40" s="1" a="1"/>
  <c r="O217" i="40" s="1"/>
  <c r="J184" i="40"/>
  <c r="J211" i="40" s="1" a="1"/>
  <c r="J211" i="40" s="1"/>
  <c r="O192" i="40"/>
  <c r="O219" i="40" s="1" a="1"/>
  <c r="O219" i="40" s="1"/>
  <c r="AA187" i="40"/>
  <c r="AA214" i="40" s="1" a="1"/>
  <c r="AA214" i="40" s="1"/>
  <c r="AX187" i="40"/>
  <c r="AX214" i="40" s="1" a="1"/>
  <c r="AX214" i="40" s="1"/>
  <c r="AL177" i="40"/>
  <c r="AL204" i="40" s="1" a="1"/>
  <c r="AL204" i="40" s="1"/>
  <c r="I179" i="40"/>
  <c r="I206" i="40" s="1" a="1"/>
  <c r="I206" i="40" s="1"/>
  <c r="AC192" i="40"/>
  <c r="AC219" i="40" s="1" a="1"/>
  <c r="AC219" i="40" s="1"/>
  <c r="AI183" i="40"/>
  <c r="AI210" i="40" s="1" a="1"/>
  <c r="AI210" i="40" s="1"/>
  <c r="AS182" i="40"/>
  <c r="AS209" i="40" s="1" a="1"/>
  <c r="AS209" i="40" s="1"/>
  <c r="AO187" i="40"/>
  <c r="AO214" i="40" s="1" a="1"/>
  <c r="AO214" i="40" s="1"/>
  <c r="AH192" i="40"/>
  <c r="AH219" i="40" s="1" a="1"/>
  <c r="AH219" i="40" s="1"/>
  <c r="AE184" i="40"/>
  <c r="AE211" i="40" s="1" a="1"/>
  <c r="AE211" i="40" s="1"/>
  <c r="AK196" i="40"/>
  <c r="AK223" i="40" s="1" a="1"/>
  <c r="AK223" i="40" s="1"/>
  <c r="AM197" i="40"/>
  <c r="AM224" i="40" s="1" a="1"/>
  <c r="AM224" i="40" s="1"/>
  <c r="L189" i="40"/>
  <c r="L216" i="40" s="1" a="1"/>
  <c r="L216" i="40" s="1"/>
  <c r="AO184" i="40"/>
  <c r="AO211" i="40" s="1" a="1"/>
  <c r="AO211" i="40" s="1"/>
  <c r="K248" i="40" a="1"/>
  <c r="K248" i="40" s="1"/>
  <c r="AK241" i="40" a="1"/>
  <c r="AK241" i="40" s="1"/>
  <c r="Z184" i="40"/>
  <c r="Z211" i="40" s="1" a="1"/>
  <c r="Z211" i="40" s="1"/>
  <c r="P183" i="40"/>
  <c r="P210" i="40" s="1" a="1"/>
  <c r="P210" i="40" s="1"/>
  <c r="AZ188" i="40"/>
  <c r="AZ215" i="40" s="1" a="1"/>
  <c r="AZ215" i="40" s="1"/>
  <c r="AH193" i="40"/>
  <c r="AH220" i="40" s="1" a="1"/>
  <c r="AH220" i="40" s="1"/>
  <c r="AP185" i="40"/>
  <c r="AP212" i="40" s="1" a="1"/>
  <c r="AP212" i="40" s="1"/>
  <c r="AK197" i="40"/>
  <c r="AK224" i="40" s="1" a="1"/>
  <c r="AK224" i="40" s="1"/>
  <c r="T179" i="40"/>
  <c r="T206" i="40" s="1" a="1"/>
  <c r="T206" i="40" s="1"/>
  <c r="AF189" i="40"/>
  <c r="AF216" i="40" s="1" a="1"/>
  <c r="AF216" i="40" s="1"/>
  <c r="AA190" i="40"/>
  <c r="AA217" i="40" s="1" a="1"/>
  <c r="AA217" i="40" s="1"/>
  <c r="BB95" i="40"/>
  <c r="AO189" i="40"/>
  <c r="AO216" i="40" s="1" a="1"/>
  <c r="AO216" i="40" s="1"/>
  <c r="AJ183" i="40"/>
  <c r="AJ210" i="40" s="1" a="1"/>
  <c r="AJ210" i="40" s="1"/>
  <c r="BA179" i="40"/>
  <c r="BA206" i="40" s="1" a="1"/>
  <c r="BA206" i="40" s="1"/>
  <c r="E177" i="40"/>
  <c r="E204" i="40" s="1" a="1"/>
  <c r="E204" i="40" s="1"/>
  <c r="J196" i="40"/>
  <c r="J223" i="40" s="1" a="1"/>
  <c r="J223" i="40" s="1"/>
  <c r="G177" i="40"/>
  <c r="G204" i="40" s="1" a="1"/>
  <c r="G204" i="40" s="1"/>
  <c r="E178" i="40"/>
  <c r="E205" i="40" s="1" a="1"/>
  <c r="E205" i="40" s="1"/>
  <c r="AL179" i="40"/>
  <c r="AL206" i="40" s="1" a="1"/>
  <c r="AL206" i="40" s="1"/>
  <c r="AC189" i="40"/>
  <c r="AC216" i="40" s="1" a="1"/>
  <c r="AC216" i="40" s="1"/>
  <c r="W181" i="40"/>
  <c r="W208" i="40" s="1" a="1"/>
  <c r="W208" i="40" s="1"/>
  <c r="AQ196" i="40"/>
  <c r="AQ223" i="40" s="1" a="1"/>
  <c r="AQ223" i="40" s="1"/>
  <c r="AW194" i="40"/>
  <c r="AW221" i="40" s="1" a="1"/>
  <c r="AW221" i="40" s="1"/>
  <c r="P187" i="40"/>
  <c r="P214" i="40" s="1" a="1"/>
  <c r="P214" i="40" s="1"/>
  <c r="AV194" i="40"/>
  <c r="AV221" i="40" s="1" a="1"/>
  <c r="AV221" i="40" s="1"/>
  <c r="AJ178" i="40"/>
  <c r="AJ205" i="40" s="1" a="1"/>
  <c r="AJ205" i="40" s="1"/>
  <c r="AX183" i="40"/>
  <c r="AX210" i="40" s="1" a="1"/>
  <c r="AX210" i="40" s="1"/>
  <c r="AI189" i="40"/>
  <c r="AI216" i="40" s="1" a="1"/>
  <c r="AI216" i="40" s="1"/>
  <c r="AA188" i="40"/>
  <c r="AA215" i="40" s="1" a="1"/>
  <c r="AA215" i="40" s="1"/>
  <c r="AZ187" i="40"/>
  <c r="AZ214" i="40" s="1" a="1"/>
  <c r="AZ214" i="40" s="1"/>
  <c r="AQ195" i="40"/>
  <c r="AQ222" i="40" s="1" a="1"/>
  <c r="AQ222" i="40" s="1"/>
  <c r="W179" i="40"/>
  <c r="W206" i="40" s="1" a="1"/>
  <c r="W206" i="40" s="1"/>
  <c r="X181" i="40"/>
  <c r="X208" i="40" s="1" a="1"/>
  <c r="X208" i="40" s="1"/>
  <c r="AS186" i="40"/>
  <c r="AS213" i="40" s="1" a="1"/>
  <c r="AS213" i="40" s="1"/>
  <c r="Z194" i="40"/>
  <c r="Z221" i="40" s="1" a="1"/>
  <c r="Z221" i="40" s="1"/>
  <c r="P178" i="40"/>
  <c r="P205" i="40" s="1" a="1"/>
  <c r="P205" i="40" s="1"/>
  <c r="AD183" i="40"/>
  <c r="AD210" i="40" s="1" a="1"/>
  <c r="AD210" i="40" s="1"/>
  <c r="O189" i="40"/>
  <c r="O216" i="40" s="1" a="1"/>
  <c r="O216" i="40" s="1"/>
  <c r="AJ187" i="40"/>
  <c r="AJ214" i="40" s="1" a="1"/>
  <c r="AJ214" i="40" s="1"/>
  <c r="AV183" i="40"/>
  <c r="AV210" i="40" s="1" a="1"/>
  <c r="AV210" i="40" s="1"/>
  <c r="U195" i="40"/>
  <c r="U222" i="40" s="1" a="1"/>
  <c r="U222" i="40" s="1"/>
  <c r="AZ178" i="40"/>
  <c r="AZ205" i="40" s="1" a="1"/>
  <c r="AZ205" i="40" s="1"/>
  <c r="BA180" i="40"/>
  <c r="BA207" i="40" s="1" a="1"/>
  <c r="BA207" i="40" s="1"/>
  <c r="AN188" i="40"/>
  <c r="AN215" i="40" s="1" a="1"/>
  <c r="AN215" i="40" s="1"/>
  <c r="R194" i="40"/>
  <c r="R221" i="40" s="1" a="1"/>
  <c r="R221" i="40" s="1"/>
  <c r="AG182" i="40"/>
  <c r="AG209" i="40" s="1" a="1"/>
  <c r="AG209" i="40" s="1"/>
  <c r="H189" i="40"/>
  <c r="H216" i="40" s="1" a="1"/>
  <c r="H216" i="40" s="1"/>
  <c r="G178" i="40"/>
  <c r="G205" i="40" s="1" a="1"/>
  <c r="G205" i="40" s="1"/>
  <c r="X185" i="40"/>
  <c r="X212" i="40" s="1" a="1"/>
  <c r="X212" i="40" s="1"/>
  <c r="O196" i="40"/>
  <c r="O223" i="40" s="1" a="1"/>
  <c r="O223" i="40" s="1"/>
  <c r="U183" i="40"/>
  <c r="U210" i="40" s="1" a="1"/>
  <c r="U210" i="40" s="1"/>
  <c r="AJ193" i="40"/>
  <c r="AJ220" i="40" s="1" a="1"/>
  <c r="AJ220" i="40" s="1"/>
  <c r="AW182" i="40"/>
  <c r="AW209" i="40" s="1" a="1"/>
  <c r="AW209" i="40" s="1"/>
  <c r="M192" i="40"/>
  <c r="M219" i="40" s="1" a="1"/>
  <c r="M219" i="40" s="1"/>
  <c r="Q181" i="40"/>
  <c r="Q208" i="40" s="1" a="1"/>
  <c r="Q208" i="40" s="1"/>
  <c r="J192" i="40"/>
  <c r="J219" i="40" s="1" a="1"/>
  <c r="J219" i="40" s="1"/>
  <c r="F182" i="40"/>
  <c r="F209" i="40" s="1" a="1"/>
  <c r="F209" i="40" s="1"/>
  <c r="AG191" i="40"/>
  <c r="AG218" i="40" s="1" a="1"/>
  <c r="AG218" i="40" s="1"/>
  <c r="AI181" i="40"/>
  <c r="AI208" i="40" s="1" a="1"/>
  <c r="AI208" i="40" s="1"/>
  <c r="AF192" i="40"/>
  <c r="AF219" i="40" s="1" a="1"/>
  <c r="AF219" i="40" s="1"/>
  <c r="Y182" i="40"/>
  <c r="Y209" i="40" s="1" a="1"/>
  <c r="Y209" i="40" s="1"/>
  <c r="AD191" i="40"/>
  <c r="AD218" i="40" s="1" a="1"/>
  <c r="AD218" i="40" s="1"/>
  <c r="AG181" i="40"/>
  <c r="AG208" i="40" s="1" a="1"/>
  <c r="AG208" i="40" s="1"/>
  <c r="AC195" i="40"/>
  <c r="AC222" i="40" s="1" a="1"/>
  <c r="AC222" i="40" s="1"/>
  <c r="F186" i="40"/>
  <c r="F213" i="40" s="1" a="1"/>
  <c r="F213" i="40" s="1"/>
  <c r="K195" i="40"/>
  <c r="K222" i="40" s="1" a="1"/>
  <c r="K222" i="40" s="1"/>
  <c r="I190" i="40"/>
  <c r="I217" i="40" s="1" a="1"/>
  <c r="I217" i="40" s="1"/>
  <c r="AY181" i="40"/>
  <c r="AY208" i="40" s="1" a="1"/>
  <c r="AY208" i="40" s="1"/>
  <c r="D186" i="40"/>
  <c r="D213" i="40" s="1" a="1"/>
  <c r="D213" i="40" s="1"/>
  <c r="AK189" i="40"/>
  <c r="AK216" i="40" s="1" a="1"/>
  <c r="AK216" i="40" s="1"/>
  <c r="K192" i="40"/>
  <c r="K219" i="40" s="1" a="1"/>
  <c r="K219" i="40" s="1"/>
  <c r="I183" i="40"/>
  <c r="I210" i="40" s="1" a="1"/>
  <c r="I210" i="40" s="1"/>
  <c r="AR188" i="40"/>
  <c r="AR215" i="40" s="1" a="1"/>
  <c r="AR215" i="40" s="1"/>
  <c r="Y186" i="40"/>
  <c r="Y213" i="40" s="1" a="1"/>
  <c r="Y213" i="40" s="1"/>
  <c r="AB183" i="40"/>
  <c r="AB210" i="40" s="1" a="1"/>
  <c r="AB210" i="40" s="1"/>
  <c r="AQ194" i="40"/>
  <c r="AQ221" i="40" s="1" a="1"/>
  <c r="AQ221" i="40" s="1"/>
  <c r="AF178" i="40"/>
  <c r="AF205" i="40" s="1" a="1"/>
  <c r="AF205" i="40" s="1"/>
  <c r="AG180" i="40"/>
  <c r="AG207" i="40" s="1" a="1"/>
  <c r="AG207" i="40" s="1"/>
  <c r="T188" i="40"/>
  <c r="T215" i="40" s="1" a="1"/>
  <c r="T215" i="40" s="1"/>
  <c r="AN193" i="40"/>
  <c r="AN220" i="40" s="1" a="1"/>
  <c r="AN220" i="40" s="1"/>
  <c r="M182" i="40"/>
  <c r="M209" i="40" s="1" a="1"/>
  <c r="M209" i="40" s="1"/>
  <c r="AL188" i="40"/>
  <c r="AL215" i="40" s="1" a="1"/>
  <c r="AL215" i="40" s="1"/>
  <c r="K184" i="40"/>
  <c r="K211" i="40" s="1" a="1"/>
  <c r="K211" i="40" s="1"/>
  <c r="BA184" i="40"/>
  <c r="BA211" i="40" s="1" a="1"/>
  <c r="BA211" i="40" s="1"/>
  <c r="AK195" i="40"/>
  <c r="AK222" i="40" s="1" a="1"/>
  <c r="AK222" i="40" s="1"/>
  <c r="AD182" i="40"/>
  <c r="AD209" i="40" s="1" a="1"/>
  <c r="AD209" i="40" s="1"/>
  <c r="N193" i="40"/>
  <c r="N220" i="40" s="1" a="1"/>
  <c r="N220" i="40" s="1"/>
  <c r="AC182" i="40"/>
  <c r="AC209" i="40" s="1" a="1"/>
  <c r="AC209" i="40" s="1"/>
  <c r="M191" i="40"/>
  <c r="M218" i="40" s="1" a="1"/>
  <c r="M218" i="40" s="1"/>
  <c r="AT180" i="40"/>
  <c r="AT207" i="40" s="1" a="1"/>
  <c r="AT207" i="40" s="1"/>
  <c r="AH191" i="40"/>
  <c r="AH218" i="40" s="1" a="1"/>
  <c r="AH218" i="40" s="1"/>
  <c r="D180" i="40"/>
  <c r="D207" i="40" s="1" a="1"/>
  <c r="D207" i="40" s="1"/>
  <c r="I191" i="40"/>
  <c r="I218" i="40" s="1" a="1"/>
  <c r="I218" i="40" s="1"/>
  <c r="O181" i="40"/>
  <c r="O208" i="40" s="1" a="1"/>
  <c r="O208" i="40" s="1"/>
  <c r="BA191" i="40"/>
  <c r="BA218" i="40" s="1" a="1"/>
  <c r="BA218" i="40" s="1"/>
  <c r="AH185" i="40"/>
  <c r="AH212" i="40" s="1" a="1"/>
  <c r="AH212" i="40" s="1"/>
  <c r="Q189" i="40"/>
  <c r="Q216" i="40" s="1" a="1"/>
  <c r="Q216" i="40" s="1"/>
  <c r="AA193" i="40"/>
  <c r="AA220" i="40" s="1" a="1"/>
  <c r="AA220" i="40" s="1"/>
  <c r="AM182" i="40"/>
  <c r="AM209" i="40" s="1" a="1"/>
  <c r="AM209" i="40" s="1"/>
  <c r="X188" i="40"/>
  <c r="X215" i="40" s="1" a="1"/>
  <c r="X215" i="40" s="1"/>
  <c r="AQ184" i="40"/>
  <c r="AQ211" i="40" s="1" a="1"/>
  <c r="AQ211" i="40" s="1"/>
  <c r="G183" i="40"/>
  <c r="G210" i="40" s="1" a="1"/>
  <c r="G210" i="40" s="1"/>
  <c r="BA189" i="40"/>
  <c r="BA216" i="40" s="1" a="1"/>
  <c r="BA216" i="40" s="1"/>
  <c r="L178" i="40"/>
  <c r="L205" i="40" s="1" a="1"/>
  <c r="L205" i="40" s="1"/>
  <c r="M180" i="40"/>
  <c r="M207" i="40" s="1" a="1"/>
  <c r="M207" i="40" s="1"/>
  <c r="AW187" i="40"/>
  <c r="AW214" i="40" s="1" a="1"/>
  <c r="AW214" i="40" s="1"/>
  <c r="R193" i="40"/>
  <c r="R220" i="40" s="1" a="1"/>
  <c r="R220" i="40" s="1"/>
  <c r="AP181" i="40"/>
  <c r="AP208" i="40" s="1" a="1"/>
  <c r="AP208" i="40" s="1"/>
  <c r="R188" i="40"/>
  <c r="R215" i="40" s="1" a="1"/>
  <c r="R215" i="40" s="1"/>
  <c r="P197" i="40"/>
  <c r="P224" i="40" s="1" a="1"/>
  <c r="P224" i="40" s="1"/>
  <c r="AG184" i="40"/>
  <c r="AG211" i="40" s="1" a="1"/>
  <c r="AG211" i="40" s="1"/>
  <c r="O195" i="40"/>
  <c r="O222" i="40" s="1" a="1"/>
  <c r="O222" i="40" s="1"/>
  <c r="I182" i="40"/>
  <c r="I209" i="40" s="1" a="1"/>
  <c r="I209" i="40" s="1"/>
  <c r="AJ192" i="40"/>
  <c r="AJ219" i="40" s="1" a="1"/>
  <c r="AJ219" i="40" s="1"/>
  <c r="H182" i="40"/>
  <c r="H209" i="40" s="1" a="1"/>
  <c r="H209" i="40" s="1"/>
  <c r="AJ190" i="40"/>
  <c r="AJ217" i="40" s="1" a="1"/>
  <c r="AJ217" i="40" s="1"/>
  <c r="Z180" i="40"/>
  <c r="Z207" i="40" s="1" a="1"/>
  <c r="Z207" i="40" s="1"/>
  <c r="J191" i="40"/>
  <c r="J218" i="40" s="1" a="1"/>
  <c r="J218" i="40" s="1"/>
  <c r="AH179" i="40"/>
  <c r="AH206" i="40" s="1" a="1"/>
  <c r="AH206" i="40" s="1"/>
  <c r="AH190" i="40"/>
  <c r="AH217" i="40" s="1" a="1"/>
  <c r="AH217" i="40" s="1"/>
  <c r="AR180" i="40"/>
  <c r="AR207" i="40" s="1" a="1"/>
  <c r="AR207" i="40" s="1"/>
  <c r="AF191" i="40"/>
  <c r="AF218" i="40" s="1" a="1"/>
  <c r="AF218" i="40" s="1"/>
  <c r="AZ179" i="40"/>
  <c r="AZ206" i="40" s="1" a="1"/>
  <c r="AZ206" i="40" s="1"/>
  <c r="AF190" i="40"/>
  <c r="AF217" i="40" s="1" a="1"/>
  <c r="AF217" i="40" s="1"/>
  <c r="AP180" i="40"/>
  <c r="AP207" i="40" s="1" a="1"/>
  <c r="AP207" i="40" s="1"/>
  <c r="AC194" i="40"/>
  <c r="AC221" i="40" s="1" a="1"/>
  <c r="AC221" i="40" s="1"/>
  <c r="P185" i="40"/>
  <c r="P212" i="40" s="1" a="1"/>
  <c r="P212" i="40" s="1"/>
  <c r="AP177" i="40"/>
  <c r="AP204" i="40" s="1" a="1"/>
  <c r="AP204" i="40" s="1"/>
  <c r="S189" i="40"/>
  <c r="S216" i="40" s="1" a="1"/>
  <c r="S216" i="40" s="1"/>
  <c r="N185" i="40"/>
  <c r="N212" i="40" s="1" a="1"/>
  <c r="N212" i="40" s="1"/>
  <c r="AT188" i="40"/>
  <c r="AT215" i="40" s="1" a="1"/>
  <c r="AT215" i="40" s="1"/>
  <c r="Y195" i="40"/>
  <c r="Y222" i="40" s="1" a="1"/>
  <c r="Y222" i="40" s="1"/>
  <c r="S182" i="40"/>
  <c r="S209" i="40" s="1" a="1"/>
  <c r="S209" i="40" s="1"/>
  <c r="BA187" i="40"/>
  <c r="BA214" i="40" s="1" a="1"/>
  <c r="BA214" i="40" s="1"/>
  <c r="AK178" i="40"/>
  <c r="AK205" i="40" s="1" a="1"/>
  <c r="AK205" i="40" s="1"/>
  <c r="AK182" i="40"/>
  <c r="AK209" i="40" s="1" a="1"/>
  <c r="AK209" i="40" s="1"/>
  <c r="AG189" i="40"/>
  <c r="AG216" i="40" s="1" a="1"/>
  <c r="AG216" i="40" s="1"/>
  <c r="K188" i="40"/>
  <c r="K215" i="40" s="1" a="1"/>
  <c r="K215" i="40" s="1"/>
  <c r="AP179" i="40"/>
  <c r="AP206" i="40" s="1" a="1"/>
  <c r="AP206" i="40" s="1"/>
  <c r="AC187" i="40"/>
  <c r="AC214" i="40" s="1" a="1"/>
  <c r="AC214" i="40" s="1"/>
  <c r="AN192" i="40"/>
  <c r="AN219" i="40" s="1" a="1"/>
  <c r="AN219" i="40" s="1"/>
  <c r="AN179" i="40"/>
  <c r="AN206" i="40" s="1" a="1"/>
  <c r="AN206" i="40" s="1"/>
  <c r="AU187" i="40"/>
  <c r="AU214" i="40" s="1" a="1"/>
  <c r="AU214" i="40" s="1"/>
  <c r="AL196" i="40"/>
  <c r="AL223" i="40" s="1" a="1"/>
  <c r="AL223" i="40" s="1"/>
  <c r="M184" i="40"/>
  <c r="M211" i="40" s="1" a="1"/>
  <c r="M211" i="40" s="1"/>
  <c r="AK194" i="40"/>
  <c r="AK221" i="40" s="1" a="1"/>
  <c r="AK221" i="40" s="1"/>
  <c r="AM181" i="40"/>
  <c r="AM208" i="40" s="1" a="1"/>
  <c r="AM208" i="40" s="1"/>
  <c r="N192" i="40"/>
  <c r="N219" i="40" s="1" a="1"/>
  <c r="N219" i="40" s="1"/>
  <c r="AL181" i="40"/>
  <c r="AL208" i="40" s="1" a="1"/>
  <c r="AL208" i="40" s="1"/>
  <c r="P190" i="40"/>
  <c r="P217" i="40" s="1" a="1"/>
  <c r="P217" i="40" s="1"/>
  <c r="E180" i="40"/>
  <c r="E207" i="40" s="1" a="1"/>
  <c r="E207" i="40" s="1"/>
  <c r="AI190" i="40"/>
  <c r="AI217" i="40" s="1" a="1"/>
  <c r="AI217" i="40" s="1"/>
  <c r="N179" i="40"/>
  <c r="N206" i="40" s="1" a="1"/>
  <c r="N206" i="40" s="1"/>
  <c r="W184" i="40"/>
  <c r="W211" i="40" s="1" a="1"/>
  <c r="W211" i="40" s="1"/>
  <c r="Z188" i="40"/>
  <c r="Z215" i="40" s="1" a="1"/>
  <c r="Z215" i="40" s="1"/>
  <c r="AU194" i="40"/>
  <c r="AU221" i="40" s="1" a="1"/>
  <c r="AU221" i="40" s="1"/>
  <c r="AV181" i="40"/>
  <c r="AV208" i="40" s="1" a="1"/>
  <c r="AV208" i="40" s="1"/>
  <c r="AG187" i="40"/>
  <c r="AG214" i="40" s="1" a="1"/>
  <c r="AG214" i="40" s="1"/>
  <c r="C181" i="40"/>
  <c r="C208" i="40" s="1" a="1"/>
  <c r="C208" i="40" s="1"/>
  <c r="Q182" i="40"/>
  <c r="Q209" i="40" s="1" a="1"/>
  <c r="Q209" i="40" s="1"/>
  <c r="M189" i="40"/>
  <c r="M216" i="40" s="1" a="1"/>
  <c r="M216" i="40" s="1"/>
  <c r="AZ183" i="40"/>
  <c r="AZ210" i="40" s="1" a="1"/>
  <c r="AZ210" i="40" s="1"/>
  <c r="E188" i="40"/>
  <c r="E215" i="40" s="1" a="1"/>
  <c r="E215" i="40" s="1"/>
  <c r="Y194" i="40"/>
  <c r="Y221" i="40" s="1" a="1"/>
  <c r="Y221" i="40" s="1"/>
  <c r="K191" i="40"/>
  <c r="K218" i="40" s="1" a="1"/>
  <c r="K218" i="40" s="1"/>
  <c r="M187" i="40"/>
  <c r="M214" i="40" s="1" a="1"/>
  <c r="M214" i="40" s="1"/>
  <c r="AK177" i="40"/>
  <c r="AK204" i="40" s="1" a="1"/>
  <c r="AK204" i="40" s="1"/>
  <c r="AT181" i="40"/>
  <c r="AT208" i="40" s="1" a="1"/>
  <c r="AT208" i="40" s="1"/>
  <c r="AP188" i="40"/>
  <c r="AP215" i="40" s="1" a="1"/>
  <c r="AP215" i="40" s="1"/>
  <c r="T191" i="40"/>
  <c r="T218" i="40" s="1" a="1"/>
  <c r="T218" i="40" s="1"/>
  <c r="AY178" i="40"/>
  <c r="AY205" i="40" s="1" a="1"/>
  <c r="AY205" i="40" s="1"/>
  <c r="AL186" i="40"/>
  <c r="AL213" i="40" s="1" a="1"/>
  <c r="AL213" i="40" s="1"/>
  <c r="AN191" i="40"/>
  <c r="AN218" i="40" s="1" a="1"/>
  <c r="AN218" i="40" s="1"/>
  <c r="K185" i="40"/>
  <c r="K212" i="40" s="1" a="1"/>
  <c r="K212" i="40" s="1"/>
  <c r="F187" i="40"/>
  <c r="F214" i="40" s="1" a="1"/>
  <c r="F214" i="40" s="1"/>
  <c r="AL194" i="40"/>
  <c r="AL221" i="40" s="1" a="1"/>
  <c r="AL221" i="40" s="1"/>
  <c r="V183" i="40"/>
  <c r="V210" i="40" s="1" a="1"/>
  <c r="V210" i="40" s="1"/>
  <c r="AK191" i="40"/>
  <c r="AK218" i="40" s="1" a="1"/>
  <c r="AK218" i="40" s="1"/>
  <c r="AV180" i="40"/>
  <c r="AV207" i="40" s="1" a="1"/>
  <c r="AV207" i="40" s="1"/>
  <c r="N191" i="40"/>
  <c r="N218" i="40" s="1" a="1"/>
  <c r="N218" i="40" s="1"/>
  <c r="P179" i="40"/>
  <c r="P206" i="40" s="1" a="1"/>
  <c r="P206" i="40" s="1"/>
  <c r="Y189" i="40"/>
  <c r="Y216" i="40" s="1" a="1"/>
  <c r="Y216" i="40" s="1"/>
  <c r="O179" i="40"/>
  <c r="O206" i="40" s="1" a="1"/>
  <c r="O206" i="40" s="1"/>
  <c r="M188" i="40"/>
  <c r="M215" i="40" s="1" a="1"/>
  <c r="M215" i="40" s="1"/>
  <c r="W178" i="40"/>
  <c r="W205" i="40" s="1" a="1"/>
  <c r="W205" i="40" s="1"/>
  <c r="W189" i="40"/>
  <c r="W216" i="40" s="1" a="1"/>
  <c r="W216" i="40" s="1"/>
  <c r="AG179" i="40"/>
  <c r="AG206" i="40" s="1" a="1"/>
  <c r="AG206" i="40" s="1"/>
  <c r="AE188" i="40"/>
  <c r="AE215" i="40" s="1" a="1"/>
  <c r="AE215" i="40" s="1"/>
  <c r="AO178" i="40"/>
  <c r="AO205" i="40" s="1" a="1"/>
  <c r="AO205" i="40" s="1"/>
  <c r="U189" i="40"/>
  <c r="U216" i="40" s="1" a="1"/>
  <c r="U216" i="40" s="1"/>
  <c r="AE179" i="40"/>
  <c r="AE206" i="40" s="1" a="1"/>
  <c r="AE206" i="40" s="1"/>
  <c r="AY192" i="40"/>
  <c r="AY219" i="40" s="1" a="1"/>
  <c r="AY219" i="40" s="1"/>
  <c r="D184" i="40"/>
  <c r="D211" i="40" s="1" a="1"/>
  <c r="D211" i="40" s="1"/>
  <c r="AB197" i="40"/>
  <c r="AB224" i="40" s="1" a="1"/>
  <c r="AB224" i="40" s="1"/>
  <c r="G188" i="40"/>
  <c r="G215" i="40" s="1" a="1"/>
  <c r="G215" i="40" s="1"/>
  <c r="AW179" i="40"/>
  <c r="AW206" i="40" s="1" a="1"/>
  <c r="AW206" i="40" s="1"/>
  <c r="AF183" i="40"/>
  <c r="AF210" i="40" s="1" a="1"/>
  <c r="AF210" i="40" s="1"/>
  <c r="AI187" i="40"/>
  <c r="AI214" i="40" s="1" a="1"/>
  <c r="AI214" i="40" s="1"/>
  <c r="AU193" i="40"/>
  <c r="AU220" i="40" s="1" a="1"/>
  <c r="AU220" i="40" s="1"/>
  <c r="AA196" i="40"/>
  <c r="AA223" i="40" s="1" a="1"/>
  <c r="AA223" i="40" s="1"/>
  <c r="AP186" i="40"/>
  <c r="AP213" i="40" s="1" a="1"/>
  <c r="AP213" i="40" s="1"/>
  <c r="Q177" i="40"/>
  <c r="Q204" i="40" s="1" a="1"/>
  <c r="Q204" i="40" s="1"/>
  <c r="Z181" i="40"/>
  <c r="Z208" i="40" s="1" a="1"/>
  <c r="Z208" i="40" s="1"/>
  <c r="V188" i="40"/>
  <c r="V215" i="40" s="1" a="1"/>
  <c r="V215" i="40" s="1"/>
  <c r="AQ190" i="40"/>
  <c r="AQ217" i="40" s="1" a="1"/>
  <c r="AQ217" i="40" s="1"/>
  <c r="AM186" i="40"/>
  <c r="AM213" i="40" s="1" a="1"/>
  <c r="AM213" i="40" s="1"/>
  <c r="R186" i="40"/>
  <c r="R213" i="40" s="1" a="1"/>
  <c r="R213" i="40" s="1"/>
  <c r="R191" i="40"/>
  <c r="R218" i="40" s="1" a="1"/>
  <c r="R218" i="40" s="1"/>
  <c r="AZ177" i="40"/>
  <c r="AZ204" i="40" s="1" a="1"/>
  <c r="AZ204" i="40" s="1"/>
  <c r="AJ186" i="40"/>
  <c r="AJ213" i="40" s="1" a="1"/>
  <c r="AJ213" i="40" s="1"/>
  <c r="P194" i="40"/>
  <c r="P221" i="40" s="1" a="1"/>
  <c r="P221" i="40" s="1"/>
  <c r="AY182" i="40"/>
  <c r="AY209" i="40" s="1" a="1"/>
  <c r="AY209" i="40" s="1"/>
  <c r="AL190" i="40"/>
  <c r="AL217" i="40" s="1" a="1"/>
  <c r="AL217" i="40" s="1"/>
  <c r="AB180" i="40"/>
  <c r="AB207" i="40" s="1" a="1"/>
  <c r="AB207" i="40" s="1"/>
  <c r="L183" i="40"/>
  <c r="L210" i="40" s="1" a="1"/>
  <c r="L210" i="40" s="1"/>
  <c r="O187" i="40"/>
  <c r="O214" i="40" s="1" a="1"/>
  <c r="O214" i="40" s="1"/>
  <c r="Y193" i="40"/>
  <c r="Y220" i="40" s="1" a="1"/>
  <c r="Y220" i="40" s="1"/>
  <c r="P189" i="40"/>
  <c r="P216" i="40" s="1" a="1"/>
  <c r="P216" i="40" s="1"/>
  <c r="AL182" i="40"/>
  <c r="AL209" i="40" s="1" a="1"/>
  <c r="AL209" i="40" s="1"/>
  <c r="AR197" i="40"/>
  <c r="AR224" i="40" s="1" a="1"/>
  <c r="AR224" i="40" s="1"/>
  <c r="E181" i="40"/>
  <c r="E208" i="40" s="1" a="1"/>
  <c r="E208" i="40" s="1"/>
  <c r="AY187" i="40"/>
  <c r="AY214" i="40" s="1" a="1"/>
  <c r="AY214" i="40" s="1"/>
  <c r="W190" i="40"/>
  <c r="W217" i="40" s="1" a="1"/>
  <c r="W217" i="40" s="1"/>
  <c r="C178" i="40"/>
  <c r="C205" i="40" s="1" a="1"/>
  <c r="C205" i="40" s="1"/>
  <c r="AU185" i="40"/>
  <c r="AU212" i="40" s="1" a="1"/>
  <c r="AU212" i="40" s="1"/>
  <c r="AO190" i="40"/>
  <c r="AO217" i="40" s="1" a="1"/>
  <c r="AO217" i="40" s="1"/>
  <c r="AF177" i="40"/>
  <c r="AF204" i="40" s="1" a="1"/>
  <c r="AF204" i="40" s="1"/>
  <c r="P186" i="40"/>
  <c r="P213" i="40" s="1" a="1"/>
  <c r="P213" i="40" s="1"/>
  <c r="AL193" i="40"/>
  <c r="AL220" i="40" s="1" a="1"/>
  <c r="AL220" i="40" s="1"/>
  <c r="AE182" i="40"/>
  <c r="AE209" i="40" s="1" a="1"/>
  <c r="AE209" i="40" s="1"/>
  <c r="R190" i="40"/>
  <c r="R217" i="40" s="1" a="1"/>
  <c r="R217" i="40" s="1"/>
  <c r="G180" i="40"/>
  <c r="G207" i="40" s="1" a="1"/>
  <c r="G207" i="40" s="1"/>
  <c r="Q190" i="40"/>
  <c r="Q217" i="40" s="1" a="1"/>
  <c r="Q217" i="40" s="1"/>
  <c r="D178" i="40"/>
  <c r="D205" i="40" s="1" a="1"/>
  <c r="D205" i="40" s="1"/>
  <c r="AH188" i="40"/>
  <c r="AH215" i="40" s="1" a="1"/>
  <c r="AH215" i="40" s="1"/>
  <c r="X178" i="40"/>
  <c r="X205" i="40" s="1" a="1"/>
  <c r="X205" i="40" s="1"/>
  <c r="V187" i="40"/>
  <c r="V214" i="40" s="1" a="1"/>
  <c r="V214" i="40" s="1"/>
  <c r="K179" i="40"/>
  <c r="K206" i="40" s="1" a="1"/>
  <c r="K206" i="40" s="1"/>
  <c r="AF188" i="40"/>
  <c r="AF215" i="40" s="1" a="1"/>
  <c r="AF215" i="40" s="1"/>
  <c r="AP178" i="40"/>
  <c r="AP205" i="40" s="1" a="1"/>
  <c r="AP205" i="40" s="1"/>
  <c r="AN187" i="40"/>
  <c r="AN214" i="40" s="1" a="1"/>
  <c r="AN214" i="40" s="1"/>
  <c r="AO182" i="40"/>
  <c r="AO209" i="40" s="1" a="1"/>
  <c r="AO209" i="40" s="1"/>
  <c r="AR186" i="40"/>
  <c r="AR213" i="40" s="1" a="1"/>
  <c r="AR213" i="40" s="1"/>
  <c r="AU192" i="40"/>
  <c r="AU219" i="40" s="1" a="1"/>
  <c r="AU219" i="40" s="1"/>
  <c r="C182" i="40"/>
  <c r="C209" i="40" s="1" a="1"/>
  <c r="C209" i="40" s="1"/>
  <c r="R182" i="40"/>
  <c r="R209" i="40" s="1" a="1"/>
  <c r="R209" i="40" s="1"/>
  <c r="V197" i="40"/>
  <c r="V224" i="40" s="1" a="1"/>
  <c r="V224" i="40" s="1"/>
  <c r="AI180" i="40"/>
  <c r="AI207" i="40" s="1" a="1"/>
  <c r="AI207" i="40" s="1"/>
  <c r="AE187" i="40"/>
  <c r="AE214" i="40" s="1" a="1"/>
  <c r="AE214" i="40" s="1"/>
  <c r="AZ189" i="40"/>
  <c r="AZ216" i="40" s="1" a="1"/>
  <c r="AZ216" i="40" s="1"/>
  <c r="AH177" i="40"/>
  <c r="AH204" i="40" s="1" a="1"/>
  <c r="AH204" i="40" s="1"/>
  <c r="AQ181" i="40"/>
  <c r="AQ208" i="40" s="1" a="1"/>
  <c r="AQ208" i="40" s="1"/>
  <c r="U190" i="40"/>
  <c r="U217" i="40" s="1" a="1"/>
  <c r="U217" i="40" s="1"/>
  <c r="L177" i="40"/>
  <c r="L204" i="40" s="1" a="1"/>
  <c r="L204" i="40" s="1"/>
  <c r="AS185" i="40"/>
  <c r="AS212" i="40" s="1" a="1"/>
  <c r="AS212" i="40" s="1"/>
  <c r="P193" i="40"/>
  <c r="P220" i="40" s="1" a="1"/>
  <c r="P220" i="40" s="1"/>
  <c r="J182" i="40"/>
  <c r="J209" i="40" s="1" a="1"/>
  <c r="J209" i="40" s="1"/>
  <c r="AU189" i="40"/>
  <c r="AU216" i="40" s="1" a="1"/>
  <c r="AU216" i="40" s="1"/>
  <c r="AK179" i="40"/>
  <c r="AK206" i="40" s="1" a="1"/>
  <c r="AK206" i="40" s="1"/>
  <c r="AT189" i="40"/>
  <c r="AT216" i="40" s="1" a="1"/>
  <c r="AT216" i="40" s="1"/>
  <c r="K181" i="40"/>
  <c r="K208" i="40" s="1" a="1"/>
  <c r="K208" i="40" s="1"/>
  <c r="N188" i="40"/>
  <c r="N215" i="40" s="1" a="1"/>
  <c r="N215" i="40" s="1"/>
  <c r="K180" i="40"/>
  <c r="K207" i="40" s="1" a="1"/>
  <c r="K207" i="40" s="1"/>
  <c r="AY186" i="40"/>
  <c r="AY213" i="40" s="1" a="1"/>
  <c r="AY213" i="40" s="1"/>
  <c r="C190" i="40"/>
  <c r="C217" i="40" s="1" a="1"/>
  <c r="C217" i="40" s="1"/>
  <c r="L188" i="40"/>
  <c r="L215" i="40" s="1" a="1"/>
  <c r="L215" i="40" s="1"/>
  <c r="V178" i="40"/>
  <c r="V205" i="40" s="1" a="1"/>
  <c r="V205" i="40" s="1"/>
  <c r="T187" i="40"/>
  <c r="T214" i="40" s="1" a="1"/>
  <c r="T214" i="40" s="1"/>
  <c r="C188" i="40"/>
  <c r="C215" i="40" s="1" a="1"/>
  <c r="C215" i="40" s="1"/>
  <c r="I188" i="40"/>
  <c r="I215" i="40" s="1" a="1"/>
  <c r="I215" i="40" s="1"/>
  <c r="U182" i="40"/>
  <c r="U209" i="40" s="1" a="1"/>
  <c r="U209" i="40" s="1"/>
  <c r="C184" i="40"/>
  <c r="C211" i="40" s="1" a="1"/>
  <c r="C211" i="40" s="1"/>
  <c r="AN177" i="40"/>
  <c r="AN204" i="40" s="1" a="1"/>
  <c r="AN204" i="40" s="1"/>
  <c r="AG185" i="40"/>
  <c r="AG212" i="40" s="1" a="1"/>
  <c r="AG212" i="40" s="1"/>
  <c r="Y191" i="40"/>
  <c r="Y218" i="40" s="1" a="1"/>
  <c r="Y218" i="40" s="1"/>
  <c r="AS197" i="40"/>
  <c r="AS224" i="40" s="1" a="1"/>
  <c r="AS224" i="40" s="1"/>
  <c r="F181" i="40"/>
  <c r="F208" i="40" s="1" a="1"/>
  <c r="F208" i="40" s="1"/>
  <c r="V191" i="40"/>
  <c r="V218" i="40" s="1" a="1"/>
  <c r="V218" i="40" s="1"/>
  <c r="AD181" i="40"/>
  <c r="AD208" i="40" s="1" a="1"/>
  <c r="AD208" i="40" s="1"/>
  <c r="T186" i="40"/>
  <c r="T213" i="40" s="1" a="1"/>
  <c r="T213" i="40" s="1"/>
  <c r="AO188" i="40"/>
  <c r="AO215" i="40" s="1" a="1"/>
  <c r="AO215" i="40" s="1"/>
  <c r="S197" i="40"/>
  <c r="S224" i="40" s="1" a="1"/>
  <c r="S224" i="40" s="1"/>
  <c r="AF180" i="40"/>
  <c r="AF207" i="40" s="1" a="1"/>
  <c r="AF207" i="40" s="1"/>
  <c r="AB187" i="40"/>
  <c r="AB214" i="40" s="1" a="1"/>
  <c r="AB214" i="40" s="1"/>
  <c r="T177" i="40"/>
  <c r="T204" i="40" s="1" a="1"/>
  <c r="T204" i="40" s="1"/>
  <c r="AC181" i="40"/>
  <c r="AC208" i="40" s="1" a="1"/>
  <c r="AC208" i="40" s="1"/>
  <c r="AU190" i="40"/>
  <c r="AU217" i="40" s="1" a="1"/>
  <c r="AU217" i="40" s="1"/>
  <c r="X197" i="40"/>
  <c r="X224" i="40" s="1" a="1"/>
  <c r="X224" i="40" s="1"/>
  <c r="AJ180" i="40"/>
  <c r="AJ207" i="40" s="1" a="1"/>
  <c r="AJ207" i="40" s="1"/>
  <c r="AS190" i="40"/>
  <c r="AS217" i="40" s="1" a="1"/>
  <c r="AS217" i="40" s="1"/>
  <c r="C180" i="40"/>
  <c r="C207" i="40" s="1" a="1"/>
  <c r="C207" i="40" s="1"/>
  <c r="AW185" i="40"/>
  <c r="AW212" i="40" s="1" a="1"/>
  <c r="AW212" i="40" s="1"/>
  <c r="U188" i="40"/>
  <c r="U215" i="40" s="1" a="1"/>
  <c r="U215" i="40" s="1"/>
  <c r="AO196" i="40"/>
  <c r="AO223" i="40" s="1" a="1"/>
  <c r="AO223" i="40" s="1"/>
  <c r="L180" i="40"/>
  <c r="L207" i="40" s="1" a="1"/>
  <c r="L207" i="40" s="1"/>
  <c r="AT185" i="40"/>
  <c r="AT212" i="40" s="1" a="1"/>
  <c r="AT212" i="40" s="1"/>
  <c r="Q196" i="40"/>
  <c r="Q223" i="40" s="1" a="1"/>
  <c r="Q223" i="40" s="1"/>
  <c r="U181" i="40"/>
  <c r="U208" i="40" s="1" a="1"/>
  <c r="U208" i="40" s="1"/>
  <c r="AV197" i="40"/>
  <c r="AV224" i="40" s="1" a="1"/>
  <c r="AV224" i="40" s="1"/>
  <c r="Z197" i="40"/>
  <c r="Z224" i="40" s="1" a="1"/>
  <c r="Z224" i="40" s="1"/>
  <c r="AL180" i="40"/>
  <c r="AL207" i="40" s="1" a="1"/>
  <c r="AL207" i="40" s="1"/>
  <c r="AZ185" i="40"/>
  <c r="AZ212" i="40" s="1" a="1"/>
  <c r="AZ212" i="40" s="1"/>
  <c r="X196" i="40"/>
  <c r="X223" i="40" s="1" a="1"/>
  <c r="X223" i="40" s="1"/>
  <c r="AS179" i="40"/>
  <c r="AS206" i="40" s="1" a="1"/>
  <c r="AS206" i="40" s="1"/>
  <c r="D190" i="40"/>
  <c r="D217" i="40" s="1" a="1"/>
  <c r="D217" i="40" s="1"/>
  <c r="P177" i="40"/>
  <c r="P204" i="40" s="1" a="1"/>
  <c r="P204" i="40" s="1"/>
  <c r="Y181" i="40"/>
  <c r="Y208" i="40" s="1" a="1"/>
  <c r="Y208" i="40" s="1"/>
  <c r="AD187" i="40"/>
  <c r="AD214" i="40" s="1" a="1"/>
  <c r="AD214" i="40" s="1"/>
  <c r="AO195" i="40"/>
  <c r="AO222" i="40" s="1" a="1"/>
  <c r="AO222" i="40" s="1"/>
  <c r="U179" i="40"/>
  <c r="U206" i="40" s="1" a="1"/>
  <c r="U206" i="40" s="1"/>
  <c r="E185" i="40"/>
  <c r="E212" i="40" s="1" a="1"/>
  <c r="E212" i="40" s="1"/>
  <c r="Q195" i="40"/>
  <c r="Q222" i="40" s="1" a="1"/>
  <c r="Q222" i="40" s="1"/>
  <c r="AD180" i="40"/>
  <c r="AD207" i="40" s="1" a="1"/>
  <c r="AD207" i="40" s="1"/>
  <c r="S190" i="40"/>
  <c r="S217" i="40" s="1" a="1"/>
  <c r="S217" i="40" s="1"/>
  <c r="AX177" i="40"/>
  <c r="AX204" i="40" s="1" a="1"/>
  <c r="AX204" i="40" s="1"/>
  <c r="Y187" i="40"/>
  <c r="Y214" i="40" s="1" a="1"/>
  <c r="Y214" i="40" s="1"/>
  <c r="N197" i="40"/>
  <c r="N224" i="40" s="1" a="1"/>
  <c r="N224" i="40" s="1"/>
  <c r="V185" i="40"/>
  <c r="V212" i="40" s="1" a="1"/>
  <c r="V212" i="40" s="1"/>
  <c r="M197" i="40"/>
  <c r="M224" i="40" s="1" a="1"/>
  <c r="M224" i="40" s="1"/>
  <c r="I184" i="40"/>
  <c r="I211" i="40" s="1" a="1"/>
  <c r="I211" i="40" s="1"/>
  <c r="J195" i="40"/>
  <c r="J222" i="40" s="1" a="1"/>
  <c r="J222" i="40" s="1"/>
  <c r="AC184" i="40"/>
  <c r="AC211" i="40" s="1" a="1"/>
  <c r="AC211" i="40" s="1"/>
  <c r="AG196" i="40"/>
  <c r="AG223" i="40" s="1" a="1"/>
  <c r="AG223" i="40" s="1"/>
  <c r="G184" i="40"/>
  <c r="G211" i="40" s="1" a="1"/>
  <c r="G211" i="40" s="1"/>
  <c r="AF195" i="40"/>
  <c r="AF222" i="40" s="1" a="1"/>
  <c r="AF222" i="40" s="1"/>
  <c r="AU184" i="40"/>
  <c r="AU211" i="40" s="1" a="1"/>
  <c r="AU211" i="40" s="1"/>
  <c r="AD196" i="40"/>
  <c r="AD223" i="40" s="1" a="1"/>
  <c r="AD223" i="40" s="1"/>
  <c r="E184" i="40"/>
  <c r="E211" i="40" s="1" a="1"/>
  <c r="E211" i="40" s="1"/>
  <c r="W177" i="40"/>
  <c r="W204" i="40" s="1" a="1"/>
  <c r="W204" i="40" s="1"/>
  <c r="AC188" i="40"/>
  <c r="AC215" i="40" s="1" a="1"/>
  <c r="AC215" i="40" s="1"/>
  <c r="U180" i="40"/>
  <c r="U207" i="40" s="1" a="1"/>
  <c r="U207" i="40" s="1"/>
  <c r="AX192" i="40"/>
  <c r="AX219" i="40" s="1" a="1"/>
  <c r="AX219" i="40" s="1"/>
  <c r="X184" i="40"/>
  <c r="X211" i="40" s="1" a="1"/>
  <c r="X211" i="40" s="1"/>
  <c r="AV196" i="40"/>
  <c r="AV223" i="40" s="1" a="1"/>
  <c r="AV223" i="40" s="1"/>
  <c r="R180" i="40"/>
  <c r="R207" i="40" s="1" a="1"/>
  <c r="R207" i="40" s="1"/>
  <c r="AF185" i="40"/>
  <c r="AF212" i="40" s="1" a="1"/>
  <c r="AF212" i="40" s="1"/>
  <c r="AS195" i="40"/>
  <c r="AS222" i="40" s="1" a="1"/>
  <c r="AS222" i="40" s="1"/>
  <c r="Y179" i="40"/>
  <c r="Y206" i="40" s="1" a="1"/>
  <c r="Y206" i="40" s="1"/>
  <c r="AH189" i="40"/>
  <c r="AH216" i="40" s="1" a="1"/>
  <c r="AH216" i="40" s="1"/>
  <c r="AQ197" i="40"/>
  <c r="AQ224" i="40" s="1" a="1"/>
  <c r="AQ224" i="40" s="1"/>
  <c r="D181" i="40"/>
  <c r="D208" i="40" s="1" a="1"/>
  <c r="D208" i="40" s="1"/>
  <c r="E183" i="40"/>
  <c r="E210" i="40" s="1" a="1"/>
  <c r="E210" i="40" s="1"/>
  <c r="S195" i="40"/>
  <c r="S222" i="40" s="1" a="1"/>
  <c r="S222" i="40" s="1"/>
  <c r="AX178" i="40"/>
  <c r="AX205" i="40" s="1" a="1"/>
  <c r="AX205" i="40" s="1"/>
  <c r="AI184" i="40"/>
  <c r="AI211" i="40" s="1" a="1"/>
  <c r="AI211" i="40" s="1"/>
  <c r="AM194" i="40"/>
  <c r="AM221" i="40" s="1" a="1"/>
  <c r="AM221" i="40" s="1"/>
  <c r="I180" i="40"/>
  <c r="I207" i="40" s="1" a="1"/>
  <c r="I207" i="40" s="1"/>
  <c r="AV189" i="40"/>
  <c r="AV216" i="40" s="1" a="1"/>
  <c r="AV216" i="40" s="1"/>
  <c r="AD177" i="40"/>
  <c r="AD204" i="40" s="1" a="1"/>
  <c r="AD204" i="40" s="1"/>
  <c r="D187" i="40"/>
  <c r="D214" i="40" s="1" a="1"/>
  <c r="D214" i="40" s="1"/>
  <c r="AJ196" i="40"/>
  <c r="AJ223" i="40" s="1" a="1"/>
  <c r="AJ223" i="40" s="1"/>
  <c r="AY184" i="40"/>
  <c r="AY211" i="40" s="1" a="1"/>
  <c r="AY211" i="40" s="1"/>
  <c r="AI196" i="40"/>
  <c r="AI223" i="40" s="1" a="1"/>
  <c r="AI223" i="40" s="1"/>
  <c r="AM183" i="40"/>
  <c r="AM210" i="40" s="1" a="1"/>
  <c r="AM210" i="40" s="1"/>
  <c r="AH194" i="40"/>
  <c r="AH221" i="40" s="1" a="1"/>
  <c r="AH221" i="40" s="1"/>
  <c r="H184" i="40"/>
  <c r="H211" i="40" s="1" a="1"/>
  <c r="H211" i="40" s="1"/>
  <c r="I196" i="40"/>
  <c r="I223" i="40" s="1" a="1"/>
  <c r="I223" i="40" s="1"/>
  <c r="AK183" i="40"/>
  <c r="AK210" i="40" s="1" a="1"/>
  <c r="AK210" i="40" s="1"/>
  <c r="BA194" i="40"/>
  <c r="BA221" i="40" s="1" a="1"/>
  <c r="BA221" i="40" s="1"/>
  <c r="AA184" i="40"/>
  <c r="AA211" i="40" s="1" a="1"/>
  <c r="AA211" i="40" s="1"/>
  <c r="Z196" i="40"/>
  <c r="Z223" i="40" s="1" a="1"/>
  <c r="Z223" i="40" s="1"/>
  <c r="AU179" i="40"/>
  <c r="AU206" i="40" s="1" a="1"/>
  <c r="AU206" i="40" s="1"/>
  <c r="L185" i="40"/>
  <c r="L212" i="40" s="1" a="1"/>
  <c r="L212" i="40" s="1"/>
  <c r="AT190" i="40"/>
  <c r="AT217" i="40" s="1" a="1"/>
  <c r="AT217" i="40" s="1"/>
  <c r="D179" i="40"/>
  <c r="D206" i="40" s="1" a="1"/>
  <c r="D206" i="40" s="1"/>
  <c r="AV195" i="40"/>
  <c r="AV222" i="40" s="1" a="1"/>
  <c r="AV222" i="40" s="1"/>
  <c r="Z195" i="40"/>
  <c r="Z222" i="40" s="1" a="1"/>
  <c r="Z222" i="40" s="1"/>
  <c r="F179" i="40"/>
  <c r="F206" i="40" s="1" a="1"/>
  <c r="F206" i="40" s="1"/>
  <c r="U184" i="40"/>
  <c r="U211" i="40" s="1" a="1"/>
  <c r="U211" i="40" s="1"/>
  <c r="E190" i="40"/>
  <c r="E217" i="40" s="1" a="1"/>
  <c r="E217" i="40" s="1"/>
  <c r="R189" i="40"/>
  <c r="R216" i="40" s="1" a="1"/>
  <c r="R216" i="40" s="1"/>
  <c r="W188" i="40"/>
  <c r="W215" i="40" s="1" a="1"/>
  <c r="W215" i="40" s="1"/>
  <c r="U196" i="40"/>
  <c r="U223" i="40" s="1" a="1"/>
  <c r="U223" i="40" s="1"/>
  <c r="AQ179" i="40"/>
  <c r="AQ206" i="40" s="1" a="1"/>
  <c r="AQ206" i="40" s="1"/>
  <c r="AR181" i="40"/>
  <c r="AR208" i="40" s="1" a="1"/>
  <c r="AR208" i="40" s="1"/>
  <c r="AE189" i="40"/>
  <c r="AE216" i="40" s="1" a="1"/>
  <c r="AE216" i="40" s="1"/>
  <c r="K186" i="40"/>
  <c r="K213" i="40" s="1" a="1"/>
  <c r="K213" i="40" s="1"/>
  <c r="X183" i="40"/>
  <c r="X210" i="40" s="1" a="1"/>
  <c r="X210" i="40" s="1"/>
  <c r="AW189" i="40"/>
  <c r="AW216" i="40" s="1" a="1"/>
  <c r="AW216" i="40" s="1"/>
  <c r="AV178" i="40"/>
  <c r="AV205" i="40" s="1" a="1"/>
  <c r="AV205" i="40" s="1"/>
  <c r="AI186" i="40"/>
  <c r="AI213" i="40" s="1" a="1"/>
  <c r="AI213" i="40" s="1"/>
  <c r="O197" i="40"/>
  <c r="O224" i="40" s="1" a="1"/>
  <c r="O224" i="40" s="1"/>
  <c r="AQ185" i="40"/>
  <c r="AQ212" i="40" s="1" a="1"/>
  <c r="AQ212" i="40" s="1"/>
  <c r="AJ194" i="40"/>
  <c r="AJ221" i="40" s="1" a="1"/>
  <c r="AJ221" i="40" s="1"/>
  <c r="AN183" i="40"/>
  <c r="AN210" i="40" s="1" a="1"/>
  <c r="AN210" i="40" s="1"/>
  <c r="M195" i="40"/>
  <c r="M222" i="40" s="1" a="1"/>
  <c r="M222" i="40" s="1"/>
  <c r="G182" i="40"/>
  <c r="G209" i="40" s="1" a="1"/>
  <c r="G209" i="40" s="1"/>
  <c r="J193" i="40"/>
  <c r="J220" i="40" s="1" a="1"/>
  <c r="J220" i="40" s="1"/>
  <c r="L190" i="40"/>
  <c r="L217" i="40" s="1" a="1"/>
  <c r="L217" i="40" s="1"/>
  <c r="F184" i="40"/>
  <c r="F211" i="40" s="1" a="1"/>
  <c r="F211" i="40" s="1"/>
  <c r="X180" i="40"/>
  <c r="X207" i="40" s="1" a="1"/>
  <c r="X207" i="40" s="1"/>
  <c r="Z177" i="40"/>
  <c r="Z204" i="40" s="1" a="1"/>
  <c r="Z204" i="40" s="1"/>
  <c r="AH196" i="40"/>
  <c r="AH223" i="40" s="1" a="1"/>
  <c r="AH223" i="40" s="1"/>
  <c r="AB177" i="40"/>
  <c r="AB204" i="40" s="1" a="1"/>
  <c r="AB204" i="40" s="1"/>
  <c r="Z178" i="40"/>
  <c r="Z205" i="40" s="1" a="1"/>
  <c r="Z205" i="40" s="1"/>
  <c r="AN181" i="40"/>
  <c r="AN208" i="40" s="1" a="1"/>
  <c r="AN208" i="40" s="1"/>
  <c r="AM191" i="40"/>
  <c r="AM218" i="40" s="1" a="1"/>
  <c r="AM218" i="40" s="1"/>
  <c r="H187" i="40"/>
  <c r="H214" i="40" s="1" a="1"/>
  <c r="H214" i="40" s="1"/>
  <c r="U197" i="40"/>
  <c r="U224" i="40" s="1" a="1"/>
  <c r="U224" i="40" s="1"/>
  <c r="Y192" i="40"/>
  <c r="Y219" i="40" s="1" a="1"/>
  <c r="Y219" i="40" s="1"/>
  <c r="T178" i="40"/>
  <c r="T205" i="40" s="1" a="1"/>
  <c r="T205" i="40" s="1"/>
  <c r="AZ190" i="40"/>
  <c r="AZ217" i="40" s="1" a="1"/>
  <c r="AZ217" i="40" s="1"/>
  <c r="R185" i="40"/>
  <c r="R212" i="40" s="1" a="1"/>
  <c r="R212" i="40" s="1"/>
  <c r="E182" i="40"/>
  <c r="E209" i="40" s="1" a="1"/>
  <c r="E209" i="40" s="1"/>
  <c r="AT177" i="40"/>
  <c r="AT204" i="40" s="1" a="1"/>
  <c r="AT204" i="40" s="1"/>
  <c r="J197" i="40"/>
  <c r="J224" i="40" s="1" a="1"/>
  <c r="J224" i="40" s="1"/>
  <c r="AV177" i="40"/>
  <c r="AV204" i="40" s="1" a="1"/>
  <c r="AV204" i="40" s="1"/>
  <c r="AT178" i="40"/>
  <c r="AT205" i="40" s="1" a="1"/>
  <c r="AT205" i="40" s="1"/>
  <c r="AP183" i="40"/>
  <c r="AP210" i="40" s="1" a="1"/>
  <c r="AP210" i="40" s="1"/>
  <c r="Q192" i="40"/>
  <c r="Q219" i="40" s="1" a="1"/>
  <c r="Q219" i="40" s="1"/>
  <c r="J189" i="40"/>
  <c r="J216" i="40" s="1" a="1"/>
  <c r="J216" i="40" s="1"/>
  <c r="AJ177" i="40"/>
  <c r="AJ204" i="40" s="1" a="1"/>
  <c r="AJ204" i="40" s="1"/>
  <c r="AA179" i="40"/>
  <c r="AA206" i="40" s="1" a="1"/>
  <c r="AA206" i="40" s="1"/>
  <c r="AM189" i="40"/>
  <c r="AM216" i="40" s="1" a="1"/>
  <c r="AM216" i="40" s="1"/>
  <c r="AD179" i="40"/>
  <c r="AD206" i="40" s="1" a="1"/>
  <c r="AD206" i="40" s="1"/>
  <c r="AN189" i="40"/>
  <c r="AN216" i="40" s="1" a="1"/>
  <c r="AN216" i="40" s="1"/>
  <c r="AN178" i="40"/>
  <c r="AN205" i="40" s="1" a="1"/>
  <c r="AN205" i="40" s="1"/>
  <c r="AZ191" i="40"/>
  <c r="AZ218" i="40" s="1" a="1"/>
  <c r="AZ218" i="40" s="1"/>
  <c r="AL185" i="40"/>
  <c r="AL212" i="40" s="1" a="1"/>
  <c r="AL212" i="40" s="1"/>
  <c r="Z182" i="40"/>
  <c r="Z209" i="40" s="1" a="1"/>
  <c r="Z209" i="40" s="1"/>
  <c r="K177" i="40"/>
  <c r="K204" i="40" s="1" a="1"/>
  <c r="K204" i="40" s="1"/>
  <c r="AH197" i="40"/>
  <c r="AH224" i="40" s="1" a="1"/>
  <c r="AH224" i="40" s="1"/>
  <c r="C177" i="40"/>
  <c r="C204" i="40" s="1" a="1"/>
  <c r="C204" i="40" s="1"/>
  <c r="Q179" i="40"/>
  <c r="Q206" i="40" s="1" a="1"/>
  <c r="Q206" i="40" s="1"/>
  <c r="AR185" i="40"/>
  <c r="AR212" i="40" s="1" a="1"/>
  <c r="AR212" i="40" s="1"/>
  <c r="AM195" i="40"/>
  <c r="AM222" i="40" s="1" a="1"/>
  <c r="AM222" i="40" s="1"/>
  <c r="AY189" i="40"/>
  <c r="AY216" i="40" s="1" a="1"/>
  <c r="AY216" i="40" s="1"/>
  <c r="AR179" i="40"/>
  <c r="AR206" i="40" s="1" a="1"/>
  <c r="AR206" i="40" s="1"/>
  <c r="H181" i="40"/>
  <c r="H208" i="40" s="1" a="1"/>
  <c r="H208" i="40" s="1"/>
  <c r="AD190" i="40"/>
  <c r="AD217" i="40" s="1" a="1"/>
  <c r="AD217" i="40" s="1"/>
  <c r="AX179" i="40"/>
  <c r="AX206" i="40" s="1" a="1"/>
  <c r="AX206" i="40" s="1"/>
  <c r="J190" i="40"/>
  <c r="J217" i="40" s="1" a="1"/>
  <c r="J217" i="40" s="1"/>
  <c r="J179" i="40"/>
  <c r="J206" i="40" s="1" a="1"/>
  <c r="J206" i="40" s="1"/>
  <c r="AD192" i="40"/>
  <c r="AD219" i="40" s="1" a="1"/>
  <c r="AD219" i="40" s="1"/>
  <c r="H186" i="40"/>
  <c r="H213" i="40" s="1" a="1"/>
  <c r="H213" i="40" s="1"/>
  <c r="AT182" i="40"/>
  <c r="AT209" i="40" s="1" a="1"/>
  <c r="AT209" i="40" s="1"/>
  <c r="AQ178" i="40"/>
  <c r="AQ205" i="40" s="1" a="1"/>
  <c r="AQ205" i="40" s="1"/>
  <c r="AR178" i="40"/>
  <c r="AR205" i="40" s="1" a="1"/>
  <c r="AR205" i="40" s="1"/>
  <c r="Y178" i="40"/>
  <c r="Y205" i="40" s="1" a="1"/>
  <c r="Y205" i="40" s="1"/>
  <c r="S181" i="40"/>
  <c r="S208" i="40" s="1" a="1"/>
  <c r="S208" i="40" s="1"/>
  <c r="Z187" i="40"/>
  <c r="Z214" i="40" s="1" a="1"/>
  <c r="Z214" i="40" s="1"/>
  <c r="AM196" i="40"/>
  <c r="AM223" i="40" s="1" a="1"/>
  <c r="AM223" i="40" s="1"/>
  <c r="AO194" i="40"/>
  <c r="AO221" i="40" s="1" a="1"/>
  <c r="AO221" i="40" s="1"/>
  <c r="O180" i="40"/>
  <c r="O207" i="40" s="1" a="1"/>
  <c r="O207" i="40" s="1"/>
  <c r="BA185" i="40"/>
  <c r="BA212" i="40" s="1" a="1"/>
  <c r="BA212" i="40" s="1"/>
  <c r="AN180" i="40"/>
  <c r="AN207" i="40" s="1" a="1"/>
  <c r="AN207" i="40" s="1"/>
  <c r="AX190" i="40"/>
  <c r="AX217" i="40" s="1" a="1"/>
  <c r="AX217" i="40" s="1"/>
  <c r="AO180" i="40"/>
  <c r="AO207" i="40" s="1" a="1"/>
  <c r="AO207" i="40" s="1"/>
  <c r="AE190" i="40"/>
  <c r="AE217" i="40" s="1" a="1"/>
  <c r="AE217" i="40" s="1"/>
  <c r="AY179" i="40"/>
  <c r="AY206" i="40" s="1" a="1"/>
  <c r="AY206" i="40" s="1"/>
  <c r="AZ192" i="40"/>
  <c r="AZ219" i="40" s="1" a="1"/>
  <c r="AZ219" i="40" s="1"/>
  <c r="AC186" i="40"/>
  <c r="AC213" i="40" s="1" a="1"/>
  <c r="AC213" i="40" s="1"/>
  <c r="Q183" i="40"/>
  <c r="Q210" i="40" s="1" a="1"/>
  <c r="Q210" i="40" s="1"/>
  <c r="AA182" i="40"/>
  <c r="AA209" i="40" s="1" a="1"/>
  <c r="AA209" i="40" s="1"/>
  <c r="AI179" i="40"/>
  <c r="AI206" i="40" s="1" a="1"/>
  <c r="AI206" i="40" s="1"/>
  <c r="AJ179" i="40"/>
  <c r="AJ206" i="40" s="1" a="1"/>
  <c r="AJ206" i="40" s="1"/>
  <c r="AO183" i="40"/>
  <c r="AO210" i="40" s="1" a="1"/>
  <c r="AO210" i="40" s="1"/>
  <c r="AT187" i="40"/>
  <c r="AT214" i="40" s="1" a="1"/>
  <c r="AT214" i="40" s="1"/>
  <c r="Q197" i="40"/>
  <c r="Q224" i="40" s="1" a="1"/>
  <c r="Q224" i="40" s="1"/>
  <c r="S196" i="40"/>
  <c r="S223" i="40" s="1" a="1"/>
  <c r="S223" i="40" s="1"/>
  <c r="AQ188" i="40"/>
  <c r="AQ215" i="40" s="1" a="1"/>
  <c r="AQ215" i="40" s="1"/>
  <c r="X186" i="40"/>
  <c r="X213" i="40" s="1" a="1"/>
  <c r="X213" i="40" s="1"/>
  <c r="C121" i="40"/>
  <c r="C148" i="40" s="1"/>
  <c r="BB94" i="40"/>
  <c r="AT121" i="40"/>
  <c r="AT148" i="40" s="1"/>
  <c r="C122" i="40"/>
  <c r="C149" i="40" s="1"/>
  <c r="AB122" i="40"/>
  <c r="AB149" i="40" s="1"/>
  <c r="K122" i="40"/>
  <c r="K149" i="40" s="1"/>
  <c r="AW121" i="40"/>
  <c r="AW148" i="40" s="1"/>
  <c r="AB121" i="40"/>
  <c r="AB148" i="40" s="1"/>
  <c r="AZ122" i="40"/>
  <c r="AZ149" i="40" s="1"/>
  <c r="AJ122" i="40"/>
  <c r="AJ149" i="40" s="1"/>
  <c r="AN121" i="40"/>
  <c r="AN148" i="40" s="1"/>
  <c r="O122" i="40"/>
  <c r="O149" i="40" s="1"/>
  <c r="F122" i="40"/>
  <c r="F149" i="40" s="1"/>
  <c r="AV121" i="40"/>
  <c r="AV148" i="40" s="1"/>
  <c r="AQ122" i="40"/>
  <c r="AQ149" i="40" s="1"/>
  <c r="F178" i="40"/>
  <c r="F205" i="40" s="1" a="1"/>
  <c r="F205" i="40" s="1"/>
  <c r="O186" i="40"/>
  <c r="O213" i="40" s="1" a="1"/>
  <c r="O213" i="40" s="1"/>
  <c r="P195" i="40"/>
  <c r="P222" i="40" s="1" a="1"/>
  <c r="P222" i="40" s="1"/>
  <c r="L182" i="40"/>
  <c r="L209" i="40" s="1" a="1"/>
  <c r="L209" i="40" s="1"/>
  <c r="T190" i="40"/>
  <c r="T217" i="40" s="1" a="1"/>
  <c r="T217" i="40" s="1"/>
  <c r="H178" i="40"/>
  <c r="H205" i="40" s="1" a="1"/>
  <c r="H205" i="40" s="1"/>
  <c r="Q186" i="40"/>
  <c r="Q213" i="40" s="1" a="1"/>
  <c r="Q213" i="40" s="1"/>
  <c r="R195" i="40"/>
  <c r="R222" i="40" s="1" a="1"/>
  <c r="R222" i="40" s="1"/>
  <c r="N182" i="40"/>
  <c r="N209" i="40" s="1" a="1"/>
  <c r="N209" i="40" s="1"/>
  <c r="V190" i="40"/>
  <c r="V217" i="40" s="1" a="1"/>
  <c r="V217" i="40" s="1"/>
  <c r="T194" i="40"/>
  <c r="T221" i="40" s="1" a="1"/>
  <c r="T221" i="40" s="1"/>
  <c r="Z183" i="40"/>
  <c r="Z210" i="40" s="1" a="1"/>
  <c r="Z210" i="40" s="1"/>
  <c r="T192" i="40"/>
  <c r="T219" i="40" s="1" a="1"/>
  <c r="T219" i="40" s="1"/>
  <c r="P182" i="40"/>
  <c r="P209" i="40" s="1" a="1"/>
  <c r="P209" i="40" s="1"/>
  <c r="X190" i="40"/>
  <c r="X217" i="40" s="1" a="1"/>
  <c r="X217" i="40" s="1"/>
  <c r="AC190" i="40"/>
  <c r="AC217" i="40" s="1" a="1"/>
  <c r="AC217" i="40" s="1"/>
  <c r="S184" i="40"/>
  <c r="S211" i="40" s="1" a="1"/>
  <c r="S211" i="40" s="1"/>
  <c r="AR192" i="40"/>
  <c r="AR219" i="40" s="1" a="1"/>
  <c r="AR219" i="40" s="1"/>
  <c r="H190" i="40"/>
  <c r="H217" i="40" s="1" a="1"/>
  <c r="H217" i="40" s="1"/>
  <c r="H183" i="40"/>
  <c r="H210" i="40" s="1" a="1"/>
  <c r="H210" i="40" s="1"/>
  <c r="X191" i="40"/>
  <c r="X218" i="40" s="1" a="1"/>
  <c r="X218" i="40" s="1"/>
  <c r="O178" i="40"/>
  <c r="O205" i="40" s="1" a="1"/>
  <c r="O205" i="40" s="1"/>
  <c r="W186" i="40"/>
  <c r="W213" i="40" s="1" a="1"/>
  <c r="W213" i="40" s="1"/>
  <c r="AU195" i="40"/>
  <c r="AU222" i="40" s="1" a="1"/>
  <c r="AU222" i="40" s="1"/>
  <c r="AW181" i="40"/>
  <c r="AW208" i="40" s="1" a="1"/>
  <c r="AW208" i="40" s="1"/>
  <c r="G190" i="40"/>
  <c r="G217" i="40" s="1" a="1"/>
  <c r="G217" i="40" s="1"/>
  <c r="AW196" i="40"/>
  <c r="AW223" i="40" s="1" a="1"/>
  <c r="AW223" i="40" s="1"/>
  <c r="F188" i="40"/>
  <c r="F215" i="40" s="1" a="1"/>
  <c r="F215" i="40" s="1"/>
  <c r="AR121" i="40"/>
  <c r="AR148" i="40" s="1"/>
  <c r="V122" i="40"/>
  <c r="V149" i="40" s="1"/>
  <c r="AF182" i="40"/>
  <c r="AF209" i="40" s="1" a="1"/>
  <c r="AF209" i="40" s="1"/>
  <c r="AN190" i="40"/>
  <c r="AN217" i="40" s="1" a="1"/>
  <c r="AN217" i="40" s="1"/>
  <c r="AC178" i="40"/>
  <c r="AC205" i="40" s="1" a="1"/>
  <c r="AC205" i="40" s="1"/>
  <c r="AK186" i="40"/>
  <c r="AK213" i="40" s="1" a="1"/>
  <c r="AK213" i="40" s="1"/>
  <c r="AN195" i="40"/>
  <c r="AN222" i="40" s="1" a="1"/>
  <c r="AN222" i="40" s="1"/>
  <c r="AH182" i="40"/>
  <c r="AH209" i="40" s="1" a="1"/>
  <c r="AH209" i="40" s="1"/>
  <c r="AP190" i="40"/>
  <c r="AP217" i="40" s="1" a="1"/>
  <c r="AP217" i="40" s="1"/>
  <c r="AP195" i="40"/>
  <c r="AP222" i="40" s="1" a="1"/>
  <c r="AP222" i="40" s="1"/>
  <c r="AT183" i="40"/>
  <c r="AT210" i="40" s="1" a="1"/>
  <c r="AT210" i="40" s="1"/>
  <c r="AP192" i="40"/>
  <c r="AP219" i="40" s="1" a="1"/>
  <c r="AP219" i="40" s="1"/>
  <c r="AJ182" i="40"/>
  <c r="AJ209" i="40" s="1" a="1"/>
  <c r="AJ209" i="40" s="1"/>
  <c r="AR190" i="40"/>
  <c r="AR217" i="40" s="1" a="1"/>
  <c r="AR217" i="40" s="1"/>
  <c r="AA194" i="40"/>
  <c r="AA221" i="40" s="1" a="1"/>
  <c r="AA221" i="40" s="1"/>
  <c r="AM184" i="40"/>
  <c r="AM211" i="40" s="1" a="1"/>
  <c r="AM211" i="40" s="1"/>
  <c r="V193" i="40"/>
  <c r="V220" i="40" s="1" a="1"/>
  <c r="V220" i="40" s="1"/>
  <c r="AA191" i="40"/>
  <c r="AA218" i="40" s="1" a="1"/>
  <c r="AA218" i="40" s="1"/>
  <c r="AC183" i="40"/>
  <c r="AC210" i="40" s="1" a="1"/>
  <c r="AC210" i="40" s="1"/>
  <c r="AS191" i="40"/>
  <c r="AS218" i="40" s="1" a="1"/>
  <c r="AS218" i="40" s="1"/>
  <c r="AI178" i="40"/>
  <c r="AI205" i="40" s="1" a="1"/>
  <c r="AI205" i="40" s="1"/>
  <c r="AQ186" i="40"/>
  <c r="AQ213" i="40" s="1" a="1"/>
  <c r="AQ213" i="40" s="1"/>
  <c r="Y196" i="40"/>
  <c r="Y223" i="40" s="1" a="1"/>
  <c r="Y223" i="40" s="1"/>
  <c r="T182" i="40"/>
  <c r="T209" i="40" s="1" a="1"/>
  <c r="T209" i="40" s="1"/>
  <c r="AB190" i="40"/>
  <c r="AB217" i="40" s="1" a="1"/>
  <c r="AB217" i="40" s="1"/>
  <c r="K193" i="40"/>
  <c r="K220" i="40" s="1" a="1"/>
  <c r="K220" i="40" s="1"/>
  <c r="AU188" i="40"/>
  <c r="AU215" i="40" s="1" a="1"/>
  <c r="AU215" i="40" s="1"/>
  <c r="AY122" i="40"/>
  <c r="AY149" i="40" s="1"/>
  <c r="S183" i="40"/>
  <c r="S210" i="40" s="1" a="1"/>
  <c r="S210" i="40" s="1"/>
  <c r="AI191" i="40"/>
  <c r="AI218" i="40" s="1" a="1"/>
  <c r="AI218" i="40" s="1"/>
  <c r="AS178" i="40"/>
  <c r="AS205" i="40" s="1" a="1"/>
  <c r="AS205" i="40" s="1"/>
  <c r="BA186" i="40"/>
  <c r="BA213" i="40" s="1" a="1"/>
  <c r="BA213" i="40" s="1"/>
  <c r="N196" i="40"/>
  <c r="N223" i="40" s="1" a="1"/>
  <c r="N223" i="40" s="1"/>
  <c r="AX182" i="40"/>
  <c r="AX209" i="40" s="1" a="1"/>
  <c r="AX209" i="40" s="1"/>
  <c r="O191" i="40"/>
  <c r="O218" i="40" s="1" a="1"/>
  <c r="O218" i="40" s="1"/>
  <c r="AU178" i="40"/>
  <c r="AU205" i="40" s="1" a="1"/>
  <c r="AU205" i="40" s="1"/>
  <c r="E187" i="40"/>
  <c r="E214" i="40" s="1" a="1"/>
  <c r="E214" i="40" s="1"/>
  <c r="P196" i="40"/>
  <c r="P223" i="40" s="1" a="1"/>
  <c r="P223" i="40" s="1"/>
  <c r="AZ182" i="40"/>
  <c r="AZ209" i="40" s="1" a="1"/>
  <c r="AZ209" i="40" s="1"/>
  <c r="Q191" i="40"/>
  <c r="Q218" i="40" s="1" a="1"/>
  <c r="Q218" i="40" s="1"/>
  <c r="AW178" i="40"/>
  <c r="AW205" i="40" s="1" a="1"/>
  <c r="AW205" i="40" s="1"/>
  <c r="G187" i="40"/>
  <c r="G214" i="40" s="1" a="1"/>
  <c r="G214" i="40" s="1"/>
  <c r="R196" i="40"/>
  <c r="R223" i="40" s="1" a="1"/>
  <c r="R223" i="40" s="1"/>
  <c r="D183" i="40"/>
  <c r="D210" i="40" s="1" a="1"/>
  <c r="D210" i="40" s="1"/>
  <c r="S191" i="40"/>
  <c r="S218" i="40" s="1" a="1"/>
  <c r="S218" i="40" s="1"/>
  <c r="AP196" i="40"/>
  <c r="AP223" i="40" s="1" a="1"/>
  <c r="AP223" i="40" s="1"/>
  <c r="Q184" i="40"/>
  <c r="Q211" i="40" s="1" a="1"/>
  <c r="Q211" i="40" s="1"/>
  <c r="T193" i="40"/>
  <c r="T220" i="40" s="1" a="1"/>
  <c r="T220" i="40" s="1"/>
  <c r="F183" i="40"/>
  <c r="F210" i="40" s="1" a="1"/>
  <c r="F210" i="40" s="1"/>
  <c r="U191" i="40"/>
  <c r="U218" i="40" s="1" a="1"/>
  <c r="U218" i="40" s="1"/>
  <c r="AW195" i="40"/>
  <c r="AW222" i="40" s="1" a="1"/>
  <c r="AW222" i="40" s="1"/>
  <c r="I185" i="40"/>
  <c r="I212" i="40" s="1" a="1"/>
  <c r="I212" i="40" s="1"/>
  <c r="AR193" i="40"/>
  <c r="AR220" i="40" s="1" a="1"/>
  <c r="AR220" i="40" s="1"/>
  <c r="AA192" i="40"/>
  <c r="AA219" i="40" s="1" a="1"/>
  <c r="AA219" i="40" s="1"/>
  <c r="AW183" i="40"/>
  <c r="AW210" i="40" s="1" a="1"/>
  <c r="AW210" i="40" s="1"/>
  <c r="X192" i="40"/>
  <c r="X219" i="40" s="1" a="1"/>
  <c r="X219" i="40" s="1"/>
  <c r="E179" i="40"/>
  <c r="E206" i="40" s="1" a="1"/>
  <c r="E206" i="40" s="1"/>
  <c r="N187" i="40"/>
  <c r="N214" i="40" s="1" a="1"/>
  <c r="N214" i="40" s="1"/>
  <c r="AU196" i="40"/>
  <c r="AU223" i="40" s="1" a="1"/>
  <c r="AU223" i="40" s="1"/>
  <c r="AN182" i="40"/>
  <c r="AN209" i="40" s="1" a="1"/>
  <c r="AN209" i="40" s="1"/>
  <c r="AV190" i="40"/>
  <c r="AV217" i="40" s="1" a="1"/>
  <c r="AV217" i="40" s="1"/>
  <c r="G179" i="40"/>
  <c r="G206" i="40" s="1" a="1"/>
  <c r="G206" i="40" s="1"/>
  <c r="AL189" i="40"/>
  <c r="AL216" i="40" s="1" a="1"/>
  <c r="AL216" i="40" s="1"/>
  <c r="J121" i="40"/>
  <c r="J148" i="40" s="1"/>
  <c r="N122" i="40"/>
  <c r="N149" i="40" s="1"/>
  <c r="AN196" i="40"/>
  <c r="AN223" i="40" s="1" a="1"/>
  <c r="AN223" i="40" s="1"/>
  <c r="Y183" i="40"/>
  <c r="Y210" i="40" s="1" a="1"/>
  <c r="Y210" i="40" s="1"/>
  <c r="AO191" i="40"/>
  <c r="AO218" i="40" s="1" a="1"/>
  <c r="AO218" i="40" s="1"/>
  <c r="AP197" i="40"/>
  <c r="AP224" i="40" s="1" a="1"/>
  <c r="AP224" i="40" s="1"/>
  <c r="AK184" i="40"/>
  <c r="AK211" i="40" s="1" a="1"/>
  <c r="AK211" i="40" s="1"/>
  <c r="AP193" i="40"/>
  <c r="AP220" i="40" s="1" a="1"/>
  <c r="AP220" i="40" s="1"/>
  <c r="AA183" i="40"/>
  <c r="AA210" i="40" s="1" a="1"/>
  <c r="AA210" i="40" s="1"/>
  <c r="AQ191" i="40"/>
  <c r="AQ218" i="40" s="1" a="1"/>
  <c r="AQ218" i="40" s="1"/>
  <c r="AO177" i="40"/>
  <c r="AO204" i="40" s="1" a="1"/>
  <c r="AO204" i="40" s="1"/>
  <c r="AD185" i="40"/>
  <c r="AD212" i="40" s="1" a="1"/>
  <c r="AD212" i="40" s="1"/>
  <c r="V194" i="40"/>
  <c r="V221" i="40" s="1" a="1"/>
  <c r="V221" i="40" s="1"/>
  <c r="AW193" i="40"/>
  <c r="AW220" i="40" s="1" a="1"/>
  <c r="AW220" i="40" s="1"/>
  <c r="T184" i="40"/>
  <c r="T211" i="40" s="1" a="1"/>
  <c r="T211" i="40" s="1"/>
  <c r="AS192" i="40"/>
  <c r="AS219" i="40" s="1" a="1"/>
  <c r="AS219" i="40" s="1"/>
  <c r="Z179" i="40"/>
  <c r="Z206" i="40" s="1" a="1"/>
  <c r="Z206" i="40" s="1"/>
  <c r="AH187" i="40"/>
  <c r="AH214" i="40" s="1" a="1"/>
  <c r="AH214" i="40" s="1"/>
  <c r="Y197" i="40"/>
  <c r="Y224" i="40" s="1" a="1"/>
  <c r="Y224" i="40" s="1"/>
  <c r="J183" i="40"/>
  <c r="J210" i="40" s="1" a="1"/>
  <c r="J210" i="40" s="1"/>
  <c r="Z191" i="40"/>
  <c r="Z218" i="40" s="1" a="1"/>
  <c r="Z218" i="40" s="1"/>
  <c r="AB179" i="40"/>
  <c r="AB206" i="40" s="1" a="1"/>
  <c r="AB206" i="40" s="1"/>
  <c r="AW190" i="40"/>
  <c r="AW217" i="40" s="1" a="1"/>
  <c r="AW217" i="40" s="1"/>
  <c r="AP121" i="40"/>
  <c r="AP148" i="40" s="1"/>
  <c r="R197" i="40"/>
  <c r="R224" i="40" s="1" a="1"/>
  <c r="R224" i="40" s="1"/>
  <c r="AS183" i="40"/>
  <c r="AS210" i="40" s="1" a="1"/>
  <c r="AS210" i="40" s="1"/>
  <c r="S192" i="40"/>
  <c r="S219" i="40" s="1" a="1"/>
  <c r="S219" i="40" s="1"/>
  <c r="O177" i="40"/>
  <c r="O204" i="40" s="1" a="1"/>
  <c r="O204" i="40" s="1"/>
  <c r="G185" i="40"/>
  <c r="G212" i="40" s="1" a="1"/>
  <c r="G212" i="40" s="1"/>
  <c r="AP194" i="40"/>
  <c r="AP221" i="40" s="1" a="1"/>
  <c r="AP221" i="40" s="1"/>
  <c r="AU183" i="40"/>
  <c r="AU210" i="40" s="1" a="1"/>
  <c r="AU210" i="40" s="1"/>
  <c r="U192" i="40"/>
  <c r="U219" i="40" s="1" a="1"/>
  <c r="U219" i="40" s="1"/>
  <c r="K189" i="40"/>
  <c r="K216" i="40" s="1" a="1"/>
  <c r="K216" i="40" s="1"/>
  <c r="AX185" i="40"/>
  <c r="AX212" i="40" s="1" a="1"/>
  <c r="AX212" i="40" s="1"/>
  <c r="AR194" i="40"/>
  <c r="AR221" i="40" s="1" a="1"/>
  <c r="AR221" i="40" s="1"/>
  <c r="AA195" i="40"/>
  <c r="AA222" i="40" s="1" a="1"/>
  <c r="AA222" i="40" s="1"/>
  <c r="AN184" i="40"/>
  <c r="AN211" i="40" s="1" a="1"/>
  <c r="AN211" i="40" s="1"/>
  <c r="X193" i="40"/>
  <c r="X220" i="40" s="1" a="1"/>
  <c r="X220" i="40" s="1"/>
  <c r="AT179" i="40"/>
  <c r="AT206" i="40" s="1" a="1"/>
  <c r="AT206" i="40" s="1"/>
  <c r="D188" i="40"/>
  <c r="D215" i="40" s="1" a="1"/>
  <c r="D215" i="40" s="1"/>
  <c r="AU197" i="40"/>
  <c r="AU224" i="40" s="1" a="1"/>
  <c r="AU224" i="40" s="1"/>
  <c r="AE183" i="40"/>
  <c r="AE210" i="40" s="1" a="1"/>
  <c r="AE210" i="40" s="1"/>
  <c r="AV191" i="40"/>
  <c r="AV218" i="40" s="1" a="1"/>
  <c r="AV218" i="40" s="1"/>
  <c r="AV179" i="40"/>
  <c r="AV206" i="40" s="1" a="1"/>
  <c r="AV206" i="40" s="1"/>
  <c r="AW191" i="40"/>
  <c r="AW218" i="40" s="1" a="1"/>
  <c r="AW218" i="40" s="1"/>
  <c r="T122" i="40"/>
  <c r="T149" i="40" s="1"/>
  <c r="Q121" i="40"/>
  <c r="Q148" i="40" s="1"/>
  <c r="AG122" i="40"/>
  <c r="AG149" i="40" s="1"/>
  <c r="AT184" i="40"/>
  <c r="AT211" i="40" s="1" a="1"/>
  <c r="AT211" i="40" s="1"/>
  <c r="AD193" i="40"/>
  <c r="AD220" i="40" s="1" a="1"/>
  <c r="AD220" i="40" s="1"/>
  <c r="AQ180" i="40"/>
  <c r="AQ207" i="40" s="1" a="1"/>
  <c r="AQ207" i="40" s="1"/>
  <c r="AY188" i="40"/>
  <c r="AY215" i="40" s="1" a="1"/>
  <c r="AY215" i="40" s="1"/>
  <c r="Y177" i="40"/>
  <c r="Y204" i="40" s="1" a="1"/>
  <c r="Y204" i="40" s="1"/>
  <c r="AV184" i="40"/>
  <c r="AV211" i="40" s="1" a="1"/>
  <c r="AV211" i="40" s="1"/>
  <c r="AG193" i="40"/>
  <c r="AG220" i="40" s="1" a="1"/>
  <c r="AG220" i="40" s="1"/>
  <c r="Y180" i="40"/>
  <c r="Y207" i="40" s="1" a="1"/>
  <c r="Y207" i="40" s="1"/>
  <c r="AG188" i="40"/>
  <c r="AG215" i="40" s="1" a="1"/>
  <c r="AG215" i="40" s="1"/>
  <c r="F177" i="40"/>
  <c r="F204" i="40" s="1" a="1"/>
  <c r="F204" i="40" s="1"/>
  <c r="AD184" i="40"/>
  <c r="AD211" i="40" s="1" a="1"/>
  <c r="AD211" i="40" s="1"/>
  <c r="M193" i="40"/>
  <c r="M220" i="40" s="1" a="1"/>
  <c r="M220" i="40" s="1"/>
  <c r="F180" i="40"/>
  <c r="F207" i="40" s="1" a="1"/>
  <c r="F207" i="40" s="1"/>
  <c r="O188" i="40"/>
  <c r="O215" i="40" s="1" a="1"/>
  <c r="O215" i="40" s="1"/>
  <c r="AJ197" i="40"/>
  <c r="AJ224" i="40" s="1" a="1"/>
  <c r="AJ224" i="40" s="1"/>
  <c r="L184" i="40"/>
  <c r="L211" i="40" s="1" a="1"/>
  <c r="L211" i="40" s="1"/>
  <c r="AK192" i="40"/>
  <c r="AK219" i="40" s="1" a="1"/>
  <c r="AK219" i="40" s="1"/>
  <c r="H180" i="40"/>
  <c r="H207" i="40" s="1" a="1"/>
  <c r="H207" i="40" s="1"/>
  <c r="Q188" i="40"/>
  <c r="Q215" i="40" s="1" a="1"/>
  <c r="Q215" i="40" s="1"/>
  <c r="AL197" i="40"/>
  <c r="AL224" i="40" s="1" a="1"/>
  <c r="AL224" i="40" s="1"/>
  <c r="N184" i="40"/>
  <c r="N211" i="40" s="1" a="1"/>
  <c r="N211" i="40" s="1"/>
  <c r="AM192" i="40"/>
  <c r="AM219" i="40" s="1" a="1"/>
  <c r="AM219" i="40" s="1"/>
  <c r="J180" i="40"/>
  <c r="J207" i="40" s="1" a="1"/>
  <c r="J207" i="40" s="1"/>
  <c r="S188" i="40"/>
  <c r="S215" i="40" s="1" a="1"/>
  <c r="S215" i="40" s="1"/>
  <c r="AN197" i="40"/>
  <c r="AN224" i="40" s="1" a="1"/>
  <c r="AN224" i="40" s="1"/>
  <c r="P184" i="40"/>
  <c r="P211" i="40" s="1" a="1"/>
  <c r="P211" i="40" s="1"/>
  <c r="AO192" i="40"/>
  <c r="AO219" i="40" s="1" a="1"/>
  <c r="AO219" i="40" s="1"/>
  <c r="C179" i="40"/>
  <c r="C206" i="40" s="1" a="1"/>
  <c r="C206" i="40" s="1"/>
  <c r="AB185" i="40"/>
  <c r="AB212" i="40" s="1" a="1"/>
  <c r="AB212" i="40" s="1"/>
  <c r="T195" i="40"/>
  <c r="T222" i="40" s="1" a="1"/>
  <c r="T222" i="40" s="1"/>
  <c r="R184" i="40"/>
  <c r="R211" i="40" s="1" a="1"/>
  <c r="R211" i="40" s="1"/>
  <c r="AQ192" i="40"/>
  <c r="AQ219" i="40" s="1" a="1"/>
  <c r="AQ219" i="40" s="1"/>
  <c r="M178" i="40"/>
  <c r="M205" i="40" s="1" a="1"/>
  <c r="M205" i="40" s="1"/>
  <c r="U186" i="40"/>
  <c r="U213" i="40" s="1" a="1"/>
  <c r="U213" i="40" s="1"/>
  <c r="V195" i="40"/>
  <c r="V222" i="40" s="1" a="1"/>
  <c r="V222" i="40" s="1"/>
  <c r="AW197" i="40"/>
  <c r="AW224" i="40" s="1" a="1"/>
  <c r="AW224" i="40" s="1"/>
  <c r="J185" i="40"/>
  <c r="J212" i="40" s="1" a="1"/>
  <c r="J212" i="40" s="1"/>
  <c r="AS193" i="40"/>
  <c r="AS220" i="40" s="1" a="1"/>
  <c r="AS220" i="40" s="1"/>
  <c r="Q180" i="40"/>
  <c r="Q207" i="40" s="1" a="1"/>
  <c r="Q207" i="40" s="1"/>
  <c r="Y188" i="40"/>
  <c r="Y215" i="40" s="1" a="1"/>
  <c r="Y215" i="40" s="1"/>
  <c r="S177" i="40"/>
  <c r="S204" i="40" s="1" a="1"/>
  <c r="S204" i="40" s="1"/>
  <c r="AY183" i="40"/>
  <c r="AY210" i="40" s="1" a="1"/>
  <c r="AY210" i="40" s="1"/>
  <c r="Z192" i="40"/>
  <c r="Z219" i="40" s="1" a="1"/>
  <c r="Z219" i="40" s="1"/>
  <c r="S180" i="40"/>
  <c r="S207" i="40" s="1" a="1"/>
  <c r="S207" i="40" s="1"/>
  <c r="AW192" i="40"/>
  <c r="AW219" i="40" s="1" a="1"/>
  <c r="AW219" i="40" s="1"/>
  <c r="E121" i="40"/>
  <c r="E148" i="40" s="1"/>
  <c r="Q185" i="40"/>
  <c r="Q212" i="40" s="1" a="1"/>
  <c r="Q212" i="40" s="1"/>
  <c r="AZ193" i="40"/>
  <c r="AZ220" i="40" s="1" a="1"/>
  <c r="AZ220" i="40" s="1"/>
  <c r="N181" i="40"/>
  <c r="N208" i="40" s="1" a="1"/>
  <c r="N208" i="40" s="1"/>
  <c r="V189" i="40"/>
  <c r="V216" i="40" s="1" a="1"/>
  <c r="V216" i="40" s="1"/>
  <c r="AS177" i="40"/>
  <c r="AS204" i="40" s="1" a="1"/>
  <c r="AS204" i="40" s="1"/>
  <c r="S185" i="40"/>
  <c r="S212" i="40" s="1" a="1"/>
  <c r="S212" i="40" s="1"/>
  <c r="I194" i="40"/>
  <c r="I221" i="40" s="1" a="1"/>
  <c r="I221" i="40" s="1"/>
  <c r="AS180" i="40"/>
  <c r="AS207" i="40" s="1" a="1"/>
  <c r="AS207" i="40" s="1"/>
  <c r="BA188" i="40"/>
  <c r="BA215" i="40" s="1" a="1"/>
  <c r="BA215" i="40" s="1"/>
  <c r="AA177" i="40"/>
  <c r="AA204" i="40" s="1" a="1"/>
  <c r="AA204" i="40" s="1"/>
  <c r="AX184" i="40"/>
  <c r="AX211" i="40" s="1" a="1"/>
  <c r="AX211" i="40" s="1"/>
  <c r="AI193" i="40"/>
  <c r="AI220" i="40" s="1" a="1"/>
  <c r="AI220" i="40" s="1"/>
  <c r="AA180" i="40"/>
  <c r="AA207" i="40" s="1" a="1"/>
  <c r="AA207" i="40" s="1"/>
  <c r="AI188" i="40"/>
  <c r="AI215" i="40" s="1" a="1"/>
  <c r="AI215" i="40" s="1"/>
  <c r="H177" i="40"/>
  <c r="H204" i="40" s="1" a="1"/>
  <c r="H204" i="40" s="1"/>
  <c r="AF184" i="40"/>
  <c r="AF211" i="40" s="1" a="1"/>
  <c r="AF211" i="40" s="1"/>
  <c r="O193" i="40"/>
  <c r="O220" i="40" s="1" a="1"/>
  <c r="O220" i="40" s="1"/>
  <c r="AC180" i="40"/>
  <c r="AC207" i="40" s="1" a="1"/>
  <c r="AC207" i="40" s="1"/>
  <c r="AK188" i="40"/>
  <c r="AK215" i="40" s="1" a="1"/>
  <c r="AK215" i="40" s="1"/>
  <c r="J177" i="40"/>
  <c r="J204" i="40" s="1" a="1"/>
  <c r="J204" i="40" s="1"/>
  <c r="AH184" i="40"/>
  <c r="AH211" i="40" s="1" a="1"/>
  <c r="AH211" i="40" s="1"/>
  <c r="Q193" i="40"/>
  <c r="Q220" i="40" s="1" a="1"/>
  <c r="Q220" i="40" s="1"/>
  <c r="AE180" i="40"/>
  <c r="AE207" i="40" s="1" a="1"/>
  <c r="AE207" i="40" s="1"/>
  <c r="AM188" i="40"/>
  <c r="AM215" i="40" s="1" a="1"/>
  <c r="AM215" i="40" s="1"/>
  <c r="M177" i="40"/>
  <c r="M204" i="40" s="1" a="1"/>
  <c r="M204" i="40" s="1"/>
  <c r="AJ184" i="40"/>
  <c r="AJ211" i="40" s="1" a="1"/>
  <c r="AJ211" i="40" s="1"/>
  <c r="S193" i="40"/>
  <c r="S220" i="40" s="1" a="1"/>
  <c r="S220" i="40" s="1"/>
  <c r="K187" i="40"/>
  <c r="K214" i="40" s="1" a="1"/>
  <c r="K214" i="40" s="1"/>
  <c r="AV185" i="40"/>
  <c r="AV212" i="40" s="1" a="1"/>
  <c r="AV212" i="40" s="1"/>
  <c r="T196" i="40"/>
  <c r="T223" i="40" s="1" a="1"/>
  <c r="T223" i="40" s="1"/>
  <c r="AL184" i="40"/>
  <c r="AL211" i="40" s="1" a="1"/>
  <c r="AL211" i="40" s="1"/>
  <c r="U193" i="40"/>
  <c r="U220" i="40" s="1" a="1"/>
  <c r="U220" i="40" s="1"/>
  <c r="AG178" i="40"/>
  <c r="AG205" i="40" s="1" a="1"/>
  <c r="AG205" i="40" s="1"/>
  <c r="AO186" i="40"/>
  <c r="AO213" i="40" s="1" a="1"/>
  <c r="AO213" i="40" s="1"/>
  <c r="AR195" i="40"/>
  <c r="AR222" i="40" s="1" a="1"/>
  <c r="AR222" i="40" s="1"/>
  <c r="C185" i="40"/>
  <c r="C212" i="40" s="1" a="1"/>
  <c r="C212" i="40" s="1"/>
  <c r="AE185" i="40"/>
  <c r="AE212" i="40" s="1" a="1"/>
  <c r="AE212" i="40" s="1"/>
  <c r="X194" i="40"/>
  <c r="X221" i="40" s="1" a="1"/>
  <c r="X221" i="40" s="1"/>
  <c r="AK180" i="40"/>
  <c r="AK207" i="40" s="1" a="1"/>
  <c r="AK207" i="40" s="1"/>
  <c r="AS188" i="40"/>
  <c r="AS215" i="40" s="1" a="1"/>
  <c r="AS215" i="40" s="1"/>
  <c r="AM177" i="40"/>
  <c r="AM204" i="40" s="1" a="1"/>
  <c r="AM204" i="40" s="1"/>
  <c r="V184" i="40"/>
  <c r="V211" i="40" s="1" a="1"/>
  <c r="V211" i="40" s="1"/>
  <c r="AV192" i="40"/>
  <c r="AV219" i="40" s="1" a="1"/>
  <c r="AV219" i="40" s="1"/>
  <c r="AM180" i="40"/>
  <c r="AM207" i="40" s="1" a="1"/>
  <c r="AM207" i="40" s="1"/>
  <c r="AH122" i="40"/>
  <c r="AH149" i="40" s="1"/>
  <c r="Y122" i="40"/>
  <c r="Y149" i="40" s="1"/>
  <c r="O176" i="40"/>
  <c r="O203" i="40" s="1" a="1"/>
  <c r="O203" i="40" s="1"/>
  <c r="AI176" i="40"/>
  <c r="AI203" i="40" s="1" a="1"/>
  <c r="AI203" i="40" s="1"/>
  <c r="G175" i="40"/>
  <c r="G202" i="40" s="1" a="1"/>
  <c r="G202" i="40" s="1"/>
  <c r="AA175" i="40"/>
  <c r="AA202" i="40" s="1" a="1"/>
  <c r="AA202" i="40" s="1"/>
  <c r="AU175" i="40"/>
  <c r="AU202" i="40" s="1" a="1"/>
  <c r="AU202" i="40" s="1"/>
  <c r="S176" i="40"/>
  <c r="S203" i="40" s="1" a="1"/>
  <c r="S203" i="40" s="1"/>
  <c r="AN176" i="40"/>
  <c r="AN203" i="40" s="1" a="1"/>
  <c r="AN203" i="40" s="1"/>
  <c r="M175" i="40"/>
  <c r="M202" i="40" s="1" a="1"/>
  <c r="M202" i="40" s="1"/>
  <c r="AH175" i="40"/>
  <c r="AH202" i="40" s="1" a="1"/>
  <c r="AH202" i="40" s="1"/>
  <c r="AJ175" i="40"/>
  <c r="AJ202" i="40" s="1" a="1"/>
  <c r="AJ202" i="40" s="1"/>
  <c r="T176" i="40"/>
  <c r="T203" i="40" s="1" a="1"/>
  <c r="T203" i="40" s="1"/>
  <c r="AO176" i="40"/>
  <c r="AO203" i="40" s="1" a="1"/>
  <c r="AO203" i="40" s="1"/>
  <c r="N175" i="40"/>
  <c r="N202" i="40" s="1" a="1"/>
  <c r="N202" i="40" s="1"/>
  <c r="AI175" i="40"/>
  <c r="AI202" i="40" s="1" a="1"/>
  <c r="AI202" i="40" s="1"/>
  <c r="AZ176" i="40"/>
  <c r="AZ203" i="40" s="1" a="1"/>
  <c r="AZ203" i="40" s="1"/>
  <c r="U176" i="40"/>
  <c r="U203" i="40" s="1" a="1"/>
  <c r="U203" i="40" s="1"/>
  <c r="AP176" i="40"/>
  <c r="AP203" i="40" s="1" a="1"/>
  <c r="AP203" i="40" s="1"/>
  <c r="O175" i="40"/>
  <c r="O202" i="40" s="1" a="1"/>
  <c r="O202" i="40" s="1"/>
  <c r="BA176" i="40"/>
  <c r="BA203" i="40" s="1" a="1"/>
  <c r="BA203" i="40" s="1"/>
  <c r="V176" i="40"/>
  <c r="V203" i="40" s="1" a="1"/>
  <c r="V203" i="40" s="1"/>
  <c r="AQ176" i="40"/>
  <c r="AQ203" i="40" s="1" a="1"/>
  <c r="AQ203" i="40" s="1"/>
  <c r="P175" i="40"/>
  <c r="P202" i="40" s="1" a="1"/>
  <c r="P202" i="40" s="1"/>
  <c r="AK175" i="40"/>
  <c r="AK202" i="40" s="1" a="1"/>
  <c r="AK202" i="40" s="1"/>
  <c r="BA175" i="40"/>
  <c r="BA202" i="40" s="1" a="1"/>
  <c r="BA202" i="40" s="1"/>
  <c r="W176" i="40"/>
  <c r="W203" i="40" s="1" a="1"/>
  <c r="W203" i="40" s="1"/>
  <c r="AR176" i="40"/>
  <c r="AR203" i="40" s="1" a="1"/>
  <c r="AR203" i="40" s="1"/>
  <c r="Q175" i="40"/>
  <c r="Q202" i="40" s="1" a="1"/>
  <c r="Q202" i="40" s="1"/>
  <c r="AL175" i="40"/>
  <c r="AL202" i="40" s="1" a="1"/>
  <c r="AL202" i="40" s="1"/>
  <c r="C176" i="40"/>
  <c r="C203" i="40" s="1" a="1"/>
  <c r="C203" i="40" s="1"/>
  <c r="X176" i="40"/>
  <c r="X203" i="40" s="1" a="1"/>
  <c r="X203" i="40" s="1"/>
  <c r="AS176" i="40"/>
  <c r="AS203" i="40" s="1" a="1"/>
  <c r="AS203" i="40" s="1"/>
  <c r="R175" i="40"/>
  <c r="R202" i="40" s="1" a="1"/>
  <c r="R202" i="40" s="1"/>
  <c r="AM175" i="40"/>
  <c r="AM202" i="40" s="1" a="1"/>
  <c r="AM202" i="40" s="1"/>
  <c r="D176" i="40"/>
  <c r="D203" i="40" s="1" a="1"/>
  <c r="D203" i="40" s="1"/>
  <c r="Y176" i="40"/>
  <c r="Y203" i="40" s="1" a="1"/>
  <c r="Y203" i="40" s="1"/>
  <c r="AT176" i="40"/>
  <c r="AT203" i="40" s="1" a="1"/>
  <c r="AT203" i="40" s="1"/>
  <c r="S175" i="40"/>
  <c r="S202" i="40" s="1" a="1"/>
  <c r="S202" i="40" s="1"/>
  <c r="AN175" i="40"/>
  <c r="AN202" i="40" s="1" a="1"/>
  <c r="AN202" i="40" s="1"/>
  <c r="E176" i="40"/>
  <c r="E203" i="40" s="1" a="1"/>
  <c r="E203" i="40" s="1"/>
  <c r="Z176" i="40"/>
  <c r="Z203" i="40" s="1" a="1"/>
  <c r="Z203" i="40" s="1"/>
  <c r="AU176" i="40"/>
  <c r="AU203" i="40" s="1" a="1"/>
  <c r="AU203" i="40" s="1"/>
  <c r="T175" i="40"/>
  <c r="T202" i="40" s="1" a="1"/>
  <c r="T202" i="40" s="1"/>
  <c r="AO175" i="40"/>
  <c r="AO202" i="40" s="1" a="1"/>
  <c r="AO202" i="40" s="1"/>
  <c r="F176" i="40"/>
  <c r="F203" i="40" s="1" a="1"/>
  <c r="F203" i="40" s="1"/>
  <c r="U175" i="40"/>
  <c r="U202" i="40" s="1" a="1"/>
  <c r="U202" i="40" s="1"/>
  <c r="AA176" i="40"/>
  <c r="AA203" i="40" s="1" a="1"/>
  <c r="AA203" i="40" s="1"/>
  <c r="AV176" i="40"/>
  <c r="AV203" i="40" s="1" a="1"/>
  <c r="AV203" i="40" s="1"/>
  <c r="AP175" i="40"/>
  <c r="AP202" i="40" s="1" a="1"/>
  <c r="AP202" i="40" s="1"/>
  <c r="G176" i="40"/>
  <c r="G203" i="40" s="1" a="1"/>
  <c r="G203" i="40" s="1"/>
  <c r="AB176" i="40"/>
  <c r="AB203" i="40" s="1" a="1"/>
  <c r="AB203" i="40" s="1"/>
  <c r="AW176" i="40"/>
  <c r="AW203" i="40" s="1" a="1"/>
  <c r="AW203" i="40" s="1"/>
  <c r="V175" i="40"/>
  <c r="V202" i="40" s="1" a="1"/>
  <c r="V202" i="40" s="1"/>
  <c r="AQ175" i="40"/>
  <c r="AQ202" i="40" s="1" a="1"/>
  <c r="AQ202" i="40" s="1"/>
  <c r="H176" i="40"/>
  <c r="H203" i="40" s="1" a="1"/>
  <c r="H203" i="40" s="1"/>
  <c r="AC176" i="40"/>
  <c r="AC203" i="40" s="1" a="1"/>
  <c r="AC203" i="40" s="1"/>
  <c r="AX176" i="40"/>
  <c r="AX203" i="40" s="1" a="1"/>
  <c r="AX203" i="40" s="1"/>
  <c r="W175" i="40"/>
  <c r="W202" i="40" s="1" a="1"/>
  <c r="W202" i="40" s="1"/>
  <c r="AR175" i="40"/>
  <c r="AR202" i="40" s="1" a="1"/>
  <c r="AR202" i="40" s="1"/>
  <c r="I176" i="40"/>
  <c r="I203" i="40" s="1" a="1"/>
  <c r="I203" i="40" s="1"/>
  <c r="AD176" i="40"/>
  <c r="AD203" i="40" s="1" a="1"/>
  <c r="AD203" i="40" s="1"/>
  <c r="AY176" i="40"/>
  <c r="AY203" i="40" s="1" a="1"/>
  <c r="AY203" i="40" s="1"/>
  <c r="X175" i="40"/>
  <c r="X202" i="40" s="1" a="1"/>
  <c r="X202" i="40" s="1"/>
  <c r="AS175" i="40"/>
  <c r="AS202" i="40" s="1" a="1"/>
  <c r="AS202" i="40" s="1"/>
  <c r="J176" i="40"/>
  <c r="J203" i="40" s="1" a="1"/>
  <c r="J203" i="40" s="1"/>
  <c r="AE176" i="40"/>
  <c r="AE203" i="40" s="1" a="1"/>
  <c r="AE203" i="40" s="1"/>
  <c r="D175" i="40"/>
  <c r="D202" i="40" s="1" a="1"/>
  <c r="D202" i="40" s="1"/>
  <c r="Y175" i="40"/>
  <c r="Y202" i="40" s="1" a="1"/>
  <c r="Y202" i="40" s="1"/>
  <c r="AT175" i="40"/>
  <c r="AT202" i="40" s="1" a="1"/>
  <c r="AT202" i="40" s="1"/>
  <c r="K176" i="40"/>
  <c r="K203" i="40" s="1" a="1"/>
  <c r="K203" i="40" s="1"/>
  <c r="AF176" i="40"/>
  <c r="AF203" i="40" s="1" a="1"/>
  <c r="AF203" i="40" s="1"/>
  <c r="E175" i="40"/>
  <c r="E202" i="40" s="1" a="1"/>
  <c r="E202" i="40" s="1"/>
  <c r="Z175" i="40"/>
  <c r="Z202" i="40" s="1" a="1"/>
  <c r="Z202" i="40" s="1"/>
  <c r="AV175" i="40"/>
  <c r="AV202" i="40" s="1" a="1"/>
  <c r="AV202" i="40" s="1"/>
  <c r="L176" i="40"/>
  <c r="L203" i="40" s="1" a="1"/>
  <c r="L203" i="40" s="1"/>
  <c r="AG176" i="40"/>
  <c r="AG203" i="40" s="1" a="1"/>
  <c r="AG203" i="40" s="1"/>
  <c r="F175" i="40"/>
  <c r="F202" i="40" s="1" a="1"/>
  <c r="F202" i="40" s="1"/>
  <c r="AB175" i="40"/>
  <c r="AB202" i="40" s="1" a="1"/>
  <c r="AB202" i="40" s="1"/>
  <c r="AW175" i="40"/>
  <c r="AW202" i="40" s="1" a="1"/>
  <c r="AW202" i="40" s="1"/>
  <c r="M176" i="40"/>
  <c r="M203" i="40" s="1" a="1"/>
  <c r="M203" i="40" s="1"/>
  <c r="AH176" i="40"/>
  <c r="AH203" i="40" s="1" a="1"/>
  <c r="AH203" i="40" s="1"/>
  <c r="H175" i="40"/>
  <c r="H202" i="40" s="1" a="1"/>
  <c r="H202" i="40" s="1"/>
  <c r="AC175" i="40"/>
  <c r="AC202" i="40" s="1" a="1"/>
  <c r="AC202" i="40" s="1"/>
  <c r="AX175" i="40"/>
  <c r="AX202" i="40" s="1" a="1"/>
  <c r="AX202" i="40" s="1"/>
  <c r="K175" i="40"/>
  <c r="K202" i="40" s="1" a="1"/>
  <c r="K202" i="40" s="1"/>
  <c r="L175" i="40"/>
  <c r="L202" i="40" s="1" a="1"/>
  <c r="L202" i="40" s="1"/>
  <c r="I175" i="40"/>
  <c r="I202" i="40" s="1" a="1"/>
  <c r="I202" i="40" s="1"/>
  <c r="AD175" i="40"/>
  <c r="AD202" i="40" s="1" a="1"/>
  <c r="AD202" i="40" s="1"/>
  <c r="AE175" i="40"/>
  <c r="AE202" i="40" s="1" a="1"/>
  <c r="AE202" i="40" s="1"/>
  <c r="AF175" i="40"/>
  <c r="AF202" i="40" s="1" a="1"/>
  <c r="AF202" i="40" s="1"/>
  <c r="AY175" i="40"/>
  <c r="AY202" i="40" s="1" a="1"/>
  <c r="AY202" i="40" s="1"/>
  <c r="AG175" i="40"/>
  <c r="AG202" i="40" s="1" a="1"/>
  <c r="AG202" i="40" s="1"/>
  <c r="AM176" i="40"/>
  <c r="AM203" i="40" s="1" a="1"/>
  <c r="AM203" i="40" s="1"/>
  <c r="AZ175" i="40"/>
  <c r="AZ202" i="40" s="1" a="1"/>
  <c r="AZ202" i="40" s="1"/>
  <c r="AL176" i="40"/>
  <c r="AL203" i="40" s="1" a="1"/>
  <c r="AL203" i="40" s="1"/>
  <c r="J175" i="40"/>
  <c r="J202" i="40" s="1" a="1"/>
  <c r="J202" i="40" s="1"/>
  <c r="AK176" i="40"/>
  <c r="AK203" i="40" s="1" a="1"/>
  <c r="AK203" i="40" s="1"/>
  <c r="C175" i="40"/>
  <c r="C202" i="40" s="1" a="1"/>
  <c r="C202" i="40" s="1"/>
  <c r="N176" i="40"/>
  <c r="N203" i="40" s="1" a="1"/>
  <c r="N203" i="40" s="1"/>
  <c r="P176" i="40"/>
  <c r="P203" i="40" s="1" a="1"/>
  <c r="P203" i="40" s="1"/>
  <c r="Q176" i="40"/>
  <c r="Q203" i="40" s="1" a="1"/>
  <c r="Q203" i="40" s="1"/>
  <c r="R176" i="40"/>
  <c r="R203" i="40" s="1" a="1"/>
  <c r="R203" i="40" s="1"/>
  <c r="AJ176" i="40"/>
  <c r="AJ203" i="40" s="1" a="1"/>
  <c r="AJ203" i="40" s="1"/>
  <c r="AK185" i="40"/>
  <c r="AK212" i="40" s="1" a="1"/>
  <c r="AK212" i="40" s="1"/>
  <c r="AD194" i="40"/>
  <c r="AD221" i="40" s="1" a="1"/>
  <c r="AD221" i="40" s="1"/>
  <c r="AH181" i="40"/>
  <c r="AH208" i="40" s="1" a="1"/>
  <c r="AH208" i="40" s="1"/>
  <c r="AP189" i="40"/>
  <c r="AP216" i="40" s="1" a="1"/>
  <c r="AP216" i="40" s="1"/>
  <c r="C189" i="40"/>
  <c r="C216" i="40" s="1" a="1"/>
  <c r="C216" i="40" s="1"/>
  <c r="AM185" i="40"/>
  <c r="AM212" i="40" s="1" a="1"/>
  <c r="AM212" i="40" s="1"/>
  <c r="AG194" i="40"/>
  <c r="AG221" i="40" s="1" a="1"/>
  <c r="AG221" i="40" s="1"/>
  <c r="P181" i="40"/>
  <c r="P208" i="40" s="1" a="1"/>
  <c r="P208" i="40" s="1"/>
  <c r="X189" i="40"/>
  <c r="X216" i="40" s="1" a="1"/>
  <c r="X216" i="40" s="1"/>
  <c r="AU177" i="40"/>
  <c r="AU204" i="40" s="1" a="1"/>
  <c r="AU204" i="40" s="1"/>
  <c r="U185" i="40"/>
  <c r="U212" i="40" s="1" a="1"/>
  <c r="U212" i="40" s="1"/>
  <c r="M194" i="40"/>
  <c r="M221" i="40" s="1" a="1"/>
  <c r="M221" i="40" s="1"/>
  <c r="AU180" i="40"/>
  <c r="AU207" i="40" s="1" a="1"/>
  <c r="AU207" i="40" s="1"/>
  <c r="E189" i="40"/>
  <c r="E216" i="40" s="1" a="1"/>
  <c r="E216" i="40" s="1"/>
  <c r="AC177" i="40"/>
  <c r="AC204" i="40" s="1" a="1"/>
  <c r="AC204" i="40" s="1"/>
  <c r="AZ184" i="40"/>
  <c r="AZ211" i="40" s="1" a="1"/>
  <c r="AZ211" i="40" s="1"/>
  <c r="AK193" i="40"/>
  <c r="AK220" i="40" s="1" a="1"/>
  <c r="AK220" i="40" s="1"/>
  <c r="AW180" i="40"/>
  <c r="AW207" i="40" s="1" a="1"/>
  <c r="AW207" i="40" s="1"/>
  <c r="G189" i="40"/>
  <c r="G216" i="40" s="1" a="1"/>
  <c r="G216" i="40" s="1"/>
  <c r="AE177" i="40"/>
  <c r="AE204" i="40" s="1" a="1"/>
  <c r="AE204" i="40" s="1"/>
  <c r="D185" i="40"/>
  <c r="D212" i="40" s="1" a="1"/>
  <c r="D212" i="40" s="1"/>
  <c r="AM193" i="40"/>
  <c r="AM220" i="40" s="1" a="1"/>
  <c r="AM220" i="40" s="1"/>
  <c r="AY180" i="40"/>
  <c r="AY207" i="40" s="1" a="1"/>
  <c r="AY207" i="40" s="1"/>
  <c r="I189" i="40"/>
  <c r="I216" i="40" s="1" a="1"/>
  <c r="I216" i="40" s="1"/>
  <c r="AG177" i="40"/>
  <c r="AG204" i="40" s="1" a="1"/>
  <c r="AG204" i="40" s="1"/>
  <c r="F185" i="40"/>
  <c r="F212" i="40" s="1" a="1"/>
  <c r="F212" i="40" s="1"/>
  <c r="AO193" i="40"/>
  <c r="AO220" i="40" s="1" a="1"/>
  <c r="AO220" i="40" s="1"/>
  <c r="J178" i="40"/>
  <c r="J205" i="40" s="1" a="1"/>
  <c r="J205" i="40" s="1"/>
  <c r="S186" i="40"/>
  <c r="S213" i="40" s="1" a="1"/>
  <c r="S213" i="40" s="1"/>
  <c r="T197" i="40"/>
  <c r="T224" i="40" s="1" a="1"/>
  <c r="T224" i="40" s="1"/>
  <c r="H185" i="40"/>
  <c r="H212" i="40" s="1" a="1"/>
  <c r="H212" i="40" s="1"/>
  <c r="AQ193" i="40"/>
  <c r="AQ220" i="40" s="1" a="1"/>
  <c r="AQ220" i="40" s="1"/>
  <c r="BA178" i="40"/>
  <c r="BA205" i="40" s="1" a="1"/>
  <c r="BA205" i="40" s="1"/>
  <c r="L187" i="40"/>
  <c r="L214" i="40" s="1" a="1"/>
  <c r="L214" i="40" s="1"/>
  <c r="V196" i="40"/>
  <c r="V223" i="40" s="1" a="1"/>
  <c r="V223" i="40" s="1"/>
  <c r="K190" i="40"/>
  <c r="K217" i="40" s="1" a="1"/>
  <c r="K217" i="40" s="1"/>
  <c r="AY185" i="40"/>
  <c r="AY212" i="40" s="1" a="1"/>
  <c r="AY212" i="40" s="1"/>
  <c r="AS194" i="40"/>
  <c r="AS221" i="40" s="1" a="1"/>
  <c r="AS221" i="40" s="1"/>
  <c r="G181" i="40"/>
  <c r="G208" i="40" s="1" a="1"/>
  <c r="G208" i="40" s="1"/>
  <c r="AJ189" i="40"/>
  <c r="AJ216" i="40" s="1" a="1"/>
  <c r="AJ216" i="40" s="1"/>
  <c r="C183" i="40"/>
  <c r="C210" i="40" s="1" a="1"/>
  <c r="C210" i="40" s="1"/>
  <c r="AP184" i="40"/>
  <c r="AP211" i="40" s="1" a="1"/>
  <c r="AP211" i="40" s="1"/>
  <c r="Z193" i="40"/>
  <c r="Z220" i="40" s="1" a="1"/>
  <c r="Z220" i="40" s="1"/>
  <c r="I181" i="40"/>
  <c r="I208" i="40" s="1" a="1"/>
  <c r="I208" i="40" s="1"/>
  <c r="AA197" i="40"/>
  <c r="AA224" i="40" s="1" a="1"/>
  <c r="AA224" i="40" s="1"/>
  <c r="AC191" i="40"/>
  <c r="AC218" i="40" s="1" a="1"/>
  <c r="AC218" i="40" s="1"/>
  <c r="AO122" i="40"/>
  <c r="AO149" i="40" s="1"/>
  <c r="L122" i="40"/>
  <c r="L149" i="40" s="1"/>
  <c r="H122" i="40"/>
  <c r="H149" i="40" s="1"/>
  <c r="D122" i="40"/>
  <c r="D149" i="40" s="1"/>
  <c r="K196" i="40"/>
  <c r="K223" i="40" s="1" a="1"/>
  <c r="K223" i="40" s="1"/>
  <c r="G186" i="40"/>
  <c r="G213" i="40" s="1" a="1"/>
  <c r="G213" i="40" s="1"/>
  <c r="AZ194" i="40"/>
  <c r="AZ221" i="40" s="1" a="1"/>
  <c r="AZ221" i="40" s="1"/>
  <c r="D182" i="40"/>
  <c r="D209" i="40" s="1" a="1"/>
  <c r="D209" i="40" s="1"/>
  <c r="M190" i="40"/>
  <c r="M217" i="40" s="1" a="1"/>
  <c r="M217" i="40" s="1"/>
  <c r="K178" i="40"/>
  <c r="K205" i="40" s="1" a="1"/>
  <c r="K205" i="40" s="1"/>
  <c r="I186" i="40"/>
  <c r="I213" i="40" s="1" a="1"/>
  <c r="I213" i="40" s="1"/>
  <c r="I195" i="40"/>
  <c r="I222" i="40" s="1" a="1"/>
  <c r="I222" i="40" s="1"/>
  <c r="AJ181" i="40"/>
  <c r="AJ208" i="40" s="1" a="1"/>
  <c r="AJ208" i="40" s="1"/>
  <c r="AR189" i="40"/>
  <c r="AR216" i="40" s="1" a="1"/>
  <c r="AR216" i="40" s="1"/>
  <c r="D177" i="40"/>
  <c r="D204" i="40" s="1" a="1"/>
  <c r="D204" i="40" s="1"/>
  <c r="AO185" i="40"/>
  <c r="AO212" i="40" s="1" a="1"/>
  <c r="AO212" i="40" s="1"/>
  <c r="AI194" i="40"/>
  <c r="AI221" i="40" s="1" a="1"/>
  <c r="AI221" i="40" s="1"/>
  <c r="R181" i="40"/>
  <c r="R208" i="40" s="1" a="1"/>
  <c r="R208" i="40" s="1"/>
  <c r="Z189" i="40"/>
  <c r="Z216" i="40" s="1" a="1"/>
  <c r="Z216" i="40" s="1"/>
  <c r="AW177" i="40"/>
  <c r="AW204" i="40" s="1" a="1"/>
  <c r="AW204" i="40" s="1"/>
  <c r="W185" i="40"/>
  <c r="W212" i="40" s="1" a="1"/>
  <c r="W212" i="40" s="1"/>
  <c r="O194" i="40"/>
  <c r="O221" i="40" s="1" a="1"/>
  <c r="O221" i="40" s="1"/>
  <c r="T181" i="40"/>
  <c r="T208" i="40" s="1" a="1"/>
  <c r="T208" i="40" s="1"/>
  <c r="AB189" i="40"/>
  <c r="AB216" i="40" s="1" a="1"/>
  <c r="AB216" i="40" s="1"/>
  <c r="AY177" i="40"/>
  <c r="AY204" i="40" s="1" a="1"/>
  <c r="AY204" i="40" s="1"/>
  <c r="Y185" i="40"/>
  <c r="Y212" i="40" s="1" a="1"/>
  <c r="Y212" i="40" s="1"/>
  <c r="Q194" i="40"/>
  <c r="Q221" i="40" s="1" a="1"/>
  <c r="Q221" i="40" s="1"/>
  <c r="V181" i="40"/>
  <c r="V208" i="40" s="1" a="1"/>
  <c r="V208" i="40" s="1"/>
  <c r="AD189" i="40"/>
  <c r="AD216" i="40" s="1" a="1"/>
  <c r="AD216" i="40" s="1"/>
  <c r="BA177" i="40"/>
  <c r="BA204" i="40" s="1" a="1"/>
  <c r="BA204" i="40" s="1"/>
  <c r="AA185" i="40"/>
  <c r="AA212" i="40" s="1" a="1"/>
  <c r="AA212" i="40" s="1"/>
  <c r="S194" i="40"/>
  <c r="S221" i="40" s="1" a="1"/>
  <c r="S221" i="40" s="1"/>
  <c r="AE178" i="40"/>
  <c r="AE205" i="40" s="1" a="1"/>
  <c r="AE205" i="40" s="1"/>
  <c r="I187" i="40"/>
  <c r="I214" i="40" s="1" a="1"/>
  <c r="I214" i="40" s="1"/>
  <c r="AI177" i="40"/>
  <c r="AI204" i="40" s="1" a="1"/>
  <c r="AI204" i="40" s="1"/>
  <c r="AC185" i="40"/>
  <c r="AC212" i="40" s="1" a="1"/>
  <c r="AC212" i="40" s="1"/>
  <c r="U194" i="40"/>
  <c r="U221" i="40" s="1" a="1"/>
  <c r="U221" i="40" s="1"/>
  <c r="X179" i="40"/>
  <c r="X206" i="40" s="1" a="1"/>
  <c r="X206" i="40" s="1"/>
  <c r="AF187" i="40"/>
  <c r="AF214" i="40" s="1" a="1"/>
  <c r="AF214" i="40" s="1"/>
  <c r="AR196" i="40"/>
  <c r="AR223" i="40" s="1" a="1"/>
  <c r="AR223" i="40" s="1"/>
  <c r="N178" i="40"/>
  <c r="N205" i="40" s="1" a="1"/>
  <c r="N205" i="40" s="1"/>
  <c r="V186" i="40"/>
  <c r="V213" i="40" s="1" a="1"/>
  <c r="V213" i="40" s="1"/>
  <c r="X195" i="40"/>
  <c r="X222" i="40" s="1" a="1"/>
  <c r="X222" i="40" s="1"/>
  <c r="AB181" i="40"/>
  <c r="AB208" i="40" s="1" a="1"/>
  <c r="AB208" i="40" s="1"/>
  <c r="F190" i="40"/>
  <c r="F217" i="40" s="1" a="1"/>
  <c r="F217" i="40" s="1"/>
  <c r="Q178" i="40"/>
  <c r="Q205" i="40" s="1" a="1"/>
  <c r="Q205" i="40" s="1"/>
  <c r="M185" i="40"/>
  <c r="M212" i="40" s="1" a="1"/>
  <c r="M212" i="40" s="1"/>
  <c r="AV193" i="40"/>
  <c r="AV220" i="40" s="1" a="1"/>
  <c r="AV220" i="40" s="1"/>
  <c r="AX181" i="40"/>
  <c r="AX208" i="40" s="1" a="1"/>
  <c r="AX208" i="40" s="1"/>
  <c r="U177" i="40"/>
  <c r="U204" i="40" s="1" a="1"/>
  <c r="U204" i="40" s="1"/>
  <c r="I144" i="40"/>
  <c r="I171" i="40" s="1"/>
  <c r="AD144" i="40"/>
  <c r="AD171" i="40" s="1"/>
  <c r="AA144" i="40"/>
  <c r="AA171" i="40" s="1"/>
  <c r="S144" i="40"/>
  <c r="S171" i="40" s="1"/>
  <c r="AC144" i="40"/>
  <c r="AC171" i="40" s="1"/>
  <c r="AM144" i="40"/>
  <c r="AM171" i="40" s="1"/>
  <c r="AI144" i="40"/>
  <c r="AI171" i="40" s="1"/>
  <c r="Y144" i="40"/>
  <c r="Y171" i="40" s="1"/>
  <c r="AW144" i="40"/>
  <c r="AW171" i="40" s="1"/>
  <c r="AB144" i="40"/>
  <c r="AB171" i="40" s="1"/>
  <c r="AB306" i="40" s="1"/>
  <c r="AL144" i="40"/>
  <c r="AL171" i="40" s="1"/>
  <c r="AV144" i="40"/>
  <c r="AV171" i="40" s="1"/>
  <c r="AR144" i="40"/>
  <c r="AR171" i="40" s="1"/>
  <c r="AH144" i="40"/>
  <c r="AH171" i="40" s="1"/>
  <c r="P144" i="40"/>
  <c r="P171" i="40" s="1"/>
  <c r="AT117" i="40"/>
  <c r="AT198" i="40"/>
  <c r="AT225" i="40" s="1" a="1"/>
  <c r="AT225" i="40" s="1"/>
  <c r="AK144" i="40"/>
  <c r="AK171" i="40" s="1"/>
  <c r="AU144" i="40"/>
  <c r="AU171" i="40" s="1"/>
  <c r="AQ144" i="40"/>
  <c r="AQ171" i="40" s="1"/>
  <c r="O144" i="40"/>
  <c r="O171" i="40" s="1"/>
  <c r="AP144" i="40"/>
  <c r="AP171" i="40" s="1"/>
  <c r="T144" i="40"/>
  <c r="T171" i="40" s="1"/>
  <c r="AS144" i="40"/>
  <c r="AS171" i="40" s="1"/>
  <c r="Z144" i="40"/>
  <c r="Z171" i="40" s="1"/>
  <c r="N144" i="40"/>
  <c r="N171" i="40" s="1"/>
  <c r="X144" i="40"/>
  <c r="X171" i="40" s="1"/>
  <c r="AY144" i="40"/>
  <c r="AY171" i="40" s="1"/>
  <c r="K136" i="40"/>
  <c r="K163" i="40" s="1"/>
  <c r="AH124" i="40"/>
  <c r="AH151" i="40" s="1"/>
  <c r="Q125" i="40"/>
  <c r="Q152" i="40" s="1"/>
  <c r="AW125" i="40"/>
  <c r="AW152" i="40" s="1"/>
  <c r="AF126" i="40"/>
  <c r="AF153" i="40" s="1"/>
  <c r="O127" i="40"/>
  <c r="O154" i="40" s="1"/>
  <c r="AU127" i="40"/>
  <c r="AU154" i="40" s="1"/>
  <c r="AD128" i="40"/>
  <c r="AD155" i="40" s="1"/>
  <c r="M129" i="40"/>
  <c r="M156" i="40" s="1"/>
  <c r="AS129" i="40"/>
  <c r="AS156" i="40" s="1"/>
  <c r="AB130" i="40"/>
  <c r="AB157" i="40" s="1"/>
  <c r="J131" i="40"/>
  <c r="J158" i="40" s="1"/>
  <c r="AQ131" i="40"/>
  <c r="AQ158" i="40" s="1"/>
  <c r="Z132" i="40"/>
  <c r="Z159" i="40" s="1"/>
  <c r="H133" i="40"/>
  <c r="H160" i="40" s="1"/>
  <c r="AO133" i="40"/>
  <c r="AO160" i="40" s="1"/>
  <c r="X134" i="40"/>
  <c r="X161" i="40" s="1"/>
  <c r="F135" i="40"/>
  <c r="F162" i="40" s="1"/>
  <c r="AM135" i="40"/>
  <c r="AM162" i="40" s="1"/>
  <c r="V136" i="40"/>
  <c r="V163" i="40" s="1"/>
  <c r="I137" i="40"/>
  <c r="I164" i="40" s="1"/>
  <c r="AS137" i="40"/>
  <c r="AS164" i="40" s="1"/>
  <c r="AK138" i="40"/>
  <c r="AK165" i="40" s="1"/>
  <c r="AB139" i="40"/>
  <c r="AB166" i="40" s="1"/>
  <c r="S140" i="40"/>
  <c r="S167" i="40" s="1"/>
  <c r="I141" i="40"/>
  <c r="I168" i="40" s="1"/>
  <c r="AS141" i="40"/>
  <c r="AS168" i="40" s="1"/>
  <c r="AK142" i="40"/>
  <c r="AK169" i="40" s="1"/>
  <c r="N123" i="40"/>
  <c r="N150" i="40" s="1"/>
  <c r="AT123" i="40"/>
  <c r="AT150" i="40" s="1"/>
  <c r="AJ126" i="40"/>
  <c r="AJ153" i="40" s="1"/>
  <c r="AA127" i="40"/>
  <c r="AA154" i="40" s="1"/>
  <c r="AW129" i="40"/>
  <c r="AW156" i="40" s="1"/>
  <c r="AD132" i="40"/>
  <c r="AD159" i="40" s="1"/>
  <c r="BA133" i="40"/>
  <c r="BA160" i="40" s="1"/>
  <c r="AQ135" i="40"/>
  <c r="AQ162" i="40" s="1"/>
  <c r="O138" i="40"/>
  <c r="O165" i="40" s="1"/>
  <c r="AO141" i="40"/>
  <c r="AO168" i="40" s="1"/>
  <c r="I123" i="40"/>
  <c r="I150" i="40" s="1"/>
  <c r="O124" i="40"/>
  <c r="O151" i="40" s="1"/>
  <c r="AB127" i="40"/>
  <c r="AB154" i="40" s="1"/>
  <c r="Q130" i="40"/>
  <c r="Q157" i="40" s="1"/>
  <c r="AU132" i="40"/>
  <c r="AU159" i="40" s="1"/>
  <c r="L135" i="40"/>
  <c r="L162" i="40" s="1"/>
  <c r="AY138" i="40"/>
  <c r="AY165" i="40" s="1"/>
  <c r="AY141" i="40"/>
  <c r="AY168" i="40" s="1"/>
  <c r="D123" i="40"/>
  <c r="D150" i="40" s="1"/>
  <c r="AG124" i="40"/>
  <c r="AG151" i="40" s="1"/>
  <c r="AE126" i="40"/>
  <c r="AE153" i="40" s="1"/>
  <c r="D128" i="40"/>
  <c r="D155" i="40" s="1"/>
  <c r="AS128" i="40"/>
  <c r="AS155" i="40" s="1"/>
  <c r="AI130" i="40"/>
  <c r="AI157" i="40" s="1"/>
  <c r="Y132" i="40"/>
  <c r="Y159" i="40" s="1"/>
  <c r="W134" i="40"/>
  <c r="W161" i="40" s="1"/>
  <c r="M136" i="40"/>
  <c r="M163" i="40" s="1"/>
  <c r="BA138" i="40"/>
  <c r="BA165" i="40" s="1"/>
  <c r="AA141" i="40"/>
  <c r="AA168" i="40" s="1"/>
  <c r="U123" i="40"/>
  <c r="U150" i="40" s="1"/>
  <c r="K123" i="40"/>
  <c r="K150" i="40" s="1"/>
  <c r="AI124" i="40"/>
  <c r="AI151" i="40" s="1"/>
  <c r="R125" i="40"/>
  <c r="R152" i="40" s="1"/>
  <c r="AX125" i="40"/>
  <c r="AX152" i="40" s="1"/>
  <c r="AG126" i="40"/>
  <c r="AG153" i="40" s="1"/>
  <c r="P127" i="40"/>
  <c r="P154" i="40" s="1"/>
  <c r="AV127" i="40"/>
  <c r="AV154" i="40" s="1"/>
  <c r="AE128" i="40"/>
  <c r="AE155" i="40" s="1"/>
  <c r="N129" i="40"/>
  <c r="N156" i="40" s="1"/>
  <c r="AT129" i="40"/>
  <c r="AT156" i="40" s="1"/>
  <c r="AC130" i="40"/>
  <c r="AC157" i="40" s="1"/>
  <c r="L131" i="40"/>
  <c r="L158" i="40" s="1"/>
  <c r="AR131" i="40"/>
  <c r="AR158" i="40" s="1"/>
  <c r="AA132" i="40"/>
  <c r="AA159" i="40" s="1"/>
  <c r="I133" i="40"/>
  <c r="I160" i="40" s="1"/>
  <c r="AP133" i="40"/>
  <c r="AP160" i="40" s="1"/>
  <c r="Y134" i="40"/>
  <c r="Y161" i="40" s="1"/>
  <c r="G135" i="40"/>
  <c r="G162" i="40" s="1"/>
  <c r="AN135" i="40"/>
  <c r="AN162" i="40" s="1"/>
  <c r="W136" i="40"/>
  <c r="W163" i="40" s="1"/>
  <c r="J137" i="40"/>
  <c r="J164" i="40" s="1"/>
  <c r="AU137" i="40"/>
  <c r="AU164" i="40" s="1"/>
  <c r="AL138" i="40"/>
  <c r="AL165" i="40" s="1"/>
  <c r="AC139" i="40"/>
  <c r="AC166" i="40" s="1"/>
  <c r="T140" i="40"/>
  <c r="T167" i="40" s="1"/>
  <c r="J141" i="40"/>
  <c r="J168" i="40" s="1"/>
  <c r="AU141" i="40"/>
  <c r="AU168" i="40" s="1"/>
  <c r="AL142" i="40"/>
  <c r="AL169" i="40" s="1"/>
  <c r="O123" i="40"/>
  <c r="O150" i="40" s="1"/>
  <c r="AU123" i="40"/>
  <c r="AU150" i="40" s="1"/>
  <c r="J127" i="40"/>
  <c r="J154" i="40" s="1"/>
  <c r="AP128" i="40"/>
  <c r="AP155" i="40" s="1"/>
  <c r="AP290" i="40" s="1"/>
  <c r="P130" i="40"/>
  <c r="P157" i="40" s="1"/>
  <c r="V132" i="40"/>
  <c r="V159" i="40" s="1"/>
  <c r="J135" i="40"/>
  <c r="J162" i="40" s="1"/>
  <c r="O137" i="40"/>
  <c r="O164" i="40" s="1"/>
  <c r="X139" i="40"/>
  <c r="X166" i="40" s="1"/>
  <c r="AG141" i="40"/>
  <c r="AG168" i="40" s="1"/>
  <c r="AP129" i="40"/>
  <c r="AP156" i="40" s="1"/>
  <c r="W132" i="40"/>
  <c r="W159" i="40" s="1"/>
  <c r="AJ135" i="40"/>
  <c r="AJ162" i="40" s="1"/>
  <c r="AY137" i="40"/>
  <c r="AY164" i="40" s="1"/>
  <c r="AY140" i="40"/>
  <c r="AY167" i="40" s="1"/>
  <c r="P125" i="40"/>
  <c r="P152" i="40" s="1"/>
  <c r="AK128" i="40"/>
  <c r="AK155" i="40" s="1"/>
  <c r="I131" i="40"/>
  <c r="I158" i="40" s="1"/>
  <c r="AF133" i="40"/>
  <c r="AF160" i="40" s="1"/>
  <c r="N135" i="40"/>
  <c r="N162" i="40" s="1"/>
  <c r="AA137" i="40"/>
  <c r="AA164" i="40" s="1"/>
  <c r="BA139" i="40"/>
  <c r="BA166" i="40" s="1"/>
  <c r="L124" i="40"/>
  <c r="L151" i="40" s="1"/>
  <c r="AR124" i="40"/>
  <c r="AR151" i="40" s="1"/>
  <c r="AA125" i="40"/>
  <c r="AA152" i="40" s="1"/>
  <c r="I126" i="40"/>
  <c r="I153" i="40" s="1"/>
  <c r="AP126" i="40"/>
  <c r="AP153" i="40" s="1"/>
  <c r="Y127" i="40"/>
  <c r="Y154" i="40" s="1"/>
  <c r="G128" i="40"/>
  <c r="G155" i="40" s="1"/>
  <c r="AN128" i="40"/>
  <c r="AN155" i="40" s="1"/>
  <c r="W129" i="40"/>
  <c r="W156" i="40" s="1"/>
  <c r="E130" i="40"/>
  <c r="E157" i="40" s="1"/>
  <c r="AL130" i="40"/>
  <c r="AL157" i="40" s="1"/>
  <c r="U131" i="40"/>
  <c r="U158" i="40" s="1"/>
  <c r="BA131" i="40"/>
  <c r="BA158" i="40" s="1"/>
  <c r="AJ132" i="40"/>
  <c r="AJ159" i="40" s="1"/>
  <c r="S133" i="40"/>
  <c r="S160" i="40" s="1"/>
  <c r="AY133" i="40"/>
  <c r="AY160" i="40" s="1"/>
  <c r="AH134" i="40"/>
  <c r="AH161" i="40" s="1"/>
  <c r="Q135" i="40"/>
  <c r="Q162" i="40" s="1"/>
  <c r="AW135" i="40"/>
  <c r="AW162" i="40" s="1"/>
  <c r="AF136" i="40"/>
  <c r="AF163" i="40" s="1"/>
  <c r="U137" i="40"/>
  <c r="U164" i="40" s="1"/>
  <c r="M138" i="40"/>
  <c r="M165" i="40" s="1"/>
  <c r="AV138" i="40"/>
  <c r="AV165" i="40" s="1"/>
  <c r="AM139" i="40"/>
  <c r="AM166" i="40" s="1"/>
  <c r="AD140" i="40"/>
  <c r="AD167" i="40" s="1"/>
  <c r="U141" i="40"/>
  <c r="U168" i="40" s="1"/>
  <c r="M142" i="40"/>
  <c r="M169" i="40" s="1"/>
  <c r="AV142" i="40"/>
  <c r="AV169" i="40" s="1"/>
  <c r="X123" i="40"/>
  <c r="X150" i="40" s="1"/>
  <c r="C126" i="40"/>
  <c r="C153" i="40" s="1"/>
  <c r="K139" i="40"/>
  <c r="K166" i="40" s="1"/>
  <c r="AC124" i="40"/>
  <c r="AC151" i="40" s="1"/>
  <c r="L125" i="40"/>
  <c r="L152" i="40" s="1"/>
  <c r="AR125" i="40"/>
  <c r="AR152" i="40" s="1"/>
  <c r="AA126" i="40"/>
  <c r="AA153" i="40" s="1"/>
  <c r="I127" i="40"/>
  <c r="I154" i="40" s="1"/>
  <c r="AP127" i="40"/>
  <c r="AP154" i="40" s="1"/>
  <c r="Y128" i="40"/>
  <c r="Y155" i="40" s="1"/>
  <c r="G129" i="40"/>
  <c r="G156" i="40" s="1"/>
  <c r="AN129" i="40"/>
  <c r="AN156" i="40" s="1"/>
  <c r="W130" i="40"/>
  <c r="W157" i="40" s="1"/>
  <c r="E131" i="40"/>
  <c r="E158" i="40" s="1"/>
  <c r="AL131" i="40"/>
  <c r="AL158" i="40" s="1"/>
  <c r="U132" i="40"/>
  <c r="U159" i="40" s="1"/>
  <c r="BA132" i="40"/>
  <c r="BA159" i="40" s="1"/>
  <c r="AJ133" i="40"/>
  <c r="AJ160" i="40" s="1"/>
  <c r="S134" i="40"/>
  <c r="S161" i="40" s="1"/>
  <c r="AY134" i="40"/>
  <c r="AY161" i="40" s="1"/>
  <c r="AH135" i="40"/>
  <c r="AH162" i="40" s="1"/>
  <c r="Q136" i="40"/>
  <c r="Q163" i="40" s="1"/>
  <c r="AW136" i="40"/>
  <c r="AW163" i="40" s="1"/>
  <c r="AN137" i="40"/>
  <c r="AN164" i="40" s="1"/>
  <c r="AF138" i="40"/>
  <c r="AF165" i="40" s="1"/>
  <c r="V139" i="40"/>
  <c r="V166" i="40" s="1"/>
  <c r="N140" i="40"/>
  <c r="N167" i="40" s="1"/>
  <c r="AW140" i="40"/>
  <c r="AW167" i="40" s="1"/>
  <c r="AN141" i="40"/>
  <c r="AN168" i="40" s="1"/>
  <c r="AF142" i="40"/>
  <c r="AF169" i="40" s="1"/>
  <c r="H123" i="40"/>
  <c r="H150" i="40" s="1"/>
  <c r="AO123" i="40"/>
  <c r="AO150" i="40" s="1"/>
  <c r="AB126" i="40"/>
  <c r="AB153" i="40" s="1"/>
  <c r="G130" i="40"/>
  <c r="G157" i="40" s="1"/>
  <c r="AE131" i="40"/>
  <c r="AE158" i="40" s="1"/>
  <c r="D133" i="40"/>
  <c r="D160" i="40" s="1"/>
  <c r="AZ134" i="40"/>
  <c r="AZ161" i="40" s="1"/>
  <c r="AP136" i="40"/>
  <c r="AP163" i="40" s="1"/>
  <c r="AG139" i="40"/>
  <c r="AG166" i="40" s="1"/>
  <c r="AX141" i="40"/>
  <c r="AX168" i="40" s="1"/>
  <c r="R123" i="40"/>
  <c r="R150" i="40" s="1"/>
  <c r="AT125" i="40"/>
  <c r="AT152" i="40" s="1"/>
  <c r="J128" i="40"/>
  <c r="J155" i="40" s="1"/>
  <c r="H130" i="40"/>
  <c r="H157" i="40" s="1"/>
  <c r="AM132" i="40"/>
  <c r="AM159" i="40" s="1"/>
  <c r="T135" i="40"/>
  <c r="T162" i="40" s="1"/>
  <c r="Y138" i="40"/>
  <c r="Y165" i="40" s="1"/>
  <c r="AH141" i="40"/>
  <c r="AH168" i="40" s="1"/>
  <c r="J123" i="40"/>
  <c r="J150" i="40" s="1"/>
  <c r="K127" i="40"/>
  <c r="K154" i="40" s="1"/>
  <c r="G125" i="40"/>
  <c r="G152" i="40" s="1"/>
  <c r="W126" i="40"/>
  <c r="W153" i="40" s="1"/>
  <c r="BA128" i="40"/>
  <c r="BA155" i="40" s="1"/>
  <c r="AQ130" i="40"/>
  <c r="AQ157" i="40" s="1"/>
  <c r="AG132" i="40"/>
  <c r="AG159" i="40" s="1"/>
  <c r="E135" i="40"/>
  <c r="E162" i="40" s="1"/>
  <c r="R137" i="40"/>
  <c r="R164" i="40" s="1"/>
  <c r="AR139" i="40"/>
  <c r="AR166" i="40" s="1"/>
  <c r="AJ142" i="40"/>
  <c r="AJ169" i="40" s="1"/>
  <c r="K132" i="40"/>
  <c r="K159" i="40" s="1"/>
  <c r="V124" i="40"/>
  <c r="V151" i="40" s="1"/>
  <c r="D125" i="40"/>
  <c r="D152" i="40" s="1"/>
  <c r="AK125" i="40"/>
  <c r="AK152" i="40" s="1"/>
  <c r="AO140" i="40"/>
  <c r="AO167" i="40" s="1"/>
  <c r="F124" i="40"/>
  <c r="F151" i="40" s="1"/>
  <c r="E125" i="40"/>
  <c r="E152" i="40" s="1"/>
  <c r="D126" i="40"/>
  <c r="D153" i="40" s="1"/>
  <c r="AZ127" i="40"/>
  <c r="AZ154" i="40" s="1"/>
  <c r="AX129" i="40"/>
  <c r="AX156" i="40" s="1"/>
  <c r="AE132" i="40"/>
  <c r="AE159" i="40" s="1"/>
  <c r="AS134" i="40"/>
  <c r="AS161" i="40" s="1"/>
  <c r="AH137" i="40"/>
  <c r="AH164" i="40" s="1"/>
  <c r="Y140" i="40"/>
  <c r="Y167" i="40" s="1"/>
  <c r="AQ123" i="40"/>
  <c r="AQ150" i="40" s="1"/>
  <c r="AA142" i="40"/>
  <c r="AA169" i="40" s="1"/>
  <c r="K126" i="40"/>
  <c r="K153" i="40" s="1"/>
  <c r="P124" i="40"/>
  <c r="P151" i="40" s="1"/>
  <c r="AV124" i="40"/>
  <c r="AV151" i="40" s="1"/>
  <c r="AE125" i="40"/>
  <c r="AE152" i="40" s="1"/>
  <c r="N126" i="40"/>
  <c r="N153" i="40" s="1"/>
  <c r="AT126" i="40"/>
  <c r="AT153" i="40" s="1"/>
  <c r="AC127" i="40"/>
  <c r="AC154" i="40" s="1"/>
  <c r="L128" i="40"/>
  <c r="L155" i="40" s="1"/>
  <c r="AR128" i="40"/>
  <c r="AR155" i="40" s="1"/>
  <c r="AA129" i="40"/>
  <c r="AA156" i="40" s="1"/>
  <c r="I130" i="40"/>
  <c r="I157" i="40" s="1"/>
  <c r="AP130" i="40"/>
  <c r="AP157" i="40" s="1"/>
  <c r="Y131" i="40"/>
  <c r="Y158" i="40" s="1"/>
  <c r="G132" i="40"/>
  <c r="G159" i="40" s="1"/>
  <c r="AN132" i="40"/>
  <c r="AN159" i="40" s="1"/>
  <c r="W133" i="40"/>
  <c r="W160" i="40" s="1"/>
  <c r="E134" i="40"/>
  <c r="E161" i="40" s="1"/>
  <c r="AL134" i="40"/>
  <c r="AL161" i="40" s="1"/>
  <c r="U135" i="40"/>
  <c r="U162" i="40" s="1"/>
  <c r="BA135" i="40"/>
  <c r="BA162" i="40" s="1"/>
  <c r="AJ136" i="40"/>
  <c r="AJ163" i="40" s="1"/>
  <c r="Z137" i="40"/>
  <c r="Z164" i="40" s="1"/>
  <c r="Q138" i="40"/>
  <c r="Q165" i="40" s="1"/>
  <c r="AZ138" i="40"/>
  <c r="AZ165" i="40" s="1"/>
  <c r="AQ139" i="40"/>
  <c r="AQ166" i="40" s="1"/>
  <c r="AI140" i="40"/>
  <c r="AI167" i="40" s="1"/>
  <c r="Z141" i="40"/>
  <c r="Z168" i="40" s="1"/>
  <c r="Q142" i="40"/>
  <c r="Q169" i="40" s="1"/>
  <c r="AZ142" i="40"/>
  <c r="AZ169" i="40" s="1"/>
  <c r="AR123" i="40"/>
  <c r="AR150" i="40" s="1"/>
  <c r="AC136" i="40"/>
  <c r="AC163" i="40" s="1"/>
  <c r="R144" i="40"/>
  <c r="R171" i="40" s="1"/>
  <c r="AJ144" i="40"/>
  <c r="AJ171" i="40" s="1"/>
  <c r="V144" i="40"/>
  <c r="V171" i="40" s="1"/>
  <c r="AG144" i="40"/>
  <c r="AG171" i="40" s="1"/>
  <c r="Q144" i="40"/>
  <c r="Q171" i="40" s="1"/>
  <c r="BA144" i="40"/>
  <c r="BA171" i="40" s="1"/>
  <c r="M144" i="40"/>
  <c r="M171" i="40" s="1"/>
  <c r="AF144" i="40"/>
  <c r="AF171" i="40" s="1"/>
  <c r="AO144" i="40"/>
  <c r="AO171" i="40" s="1"/>
  <c r="AZ144" i="40"/>
  <c r="AZ171" i="40" s="1"/>
  <c r="K144" i="40"/>
  <c r="K171" i="40" s="1"/>
  <c r="J144" i="40"/>
  <c r="J171" i="40" s="1"/>
  <c r="U144" i="40"/>
  <c r="U171" i="40" s="1"/>
  <c r="AN144" i="40"/>
  <c r="AN171" i="40" s="1"/>
  <c r="AX144" i="40"/>
  <c r="AX171" i="40" s="1"/>
  <c r="AV132" i="40"/>
  <c r="AV159" i="40" s="1"/>
  <c r="AE133" i="40"/>
  <c r="AE160" i="40" s="1"/>
  <c r="N134" i="40"/>
  <c r="N161" i="40" s="1"/>
  <c r="AT134" i="40"/>
  <c r="AC135" i="40"/>
  <c r="AC162" i="40" s="1"/>
  <c r="L136" i="40"/>
  <c r="AR136" i="40"/>
  <c r="AR163" i="40" s="1"/>
  <c r="AI137" i="40"/>
  <c r="AI164" i="40" s="1"/>
  <c r="Z138" i="40"/>
  <c r="Z165" i="40" s="1"/>
  <c r="Q139" i="40"/>
  <c r="Q166" i="40" s="1"/>
  <c r="AZ139" i="40"/>
  <c r="AZ166" i="40" s="1"/>
  <c r="AQ140" i="40"/>
  <c r="AI141" i="40"/>
  <c r="AI168" i="40" s="1"/>
  <c r="Z142" i="40"/>
  <c r="Z169" i="40" s="1"/>
  <c r="AZ123" i="40"/>
  <c r="AZ150" i="40" s="1"/>
  <c r="AR141" i="40"/>
  <c r="AR168" i="40" s="1"/>
  <c r="R124" i="40"/>
  <c r="R151" i="40" s="1"/>
  <c r="AX124" i="40"/>
  <c r="AG125" i="40"/>
  <c r="P126" i="40"/>
  <c r="AV126" i="40"/>
  <c r="AE127" i="40"/>
  <c r="N128" i="40"/>
  <c r="AT128" i="40"/>
  <c r="AC129" i="40"/>
  <c r="AC156" i="40" s="1"/>
  <c r="L130" i="40"/>
  <c r="AR130" i="40"/>
  <c r="AA131" i="40"/>
  <c r="I132" i="40"/>
  <c r="I159" i="40" s="1"/>
  <c r="AP132" i="40"/>
  <c r="AP159" i="40" s="1"/>
  <c r="Y133" i="40"/>
  <c r="G134" i="40"/>
  <c r="AN134" i="40"/>
  <c r="AN161" i="40" s="1"/>
  <c r="W135" i="40"/>
  <c r="E136" i="40"/>
  <c r="AL136" i="40"/>
  <c r="AB137" i="40"/>
  <c r="S138" i="40"/>
  <c r="I139" i="40"/>
  <c r="AS139" i="40"/>
  <c r="AK140" i="40"/>
  <c r="AK167" i="40" s="1"/>
  <c r="AB141" i="40"/>
  <c r="S142" i="40"/>
  <c r="AD123" i="40"/>
  <c r="AD150" i="40" s="1"/>
  <c r="C132" i="40"/>
  <c r="AZ126" i="40"/>
  <c r="R128" i="40"/>
  <c r="O131" i="40"/>
  <c r="O158" i="40" s="1"/>
  <c r="U133" i="40"/>
  <c r="AR134" i="40"/>
  <c r="AX136" i="40"/>
  <c r="AX163" i="40" s="1"/>
  <c r="AO139" i="40"/>
  <c r="AO166" i="40" s="1"/>
  <c r="AP123" i="40"/>
  <c r="U126" i="40"/>
  <c r="U153" i="40" s="1"/>
  <c r="AI128" i="40"/>
  <c r="AI155" i="40" s="1"/>
  <c r="AF131" i="40"/>
  <c r="D134" i="40"/>
  <c r="AY136" i="40"/>
  <c r="AY163" i="40" s="1"/>
  <c r="AP140" i="40"/>
  <c r="K135" i="40"/>
  <c r="AV125" i="40"/>
  <c r="V127" i="40"/>
  <c r="V154" i="40" s="1"/>
  <c r="U128" i="40"/>
  <c r="AJ129" i="40"/>
  <c r="Z131" i="40"/>
  <c r="Z158" i="40" s="1"/>
  <c r="X133" i="40"/>
  <c r="X160" i="40" s="1"/>
  <c r="V135" i="40"/>
  <c r="V162" i="40" s="1"/>
  <c r="AJ137" i="40"/>
  <c r="R140" i="40"/>
  <c r="BA142" i="40"/>
  <c r="K129" i="40"/>
  <c r="S124" i="40"/>
  <c r="AY124" i="40"/>
  <c r="AY151" i="40" s="1"/>
  <c r="AH125" i="40"/>
  <c r="AH152" i="40" s="1"/>
  <c r="Q126" i="40"/>
  <c r="Q153" i="40" s="1"/>
  <c r="AW126" i="40"/>
  <c r="AF127" i="40"/>
  <c r="AF154" i="40" s="1"/>
  <c r="O128" i="40"/>
  <c r="O155" i="40" s="1"/>
  <c r="AU128" i="40"/>
  <c r="AD129" i="40"/>
  <c r="M130" i="40"/>
  <c r="M157" i="40" s="1"/>
  <c r="AS130" i="40"/>
  <c r="AS157" i="40" s="1"/>
  <c r="AB131" i="40"/>
  <c r="J132" i="40"/>
  <c r="AQ132" i="40"/>
  <c r="Z133" i="40"/>
  <c r="H134" i="40"/>
  <c r="AO134" i="40"/>
  <c r="X135" i="40"/>
  <c r="X162" i="40" s="1"/>
  <c r="F136" i="40"/>
  <c r="F163" i="40" s="1"/>
  <c r="AM136" i="40"/>
  <c r="AM163" i="40" s="1"/>
  <c r="AC137" i="40"/>
  <c r="AO135" i="40"/>
  <c r="AO162" i="40" s="1"/>
  <c r="X136" i="40"/>
  <c r="M137" i="40"/>
  <c r="AV137" i="40"/>
  <c r="AM138" i="40"/>
  <c r="AD139" i="40"/>
  <c r="U140" i="40"/>
  <c r="U167" i="40" s="1"/>
  <c r="M141" i="40"/>
  <c r="AV141" i="40"/>
  <c r="AV168" i="40" s="1"/>
  <c r="AM142" i="40"/>
  <c r="P123" i="40"/>
  <c r="AV123" i="40"/>
  <c r="K131" i="40"/>
  <c r="U124" i="40"/>
  <c r="BA124" i="40"/>
  <c r="AJ125" i="40"/>
  <c r="AJ152" i="40" s="1"/>
  <c r="S126" i="40"/>
  <c r="AY126" i="40"/>
  <c r="AY153" i="40" s="1"/>
  <c r="AH127" i="40"/>
  <c r="AH154" i="40" s="1"/>
  <c r="Q128" i="40"/>
  <c r="Q155" i="40" s="1"/>
  <c r="AW128" i="40"/>
  <c r="AW155" i="40" s="1"/>
  <c r="AF129" i="40"/>
  <c r="O130" i="40"/>
  <c r="O157" i="40" s="1"/>
  <c r="AU130" i="40"/>
  <c r="AU157" i="40" s="1"/>
  <c r="AD131" i="40"/>
  <c r="AD158" i="40" s="1"/>
  <c r="M132" i="40"/>
  <c r="M159" i="40" s="1"/>
  <c r="AS132" i="40"/>
  <c r="AS159" i="40" s="1"/>
  <c r="AB133" i="40"/>
  <c r="AB160" i="40" s="1"/>
  <c r="J134" i="40"/>
  <c r="J161" i="40" s="1"/>
  <c r="AQ134" i="40"/>
  <c r="Z135" i="40"/>
  <c r="Z162" i="40" s="1"/>
  <c r="H136" i="40"/>
  <c r="H163" i="40" s="1"/>
  <c r="AO136" i="40"/>
  <c r="AO163" i="40" s="1"/>
  <c r="AF137" i="40"/>
  <c r="AF164" i="40" s="1"/>
  <c r="V138" i="40"/>
  <c r="V165" i="40" s="1"/>
  <c r="N139" i="40"/>
  <c r="N166" i="40" s="1"/>
  <c r="AW139" i="40"/>
  <c r="AW166" i="40" s="1"/>
  <c r="AN140" i="40"/>
  <c r="AF141" i="40"/>
  <c r="AF168" i="40" s="1"/>
  <c r="V142" i="40"/>
  <c r="V169" i="40" s="1"/>
  <c r="AG123" i="40"/>
  <c r="AG150" i="40" s="1"/>
  <c r="C135" i="40"/>
  <c r="C162" i="40" s="1"/>
  <c r="AG129" i="40"/>
  <c r="F131" i="40"/>
  <c r="AL132" i="40"/>
  <c r="AB134" i="40"/>
  <c r="R136" i="40"/>
  <c r="R163" i="40" s="1"/>
  <c r="O139" i="40"/>
  <c r="O166" i="40" s="1"/>
  <c r="X141" i="40"/>
  <c r="X168" i="40" s="1"/>
  <c r="AE124" i="40"/>
  <c r="AE151" i="40" s="1"/>
  <c r="AJ127" i="40"/>
  <c r="AH129" i="40"/>
  <c r="F132" i="40"/>
  <c r="AK134" i="40"/>
  <c r="AK161" i="40" s="1"/>
  <c r="P137" i="40"/>
  <c r="P164" i="40" s="1"/>
  <c r="AH140" i="40"/>
  <c r="AH167" i="40" s="1"/>
  <c r="C129" i="40"/>
  <c r="C156" i="40" s="1"/>
  <c r="AO124" i="40"/>
  <c r="F126" i="40"/>
  <c r="AL127" i="40"/>
  <c r="S130" i="40"/>
  <c r="S157" i="40" s="1"/>
  <c r="H132" i="40"/>
  <c r="H159" i="40" s="1"/>
  <c r="AE134" i="40"/>
  <c r="AE161" i="40" s="1"/>
  <c r="AK136" i="40"/>
  <c r="AK163" i="40" s="1"/>
  <c r="R139" i="40"/>
  <c r="R166" i="40" s="1"/>
  <c r="AJ141" i="40"/>
  <c r="K124" i="40"/>
  <c r="N124" i="40"/>
  <c r="AT124" i="40"/>
  <c r="AT151" i="40" s="1"/>
  <c r="AC125" i="40"/>
  <c r="AC152" i="40" s="1"/>
  <c r="X137" i="40"/>
  <c r="X164" i="40" s="1"/>
  <c r="K141" i="40"/>
  <c r="K168" i="40" s="1"/>
  <c r="AU124" i="40"/>
  <c r="AU151" i="40" s="1"/>
  <c r="AD125" i="40"/>
  <c r="T127" i="40"/>
  <c r="R129" i="40"/>
  <c r="AV131" i="40"/>
  <c r="AV158" i="40" s="1"/>
  <c r="M134" i="40"/>
  <c r="M161" i="40" s="1"/>
  <c r="AI136" i="40"/>
  <c r="AI163" i="40" s="1"/>
  <c r="AH139" i="40"/>
  <c r="AH166" i="40" s="1"/>
  <c r="R141" i="40"/>
  <c r="BA123" i="40"/>
  <c r="G124" i="40"/>
  <c r="AN124" i="40"/>
  <c r="AN151" i="40" s="1"/>
  <c r="W125" i="40"/>
  <c r="E126" i="40"/>
  <c r="AL126" i="40"/>
  <c r="AL153" i="40" s="1"/>
  <c r="U127" i="40"/>
  <c r="U154" i="40" s="1"/>
  <c r="BA127" i="40"/>
  <c r="AJ128" i="40"/>
  <c r="S129" i="40"/>
  <c r="AY129" i="40"/>
  <c r="AY156" i="40" s="1"/>
  <c r="AH130" i="40"/>
  <c r="Q131" i="40"/>
  <c r="Q158" i="40" s="1"/>
  <c r="AW131" i="40"/>
  <c r="AW158" i="40" s="1"/>
  <c r="AF132" i="40"/>
  <c r="AF159" i="40" s="1"/>
  <c r="O133" i="40"/>
  <c r="AU133" i="40"/>
  <c r="AD134" i="40"/>
  <c r="M135" i="40"/>
  <c r="M162" i="40" s="1"/>
  <c r="AS135" i="40"/>
  <c r="AB136" i="40"/>
  <c r="AB163" i="40" s="1"/>
  <c r="Q137" i="40"/>
  <c r="Q164" i="40" s="1"/>
  <c r="AZ137" i="40"/>
  <c r="AZ164" i="40" s="1"/>
  <c r="K128" i="40"/>
  <c r="Z124" i="40"/>
  <c r="H125" i="40"/>
  <c r="AO125" i="40"/>
  <c r="X126" i="40"/>
  <c r="F127" i="40"/>
  <c r="AM127" i="40"/>
  <c r="V128" i="40"/>
  <c r="V155" i="40" s="1"/>
  <c r="D129" i="40"/>
  <c r="AK129" i="40"/>
  <c r="T130" i="40"/>
  <c r="AZ130" i="40"/>
  <c r="AI131" i="40"/>
  <c r="R132" i="40"/>
  <c r="R159" i="40" s="1"/>
  <c r="AX132" i="40"/>
  <c r="AG133" i="40"/>
  <c r="P134" i="40"/>
  <c r="AV134" i="40"/>
  <c r="AE135" i="40"/>
  <c r="N136" i="40"/>
  <c r="AT136" i="40"/>
  <c r="AK137" i="40"/>
  <c r="AB138" i="40"/>
  <c r="S139" i="40"/>
  <c r="I140" i="40"/>
  <c r="AS140" i="40"/>
  <c r="AK141" i="40"/>
  <c r="AB142" i="40"/>
  <c r="S143" i="40"/>
  <c r="E123" i="40"/>
  <c r="E150" i="40" s="1"/>
  <c r="AL123" i="40"/>
  <c r="AL150" i="40" s="1"/>
  <c r="T126" i="40"/>
  <c r="T153" i="40" s="1"/>
  <c r="S127" i="40"/>
  <c r="Q129" i="40"/>
  <c r="Q156" i="40" s="1"/>
  <c r="E132" i="40"/>
  <c r="AK133" i="40"/>
  <c r="S135" i="40"/>
  <c r="AO137" i="40"/>
  <c r="AG140" i="40"/>
  <c r="AO143" i="40"/>
  <c r="C136" i="40"/>
  <c r="BA126" i="40"/>
  <c r="Z129" i="40"/>
  <c r="O132" i="40"/>
  <c r="AC134" i="40"/>
  <c r="AC161" i="40" s="1"/>
  <c r="AP137" i="40"/>
  <c r="Y141" i="40"/>
  <c r="Y168" i="40" s="1"/>
  <c r="AA123" i="40"/>
  <c r="Q124" i="40"/>
  <c r="O126" i="40"/>
  <c r="AD127" i="40"/>
  <c r="AC128" i="40"/>
  <c r="J130" i="40"/>
  <c r="AX131" i="40"/>
  <c r="AN133" i="40"/>
  <c r="AT135" i="40"/>
  <c r="R138" i="40"/>
  <c r="AJ140" i="40"/>
  <c r="AR143" i="40"/>
  <c r="K137" i="40"/>
  <c r="AA124" i="40"/>
  <c r="I125" i="40"/>
  <c r="I152" i="40" s="1"/>
  <c r="AP125" i="40"/>
  <c r="Y126" i="40"/>
  <c r="G127" i="40"/>
  <c r="AN127" i="40"/>
  <c r="W128" i="40"/>
  <c r="E129" i="40"/>
  <c r="AL129" i="40"/>
  <c r="U130" i="40"/>
  <c r="U157" i="40" s="1"/>
  <c r="BA130" i="40"/>
  <c r="AJ131" i="40"/>
  <c r="S132" i="40"/>
  <c r="AY132" i="40"/>
  <c r="AH133" i="40"/>
  <c r="Q134" i="40"/>
  <c r="AW134" i="40"/>
  <c r="AF135" i="40"/>
  <c r="O136" i="40"/>
  <c r="AU136" i="40"/>
  <c r="AU163" i="40" s="1"/>
  <c r="AL137" i="40"/>
  <c r="AL164" i="40" s="1"/>
  <c r="AC138" i="40"/>
  <c r="AC165" i="40" s="1"/>
  <c r="T139" i="40"/>
  <c r="J140" i="40"/>
  <c r="J167" i="40" s="1"/>
  <c r="AU140" i="40"/>
  <c r="AL141" i="40"/>
  <c r="AC142" i="40"/>
  <c r="T143" i="40"/>
  <c r="F123" i="40"/>
  <c r="AM123" i="40"/>
  <c r="L126" i="40"/>
  <c r="Z128" i="40"/>
  <c r="AO129" i="40"/>
  <c r="AU131" i="40"/>
  <c r="AJ134" i="40"/>
  <c r="AH136" i="40"/>
  <c r="AH163" i="40" s="1"/>
  <c r="AX138" i="40"/>
  <c r="AX165" i="40" s="1"/>
  <c r="O141" i="40"/>
  <c r="O168" i="40" s="1"/>
  <c r="AG142" i="40"/>
  <c r="AQ128" i="40"/>
  <c r="AQ155" i="40" s="1"/>
  <c r="AN131" i="40"/>
  <c r="BA134" i="40"/>
  <c r="Y137" i="40"/>
  <c r="P140" i="40"/>
  <c r="AP142" i="40"/>
  <c r="H124" i="40"/>
  <c r="AT127" i="40"/>
  <c r="AA130" i="40"/>
  <c r="AW132" i="40"/>
  <c r="AM134" i="40"/>
  <c r="BA136" i="40"/>
  <c r="AA139" i="40"/>
  <c r="AA166" i="40" s="1"/>
  <c r="AR142" i="40"/>
  <c r="AR169" i="40" s="1"/>
  <c r="K138" i="40"/>
  <c r="K165" i="40" s="1"/>
  <c r="AJ124" i="40"/>
  <c r="S125" i="40"/>
  <c r="S152" i="40" s="1"/>
  <c r="AY125" i="40"/>
  <c r="AH126" i="40"/>
  <c r="Q127" i="40"/>
  <c r="AW127" i="40"/>
  <c r="AF128" i="40"/>
  <c r="O129" i="40"/>
  <c r="AU129" i="40"/>
  <c r="AD130" i="40"/>
  <c r="M131" i="40"/>
  <c r="AS131" i="40"/>
  <c r="AB132" i="40"/>
  <c r="J133" i="40"/>
  <c r="J160" i="40" s="1"/>
  <c r="AQ133" i="40"/>
  <c r="AQ160" i="40" s="1"/>
  <c r="Z134" i="40"/>
  <c r="Z161" i="40" s="1"/>
  <c r="H135" i="40"/>
  <c r="AD143" i="40"/>
  <c r="N143" i="40"/>
  <c r="N170" i="40" s="1"/>
  <c r="AW143" i="40"/>
  <c r="AW170" i="40" s="1"/>
  <c r="AX143" i="40"/>
  <c r="AX170" i="40" s="1"/>
  <c r="AS143" i="40"/>
  <c r="AS170" i="40" s="1"/>
  <c r="X143" i="40"/>
  <c r="X170" i="40" s="1"/>
  <c r="AB143" i="40"/>
  <c r="AC143" i="40"/>
  <c r="O143" i="40"/>
  <c r="AH143" i="40"/>
  <c r="AH170" i="40" s="1"/>
  <c r="AJ143" i="40"/>
  <c r="AJ170" i="40" s="1"/>
  <c r="AM143" i="40"/>
  <c r="AM170" i="40" s="1"/>
  <c r="V143" i="40"/>
  <c r="V170" i="40" s="1"/>
  <c r="AQ143" i="40"/>
  <c r="AQ170" i="40" s="1"/>
  <c r="AY143" i="40"/>
  <c r="I143" i="40"/>
  <c r="I124" i="40"/>
  <c r="AP124" i="40"/>
  <c r="Y125" i="40"/>
  <c r="Y152" i="40" s="1"/>
  <c r="G126" i="40"/>
  <c r="G153" i="40" s="1"/>
  <c r="AN126" i="40"/>
  <c r="W127" i="40"/>
  <c r="W154" i="40" s="1"/>
  <c r="E128" i="40"/>
  <c r="AL128" i="40"/>
  <c r="U129" i="40"/>
  <c r="BA129" i="40"/>
  <c r="BA156" i="40" s="1"/>
  <c r="AJ130" i="40"/>
  <c r="AJ157" i="40" s="1"/>
  <c r="S131" i="40"/>
  <c r="AY131" i="40"/>
  <c r="AH132" i="40"/>
  <c r="Q133" i="40"/>
  <c r="AW133" i="40"/>
  <c r="AF134" i="40"/>
  <c r="O135" i="40"/>
  <c r="AU135" i="40"/>
  <c r="AU162" i="40" s="1"/>
  <c r="AD136" i="40"/>
  <c r="AD163" i="40" s="1"/>
  <c r="S137" i="40"/>
  <c r="I138" i="40"/>
  <c r="I165" i="40" s="1"/>
  <c r="AS138" i="40"/>
  <c r="AK139" i="40"/>
  <c r="AB140" i="40"/>
  <c r="S141" i="40"/>
  <c r="I142" i="40"/>
  <c r="I169" i="40" s="1"/>
  <c r="AS142" i="40"/>
  <c r="AK143" i="40"/>
  <c r="V123" i="40"/>
  <c r="C124" i="40"/>
  <c r="AR126" i="40"/>
  <c r="AQ127" i="40"/>
  <c r="AN130" i="40"/>
  <c r="AN157" i="40" s="1"/>
  <c r="AT132" i="40"/>
  <c r="AT159" i="40" s="1"/>
  <c r="T134" i="40"/>
  <c r="T161" i="40" s="1"/>
  <c r="Z136" i="40"/>
  <c r="AO138" i="40"/>
  <c r="AO165" i="40" s="1"/>
  <c r="AX142" i="40"/>
  <c r="Z123" i="40"/>
  <c r="AL125" i="40"/>
  <c r="AR127" i="40"/>
  <c r="AR154" i="40" s="1"/>
  <c r="AW130" i="40"/>
  <c r="AW157" i="40" s="1"/>
  <c r="V133" i="40"/>
  <c r="S136" i="40"/>
  <c r="AY139" i="40"/>
  <c r="P143" i="40"/>
  <c r="L123" i="40"/>
  <c r="AW124" i="40"/>
  <c r="AU126" i="40"/>
  <c r="M128" i="40"/>
  <c r="M155" i="40" s="1"/>
  <c r="L129" i="40"/>
  <c r="L156" i="40" s="1"/>
  <c r="AY130" i="40"/>
  <c r="G133" i="40"/>
  <c r="G160" i="40" s="1"/>
  <c r="AU134" i="40"/>
  <c r="AS136" i="40"/>
  <c r="AJ139" i="40"/>
  <c r="R142" i="40"/>
  <c r="C131" i="40"/>
  <c r="C158" i="40" s="1"/>
  <c r="J124" i="40"/>
  <c r="AQ124" i="40"/>
  <c r="Z125" i="40"/>
  <c r="H126" i="40"/>
  <c r="AO126" i="40"/>
  <c r="X127" i="40"/>
  <c r="F128" i="40"/>
  <c r="AM128" i="40"/>
  <c r="AM155" i="40" s="1"/>
  <c r="V129" i="40"/>
  <c r="V156" i="40" s="1"/>
  <c r="D130" i="40"/>
  <c r="AK130" i="40"/>
  <c r="AK157" i="40" s="1"/>
  <c r="T131" i="40"/>
  <c r="AZ131" i="40"/>
  <c r="AI132" i="40"/>
  <c r="R133" i="40"/>
  <c r="AX133" i="40"/>
  <c r="AX160" i="40" s="1"/>
  <c r="AG134" i="40"/>
  <c r="P135" i="40"/>
  <c r="AV135" i="40"/>
  <c r="AE136" i="40"/>
  <c r="T137" i="40"/>
  <c r="J138" i="40"/>
  <c r="AU138" i="40"/>
  <c r="AL139" i="40"/>
  <c r="AL166" i="40" s="1"/>
  <c r="AC140" i="40"/>
  <c r="AC167" i="40" s="1"/>
  <c r="T141" i="40"/>
  <c r="J142" i="40"/>
  <c r="J169" i="40" s="1"/>
  <c r="AU142" i="40"/>
  <c r="AL143" i="40"/>
  <c r="W123" i="40"/>
  <c r="C125" i="40"/>
  <c r="AI127" i="40"/>
  <c r="AI154" i="40" s="1"/>
  <c r="H129" i="40"/>
  <c r="AV130" i="40"/>
  <c r="M133" i="40"/>
  <c r="AI135" i="40"/>
  <c r="AX137" i="40"/>
  <c r="AX139" i="40"/>
  <c r="O142" i="40"/>
  <c r="C128" i="40"/>
  <c r="C155" i="40" s="1"/>
  <c r="Y130" i="40"/>
  <c r="Y157" i="40" s="1"/>
  <c r="AL133" i="40"/>
  <c r="J136" i="40"/>
  <c r="J163" i="40" s="1"/>
  <c r="AH138" i="40"/>
  <c r="AP141" i="40"/>
  <c r="AY123" i="40"/>
  <c r="AN125" i="40"/>
  <c r="T129" i="40"/>
  <c r="T156" i="40" s="1"/>
  <c r="AH131" i="40"/>
  <c r="AV133" i="40"/>
  <c r="AL135" i="40"/>
  <c r="BA137" i="40"/>
  <c r="BA140" i="40"/>
  <c r="AC123" i="40"/>
  <c r="T124" i="40"/>
  <c r="AZ124" i="40"/>
  <c r="AZ151" i="40" s="1"/>
  <c r="AI125" i="40"/>
  <c r="AI152" i="40" s="1"/>
  <c r="R126" i="40"/>
  <c r="AX126" i="40"/>
  <c r="AX153" i="40" s="1"/>
  <c r="AG127" i="40"/>
  <c r="P128" i="40"/>
  <c r="AV128" i="40"/>
  <c r="AE129" i="40"/>
  <c r="N130" i="40"/>
  <c r="N157" i="40" s="1"/>
  <c r="AT130" i="40"/>
  <c r="AC131" i="40"/>
  <c r="L132" i="40"/>
  <c r="AR132" i="40"/>
  <c r="AA133" i="40"/>
  <c r="I134" i="40"/>
  <c r="AP134" i="40"/>
  <c r="Y135" i="40"/>
  <c r="Y162" i="40" s="1"/>
  <c r="G136" i="40"/>
  <c r="G163" i="40" s="1"/>
  <c r="AN136" i="40"/>
  <c r="AD137" i="40"/>
  <c r="AD164" i="40" s="1"/>
  <c r="U138" i="40"/>
  <c r="M139" i="40"/>
  <c r="AV139" i="40"/>
  <c r="AM140" i="40"/>
  <c r="AD141" i="40"/>
  <c r="AD168" i="40" s="1"/>
  <c r="U142" i="40"/>
  <c r="M143" i="40"/>
  <c r="AV143" i="40"/>
  <c r="AF123" i="40"/>
  <c r="C134" i="40"/>
  <c r="D124" i="40"/>
  <c r="AK124" i="40"/>
  <c r="T125" i="40"/>
  <c r="T152" i="40" s="1"/>
  <c r="AZ125" i="40"/>
  <c r="AZ152" i="40" s="1"/>
  <c r="AI126" i="40"/>
  <c r="R127" i="40"/>
  <c r="R154" i="40" s="1"/>
  <c r="AX127" i="40"/>
  <c r="AG128" i="40"/>
  <c r="P129" i="40"/>
  <c r="AV129" i="40"/>
  <c r="AE130" i="40"/>
  <c r="AE157" i="40" s="1"/>
  <c r="N131" i="40"/>
  <c r="AT131" i="40"/>
  <c r="AC132" i="40"/>
  <c r="L133" i="40"/>
  <c r="AR133" i="40"/>
  <c r="AA134" i="40"/>
  <c r="I135" i="40"/>
  <c r="AP135" i="40"/>
  <c r="AP162" i="40" s="1"/>
  <c r="Y136" i="40"/>
  <c r="Y163" i="40" s="1"/>
  <c r="N137" i="40"/>
  <c r="AW137" i="40"/>
  <c r="AW164" i="40" s="1"/>
  <c r="AN138" i="40"/>
  <c r="AF139" i="40"/>
  <c r="V140" i="40"/>
  <c r="N141" i="40"/>
  <c r="AW141" i="40"/>
  <c r="AN142" i="40"/>
  <c r="AF143" i="40"/>
  <c r="Q123" i="40"/>
  <c r="AW123" i="40"/>
  <c r="I128" i="40"/>
  <c r="X130" i="40"/>
  <c r="AM131" i="40"/>
  <c r="AC133" i="40"/>
  <c r="AC160" i="40" s="1"/>
  <c r="AA135" i="40"/>
  <c r="AG137" i="40"/>
  <c r="O140" i="40"/>
  <c r="AO142" i="40"/>
  <c r="AH123" i="40"/>
  <c r="AC126" i="40"/>
  <c r="AA128" i="40"/>
  <c r="AG130" i="40"/>
  <c r="AG157" i="40" s="1"/>
  <c r="N133" i="40"/>
  <c r="N160" i="40" s="1"/>
  <c r="AR135" i="40"/>
  <c r="P139" i="40"/>
  <c r="P142" i="40"/>
  <c r="S123" i="40"/>
  <c r="K143" i="40"/>
  <c r="X125" i="40"/>
  <c r="AM126" i="40"/>
  <c r="AM153" i="40" s="1"/>
  <c r="AB129" i="40"/>
  <c r="AB156" i="40" s="1"/>
  <c r="R131" i="40"/>
  <c r="R158" i="40" s="1"/>
  <c r="P133" i="40"/>
  <c r="AD135" i="40"/>
  <c r="AR137" i="40"/>
  <c r="AA140" i="40"/>
  <c r="AA143" i="40"/>
  <c r="K140" i="40"/>
  <c r="K167" i="40" s="1"/>
  <c r="AD124" i="40"/>
  <c r="AD151" i="40" s="1"/>
  <c r="M125" i="40"/>
  <c r="M152" i="40" s="1"/>
  <c r="AS125" i="40"/>
  <c r="K125" i="40"/>
  <c r="K152" i="40" s="1"/>
  <c r="W124" i="40"/>
  <c r="N125" i="40"/>
  <c r="M126" i="40"/>
  <c r="S128" i="40"/>
  <c r="S155" i="40" s="1"/>
  <c r="AO130" i="40"/>
  <c r="AO157" i="40" s="1"/>
  <c r="E133" i="40"/>
  <c r="E160" i="40" s="1"/>
  <c r="AB135" i="40"/>
  <c r="P138" i="40"/>
  <c r="P165" i="40" s="1"/>
  <c r="P141" i="40"/>
  <c r="P168" i="40" s="1"/>
  <c r="AO132" i="40"/>
  <c r="R143" i="40"/>
  <c r="K134" i="40"/>
  <c r="K161" i="40" s="1"/>
  <c r="X124" i="40"/>
  <c r="X151" i="40" s="1"/>
  <c r="F125" i="40"/>
  <c r="F152" i="40" s="1"/>
  <c r="AM125" i="40"/>
  <c r="V126" i="40"/>
  <c r="V153" i="40" s="1"/>
  <c r="D127" i="40"/>
  <c r="D154" i="40" s="1"/>
  <c r="AK127" i="40"/>
  <c r="AK154" i="40" s="1"/>
  <c r="T128" i="40"/>
  <c r="AZ128" i="40"/>
  <c r="AZ155" i="40" s="1"/>
  <c r="AI129" i="40"/>
  <c r="AI156" i="40" s="1"/>
  <c r="R130" i="40"/>
  <c r="R157" i="40" s="1"/>
  <c r="AX130" i="40"/>
  <c r="AG131" i="40"/>
  <c r="AG158" i="40" s="1"/>
  <c r="P132" i="40"/>
  <c r="Q143" i="40"/>
  <c r="AZ143" i="40"/>
  <c r="T138" i="40"/>
  <c r="T165" i="40" s="1"/>
  <c r="J139" i="40"/>
  <c r="AU139" i="40"/>
  <c r="AL140" i="40"/>
  <c r="AC141" i="40"/>
  <c r="T142" i="40"/>
  <c r="J143" i="40"/>
  <c r="AU143" i="40"/>
  <c r="AE123" i="40"/>
  <c r="AE150" i="40" s="1"/>
  <c r="C160" i="40"/>
  <c r="AY127" i="40"/>
  <c r="Y129" i="40"/>
  <c r="W131" i="40"/>
  <c r="W158" i="40" s="1"/>
  <c r="L134" i="40"/>
  <c r="L161" i="40" s="1"/>
  <c r="I136" i="40"/>
  <c r="X138" i="40"/>
  <c r="X140" i="40"/>
  <c r="X167" i="40" s="1"/>
  <c r="X142" i="40"/>
  <c r="X169" i="40" s="1"/>
  <c r="AS126" i="40"/>
  <c r="G131" i="40"/>
  <c r="U134" i="40"/>
  <c r="AQ136" i="40"/>
  <c r="Y139" i="40"/>
  <c r="Y142" i="40"/>
  <c r="AJ123" i="40"/>
  <c r="AJ150" i="40" s="1"/>
  <c r="E127" i="40"/>
  <c r="E154" i="40" s="1"/>
  <c r="AZ129" i="40"/>
  <c r="Q132" i="40"/>
  <c r="O134" i="40"/>
  <c r="U136" i="40"/>
  <c r="AJ138" i="40"/>
  <c r="BA141" i="40"/>
  <c r="K130" i="40"/>
  <c r="K157" i="40" s="1"/>
  <c r="AB124" i="40"/>
  <c r="AB151" i="40" s="1"/>
  <c r="J125" i="40"/>
  <c r="AQ125" i="40"/>
  <c r="Z126" i="40"/>
  <c r="Z153" i="40" s="1"/>
  <c r="H127" i="40"/>
  <c r="H154" i="40" s="1"/>
  <c r="AO127" i="40"/>
  <c r="AO154" i="40" s="1"/>
  <c r="X128" i="40"/>
  <c r="F129" i="40"/>
  <c r="AM129" i="40"/>
  <c r="V130" i="40"/>
  <c r="D131" i="40"/>
  <c r="AK131" i="40"/>
  <c r="T132" i="40"/>
  <c r="AZ132" i="40"/>
  <c r="AI133" i="40"/>
  <c r="R134" i="40"/>
  <c r="R161" i="40" s="1"/>
  <c r="AX134" i="40"/>
  <c r="AX161" i="40" s="1"/>
  <c r="AG135" i="40"/>
  <c r="P136" i="40"/>
  <c r="AV136" i="40"/>
  <c r="AM137" i="40"/>
  <c r="AD138" i="40"/>
  <c r="U139" i="40"/>
  <c r="M140" i="40"/>
  <c r="M167" i="40" s="1"/>
  <c r="AV140" i="40"/>
  <c r="AV167" i="40" s="1"/>
  <c r="AM141" i="40"/>
  <c r="AM168" i="40" s="1"/>
  <c r="AD142" i="40"/>
  <c r="U143" i="40"/>
  <c r="G123" i="40"/>
  <c r="AN123" i="40"/>
  <c r="AH128" i="40"/>
  <c r="M124" i="40"/>
  <c r="M151" i="40" s="1"/>
  <c r="AS124" i="40"/>
  <c r="AS151" i="40" s="1"/>
  <c r="AB125" i="40"/>
  <c r="AB152" i="40" s="1"/>
  <c r="J126" i="40"/>
  <c r="J153" i="40" s="1"/>
  <c r="AQ126" i="40"/>
  <c r="Z127" i="40"/>
  <c r="H128" i="40"/>
  <c r="AO128" i="40"/>
  <c r="X129" i="40"/>
  <c r="F130" i="40"/>
  <c r="AM130" i="40"/>
  <c r="V131" i="40"/>
  <c r="D132" i="40"/>
  <c r="AK132" i="40"/>
  <c r="T133" i="40"/>
  <c r="AZ133" i="40"/>
  <c r="AI134" i="40"/>
  <c r="R135" i="40"/>
  <c r="AX135" i="40"/>
  <c r="AG136" i="40"/>
  <c r="V137" i="40"/>
  <c r="V164" i="40" s="1"/>
  <c r="N138" i="40"/>
  <c r="AW138" i="40"/>
  <c r="AN139" i="40"/>
  <c r="AF140" i="40"/>
  <c r="V141" i="40"/>
  <c r="N142" i="40"/>
  <c r="AW142" i="40"/>
  <c r="AN143" i="40"/>
  <c r="AN170" i="40" s="1"/>
  <c r="Y123" i="40"/>
  <c r="C127" i="40"/>
  <c r="AX128" i="40"/>
  <c r="AF130" i="40"/>
  <c r="N132" i="40"/>
  <c r="AS133" i="40"/>
  <c r="AY135" i="40"/>
  <c r="AG138" i="40"/>
  <c r="AX140" i="40"/>
  <c r="AG143" i="40"/>
  <c r="AX123" i="40"/>
  <c r="L127" i="40"/>
  <c r="I129" i="40"/>
  <c r="X131" i="40"/>
  <c r="AT133" i="40"/>
  <c r="AA136" i="40"/>
  <c r="AA163" i="40" s="1"/>
  <c r="AP139" i="40"/>
  <c r="AH142" i="40"/>
  <c r="AI123" i="40"/>
  <c r="Y124" i="40"/>
  <c r="AF125" i="40"/>
  <c r="N127" i="40"/>
  <c r="AR129" i="40"/>
  <c r="AP131" i="40"/>
  <c r="AP158" i="40" s="1"/>
  <c r="F134" i="40"/>
  <c r="D136" i="40"/>
  <c r="AA138" i="40"/>
  <c r="AR140" i="40"/>
  <c r="AS123" i="40"/>
  <c r="E124" i="40"/>
  <c r="AL124" i="40"/>
  <c r="U125" i="40"/>
  <c r="BA125" i="40"/>
  <c r="K133" i="40"/>
  <c r="AM124" i="40"/>
  <c r="V125" i="40"/>
  <c r="AK126" i="40"/>
  <c r="AY128" i="40"/>
  <c r="P131" i="40"/>
  <c r="AD133" i="40"/>
  <c r="AD160" i="40" s="1"/>
  <c r="AZ135" i="40"/>
  <c r="AP138" i="40"/>
  <c r="AY142" i="40"/>
  <c r="AR138" i="40"/>
  <c r="M123" i="40"/>
  <c r="K142" i="40"/>
  <c r="AF124" i="40"/>
  <c r="O125" i="40"/>
  <c r="O152" i="40" s="1"/>
  <c r="AU125" i="40"/>
  <c r="AD126" i="40"/>
  <c r="M127" i="40"/>
  <c r="AS127" i="40"/>
  <c r="AB128" i="40"/>
  <c r="J129" i="40"/>
  <c r="AQ129" i="40"/>
  <c r="Z130" i="40"/>
  <c r="Z157" i="40" s="1"/>
  <c r="H131" i="40"/>
  <c r="AO131" i="40"/>
  <c r="X132" i="40"/>
  <c r="F133" i="40"/>
  <c r="AM133" i="40"/>
  <c r="V134" i="40"/>
  <c r="D135" i="40"/>
  <c r="AK135" i="40"/>
  <c r="T136" i="40"/>
  <c r="AZ136" i="40"/>
  <c r="AQ137" i="40"/>
  <c r="AI138" i="40"/>
  <c r="Z139" i="40"/>
  <c r="Q140" i="40"/>
  <c r="AZ140" i="40"/>
  <c r="AQ141" i="40"/>
  <c r="AQ168" i="40" s="1"/>
  <c r="AI142" i="40"/>
  <c r="Z143" i="40"/>
  <c r="T123" i="40"/>
  <c r="C130" i="40"/>
  <c r="C157" i="40" s="1"/>
  <c r="BA143" i="40"/>
  <c r="Y143" i="40"/>
  <c r="Y170" i="40" s="1"/>
  <c r="AP143" i="40"/>
  <c r="AQ138" i="40"/>
  <c r="AI139" i="40"/>
  <c r="Z140" i="40"/>
  <c r="Q141" i="40"/>
  <c r="AZ141" i="40"/>
  <c r="AZ168" i="40" s="1"/>
  <c r="AQ142" i="40"/>
  <c r="AQ169" i="40" s="1"/>
  <c r="AI143" i="40"/>
  <c r="AI170" i="40" s="1"/>
  <c r="AB123" i="40"/>
  <c r="C123" i="40"/>
  <c r="AK123" i="40"/>
  <c r="BB99" i="40"/>
  <c r="BB69" i="40"/>
  <c r="BB103" i="40"/>
  <c r="BB104" i="40"/>
  <c r="BB71" i="40"/>
  <c r="BB98" i="40"/>
  <c r="BB97" i="40"/>
  <c r="BB101" i="40"/>
  <c r="BB107" i="40"/>
  <c r="BB105" i="40"/>
  <c r="BB106" i="40"/>
  <c r="BB100" i="40"/>
  <c r="BB102" i="40"/>
  <c r="BB96" i="40"/>
  <c r="BB108" i="40"/>
  <c r="AT87" i="40"/>
  <c r="AT114" i="40"/>
  <c r="AT85" i="40"/>
  <c r="AT112" i="40"/>
  <c r="BB80" i="40"/>
  <c r="AT88" i="40"/>
  <c r="AT115" i="40"/>
  <c r="BB78" i="40"/>
  <c r="AT89" i="40"/>
  <c r="AT116" i="40"/>
  <c r="BB79" i="40"/>
  <c r="AT83" i="40"/>
  <c r="AT110" i="40"/>
  <c r="BB81" i="40"/>
  <c r="AT84" i="40"/>
  <c r="AT111" i="40"/>
  <c r="BB74" i="40"/>
  <c r="BB76" i="40"/>
  <c r="BB73" i="40"/>
  <c r="AT86" i="40"/>
  <c r="AT113" i="40"/>
  <c r="BB72" i="40"/>
  <c r="BB75" i="40"/>
  <c r="BB70" i="40"/>
  <c r="BB77" i="40"/>
  <c r="BB82" i="40"/>
  <c r="AT90" i="40"/>
  <c r="AI9" i="33"/>
  <c r="L21" i="12"/>
  <c r="O21" i="12"/>
  <c r="I21" i="12"/>
  <c r="L17" i="44"/>
  <c r="L18" i="44"/>
  <c r="L16" i="44"/>
  <c r="L19" i="44"/>
  <c r="L12" i="44"/>
  <c r="L20" i="44"/>
  <c r="L13" i="44"/>
  <c r="L21" i="44"/>
  <c r="L14" i="44"/>
  <c r="AL16" i="33"/>
  <c r="AL15" i="33"/>
  <c r="AL22" i="33"/>
  <c r="AL20" i="33"/>
  <c r="AL13" i="33"/>
  <c r="AL21" i="33"/>
  <c r="AL14" i="33"/>
  <c r="AL9" i="33"/>
  <c r="AL17" i="33"/>
  <c r="AL10" i="33"/>
  <c r="AL18" i="33"/>
  <c r="AL11" i="33"/>
  <c r="AL19" i="33"/>
  <c r="AL12" i="33"/>
  <c r="V15" i="15"/>
  <c r="AB16" i="15" s="1"/>
  <c r="F12" i="8"/>
  <c r="I12" i="8" s="1"/>
  <c r="L12" i="8"/>
  <c r="F16" i="8"/>
  <c r="I16" i="8" s="1"/>
  <c r="C22" i="8" a="1"/>
  <c r="C22" i="8" s="1"/>
  <c r="L22" i="8" s="1"/>
  <c r="F15" i="8"/>
  <c r="I15" i="8" s="1"/>
  <c r="H15" i="33"/>
  <c r="W192" i="40"/>
  <c r="W219" i="40" s="1" a="1"/>
  <c r="W219" i="40" s="1"/>
  <c r="W194" i="40"/>
  <c r="W221" i="40" s="1" a="1"/>
  <c r="W221" i="40" s="1"/>
  <c r="W196" i="40"/>
  <c r="W223" i="40" s="1" a="1"/>
  <c r="W223" i="40" s="1"/>
  <c r="W191" i="40"/>
  <c r="W218" i="40" s="1" a="1"/>
  <c r="W218" i="40" s="1"/>
  <c r="W193" i="40"/>
  <c r="W220" i="40" s="1" a="1"/>
  <c r="W220" i="40" s="1"/>
  <c r="W195" i="40"/>
  <c r="W222" i="40" s="1" a="1"/>
  <c r="W222" i="40" s="1"/>
  <c r="W197" i="40"/>
  <c r="W224" i="40" s="1" a="1"/>
  <c r="W224" i="40" s="1"/>
  <c r="C20" i="12" a="1"/>
  <c r="C20" i="12" s="1"/>
  <c r="G191" i="40"/>
  <c r="G218" i="40" s="1" a="1"/>
  <c r="G218" i="40" s="1"/>
  <c r="G195" i="40"/>
  <c r="G222" i="40" s="1" a="1"/>
  <c r="G222" i="40" s="1"/>
  <c r="G194" i="40"/>
  <c r="G221" i="40" s="1" a="1"/>
  <c r="G221" i="40" s="1"/>
  <c r="G193" i="40"/>
  <c r="G220" i="40" s="1" a="1"/>
  <c r="G220" i="40" s="1"/>
  <c r="G197" i="40"/>
  <c r="G224" i="40" s="1" a="1"/>
  <c r="G224" i="40" s="1"/>
  <c r="G192" i="40"/>
  <c r="G219" i="40" s="1" a="1"/>
  <c r="G219" i="40" s="1"/>
  <c r="G196" i="40"/>
  <c r="G223" i="40" s="1" a="1"/>
  <c r="G223" i="40" s="1"/>
  <c r="F191" i="40"/>
  <c r="F218" i="40" s="1" a="1"/>
  <c r="F218" i="40" s="1"/>
  <c r="F197" i="40"/>
  <c r="F224" i="40" s="1" a="1"/>
  <c r="F224" i="40" s="1"/>
  <c r="F196" i="40"/>
  <c r="F223" i="40" s="1" a="1"/>
  <c r="F223" i="40" s="1"/>
  <c r="F195" i="40"/>
  <c r="F222" i="40" s="1" a="1"/>
  <c r="F222" i="40" s="1"/>
  <c r="F194" i="40"/>
  <c r="F221" i="40" s="1" a="1"/>
  <c r="F221" i="40" s="1"/>
  <c r="F193" i="40"/>
  <c r="F220" i="40" s="1" a="1"/>
  <c r="F220" i="40" s="1"/>
  <c r="F192" i="40"/>
  <c r="F219" i="40" s="1" a="1"/>
  <c r="F219" i="40" s="1"/>
  <c r="E191" i="40"/>
  <c r="E218" i="40" s="1" a="1"/>
  <c r="E218" i="40" s="1"/>
  <c r="D191" i="40"/>
  <c r="D218" i="40" s="1" a="1"/>
  <c r="D218" i="40" s="1"/>
  <c r="D192" i="40"/>
  <c r="D219" i="40" s="1" a="1"/>
  <c r="D219" i="40" s="1"/>
  <c r="D193" i="40"/>
  <c r="D220" i="40" s="1" a="1"/>
  <c r="D220" i="40" s="1"/>
  <c r="D194" i="40"/>
  <c r="D221" i="40" s="1" a="1"/>
  <c r="D221" i="40" s="1"/>
  <c r="D195" i="40"/>
  <c r="D222" i="40" s="1" a="1"/>
  <c r="D222" i="40" s="1"/>
  <c r="D196" i="40"/>
  <c r="D223" i="40" s="1" a="1"/>
  <c r="D223" i="40" s="1"/>
  <c r="D197" i="40"/>
  <c r="D224" i="40" s="1" a="1"/>
  <c r="D224" i="40" s="1"/>
  <c r="C194" i="40"/>
  <c r="C221" i="40" s="1" a="1"/>
  <c r="C221" i="40" s="1"/>
  <c r="BB221" i="40" s="1"/>
  <c r="C195" i="40"/>
  <c r="C222" i="40" s="1" a="1"/>
  <c r="C222" i="40" s="1"/>
  <c r="BB222" i="40" s="1"/>
  <c r="C196" i="40"/>
  <c r="C223" i="40" s="1" a="1"/>
  <c r="C223" i="40" s="1"/>
  <c r="BB223" i="40" s="1"/>
  <c r="C197" i="40"/>
  <c r="C224" i="40" s="1" a="1"/>
  <c r="C224" i="40" s="1"/>
  <c r="BB224" i="40" s="1"/>
  <c r="C191" i="40"/>
  <c r="C218" i="40" s="1" a="1"/>
  <c r="C218" i="40" s="1"/>
  <c r="C193" i="40"/>
  <c r="C220" i="40" s="1" a="1"/>
  <c r="C220" i="40" s="1"/>
  <c r="BB220" i="40" s="1"/>
  <c r="F17" i="40"/>
  <c r="I17" i="39" s="1"/>
  <c r="L17" i="39" s="1"/>
  <c r="F12" i="40"/>
  <c r="I12" i="39" s="1"/>
  <c r="L12" i="39" s="1"/>
  <c r="F15" i="40"/>
  <c r="I15" i="39" s="1"/>
  <c r="L15" i="39" s="1"/>
  <c r="C14" i="8" a="1"/>
  <c r="C14" i="8" s="1"/>
  <c r="C17" i="8" a="1"/>
  <c r="C17" i="8" s="1"/>
  <c r="C11" i="8" a="1"/>
  <c r="C11" i="8" s="1"/>
  <c r="L11" i="8" s="1"/>
  <c r="C13" i="22" a="1"/>
  <c r="C13" i="22" s="1"/>
  <c r="C21" i="24" a="1"/>
  <c r="C21" i="24" s="1"/>
  <c r="L21" i="24" s="1"/>
  <c r="C18" i="24" a="1"/>
  <c r="C18" i="24" s="1"/>
  <c r="L18" i="24" s="1"/>
  <c r="C18" i="30" a="1"/>
  <c r="C18" i="30" s="1"/>
  <c r="C14" i="22" a="1"/>
  <c r="C14" i="22" s="1"/>
  <c r="F14" i="22" s="1"/>
  <c r="C12" i="22" a="1"/>
  <c r="C12" i="22" s="1"/>
  <c r="F12" i="22" s="1"/>
  <c r="C18" i="8" a="1"/>
  <c r="C18" i="8" s="1"/>
  <c r="C18" i="22" a="1"/>
  <c r="C18" i="22" s="1"/>
  <c r="F18" i="22" s="1"/>
  <c r="C16" i="22" a="1"/>
  <c r="C16" i="22" s="1"/>
  <c r="C22" i="24" a="1"/>
  <c r="C22" i="24" s="1"/>
  <c r="L22" i="24" s="1"/>
  <c r="C20" i="30" a="1"/>
  <c r="C20" i="30" s="1"/>
  <c r="C17" i="22" a="1"/>
  <c r="C17" i="22" s="1"/>
  <c r="C19" i="8" a="1"/>
  <c r="C19" i="8" s="1"/>
  <c r="C20" i="22" a="1"/>
  <c r="C20" i="22" s="1"/>
  <c r="C10" i="8" a="1"/>
  <c r="C10" i="8" s="1"/>
  <c r="C19" i="22" a="1"/>
  <c r="C19" i="22" s="1"/>
  <c r="C19" i="30" a="1"/>
  <c r="C19" i="30" s="1"/>
  <c r="C20" i="8" a="1"/>
  <c r="C20" i="8" s="1"/>
  <c r="C22" i="22" a="1"/>
  <c r="C22" i="22" s="1"/>
  <c r="C21" i="22" a="1"/>
  <c r="C21" i="22" s="1"/>
  <c r="C20" i="24" a="1"/>
  <c r="C20" i="24" s="1"/>
  <c r="L20" i="24" s="1"/>
  <c r="C16" i="24" a="1"/>
  <c r="C16" i="24" s="1"/>
  <c r="L16" i="24" s="1"/>
  <c r="C22" i="30" a="1"/>
  <c r="C22" i="30" s="1"/>
  <c r="C21" i="30" a="1"/>
  <c r="C21" i="30" s="1"/>
  <c r="F21" i="30" s="1"/>
  <c r="C21" i="8" a="1"/>
  <c r="C21" i="8" s="1"/>
  <c r="L21" i="8" s="1"/>
  <c r="C13" i="8" a="1"/>
  <c r="C13" i="8" s="1"/>
  <c r="L13" i="8" s="1"/>
  <c r="C17" i="24" a="1"/>
  <c r="C17" i="24" s="1"/>
  <c r="L17" i="24" s="1"/>
  <c r="C19" i="24" a="1"/>
  <c r="C19" i="24" s="1"/>
  <c r="L19" i="24" s="1"/>
  <c r="C22" i="12" a="1"/>
  <c r="C22" i="12" s="1"/>
  <c r="C11" i="12" a="1"/>
  <c r="C11" i="12" s="1"/>
  <c r="F22" i="40"/>
  <c r="I22" i="39" s="1"/>
  <c r="L22" i="39" s="1"/>
  <c r="F14" i="40"/>
  <c r="I14" i="39" s="1"/>
  <c r="L14" i="39" s="1"/>
  <c r="F19" i="40"/>
  <c r="I19" i="39" s="1"/>
  <c r="L19" i="39" s="1"/>
  <c r="C10" i="12" a="1"/>
  <c r="C10" i="12" s="1"/>
  <c r="X7" i="13"/>
  <c r="AD7" i="13" s="1"/>
  <c r="AG7" i="13" s="1"/>
  <c r="U7" i="13"/>
  <c r="R7" i="13"/>
  <c r="F20" i="40"/>
  <c r="I20" i="39" s="1"/>
  <c r="L20" i="39" s="1"/>
  <c r="K27" i="40" a="1"/>
  <c r="K27" i="40" s="1"/>
  <c r="AB27" i="33" s="1"/>
  <c r="J23" i="40" a="1"/>
  <c r="J23" i="40" s="1"/>
  <c r="AA23" i="33" s="1"/>
  <c r="F21" i="12"/>
  <c r="K23" i="40" a="1"/>
  <c r="K23" i="40" s="1"/>
  <c r="AB23" i="33" s="1"/>
  <c r="I27" i="40" a="1"/>
  <c r="I27" i="40" s="1"/>
  <c r="Z27" i="33" s="1"/>
  <c r="C13" i="12" a="1"/>
  <c r="C13" i="12" s="1"/>
  <c r="C19" i="12" a="1"/>
  <c r="C19" i="12" s="1"/>
  <c r="C12" i="12" a="1"/>
  <c r="C12" i="12" s="1"/>
  <c r="C14" i="12" a="1"/>
  <c r="C14" i="12" s="1"/>
  <c r="F21" i="40"/>
  <c r="I21" i="39" s="1"/>
  <c r="L21" i="39" s="1"/>
  <c r="R8" i="12"/>
  <c r="U9" i="12"/>
  <c r="R9" i="12"/>
  <c r="R7" i="7"/>
  <c r="C16" i="12" a="1"/>
  <c r="C16" i="12" s="1"/>
  <c r="X8" i="12"/>
  <c r="U8" i="12"/>
  <c r="X7" i="7"/>
  <c r="AD7" i="7" s="1"/>
  <c r="AG7" i="7" s="1"/>
  <c r="U7" i="7"/>
  <c r="C15" i="12" a="1"/>
  <c r="C15" i="12" s="1"/>
  <c r="U7" i="12"/>
  <c r="X7" i="12"/>
  <c r="AD7" i="12" s="1"/>
  <c r="AG7" i="12" s="1"/>
  <c r="F10" i="40"/>
  <c r="I10" i="39" s="1"/>
  <c r="L10" i="39" s="1"/>
  <c r="F9" i="40"/>
  <c r="I9" i="39" s="1"/>
  <c r="L9" i="39" s="1"/>
  <c r="F16" i="40"/>
  <c r="I16" i="39" s="1"/>
  <c r="L16" i="39" s="1"/>
  <c r="F13" i="40"/>
  <c r="I13" i="39" s="1"/>
  <c r="L13" i="39" s="1"/>
  <c r="C18" i="12" a="1"/>
  <c r="C18" i="12" s="1"/>
  <c r="C17" i="12" a="1"/>
  <c r="C17" i="12" s="1"/>
  <c r="R7" i="12"/>
  <c r="F18" i="40"/>
  <c r="I18" i="39" s="1"/>
  <c r="L18" i="39" s="1"/>
  <c r="Q306" i="40" l="1"/>
  <c r="U252" i="40" a="1"/>
  <c r="U252" i="40" s="1"/>
  <c r="U306" i="40" s="1"/>
  <c r="N306" i="40"/>
  <c r="AQ236" i="40" a="1"/>
  <c r="AQ236" i="40" s="1"/>
  <c r="AQ290" i="40" s="1"/>
  <c r="N237" i="40" a="1"/>
  <c r="N237" i="40" s="1"/>
  <c r="N291" i="40" s="1"/>
  <c r="Z306" i="40"/>
  <c r="AE235" i="40" a="1"/>
  <c r="AE235" i="40" s="1"/>
  <c r="BB204" i="40"/>
  <c r="AU240" i="40" a="1"/>
  <c r="AU240" i="40" s="1"/>
  <c r="AU294" i="40" s="1"/>
  <c r="K302" i="40"/>
  <c r="R286" i="40"/>
  <c r="BB206" i="40"/>
  <c r="BB211" i="40"/>
  <c r="BB205" i="40"/>
  <c r="W236" i="40" a="1"/>
  <c r="W236" i="40" s="1"/>
  <c r="AX252" i="40" a="1"/>
  <c r="AX252" i="40" s="1"/>
  <c r="AX306" i="40" s="1"/>
  <c r="AU299" i="40"/>
  <c r="AW306" i="40"/>
  <c r="BB207" i="40"/>
  <c r="BB208" i="40"/>
  <c r="BB203" i="40"/>
  <c r="BB212" i="40"/>
  <c r="BB209" i="40"/>
  <c r="AQ285" i="40"/>
  <c r="BB202" i="40"/>
  <c r="W283" i="40"/>
  <c r="AY306" i="40"/>
  <c r="BH10" i="16"/>
  <c r="BG10" i="16"/>
  <c r="P252" i="40" a="1"/>
  <c r="P252" i="40" s="1"/>
  <c r="P306" i="40" s="1"/>
  <c r="AO252" i="40" a="1"/>
  <c r="AO252" i="40" s="1"/>
  <c r="AO306" i="40" s="1"/>
  <c r="AB242" i="40" a="1"/>
  <c r="AB242" i="40" s="1"/>
  <c r="AD8" i="12"/>
  <c r="AG8" i="12" s="1"/>
  <c r="AV242" i="40" a="1"/>
  <c r="AV242" i="40" s="1"/>
  <c r="L22" i="44"/>
  <c r="AG251" i="40" a="1"/>
  <c r="AG251" i="40" s="1"/>
  <c r="AN23" i="33"/>
  <c r="AL252" i="40" a="1"/>
  <c r="AL252" i="40" s="1"/>
  <c r="AL306" i="40" s="1"/>
  <c r="AS238" i="40" a="1"/>
  <c r="AS238" i="40" s="1"/>
  <c r="AS292" i="40" s="1"/>
  <c r="V236" i="40" a="1"/>
  <c r="V236" i="40" s="1"/>
  <c r="V290" i="40" s="1"/>
  <c r="AI252" i="40" a="1"/>
  <c r="AI252" i="40" s="1"/>
  <c r="AI306" i="40" s="1"/>
  <c r="AD252" i="40" a="1"/>
  <c r="AD252" i="40" s="1"/>
  <c r="AD306" i="40" s="1"/>
  <c r="AB236" i="40" a="1"/>
  <c r="AB236" i="40" s="1"/>
  <c r="AL232" i="40" a="1"/>
  <c r="AL232" i="40" s="1"/>
  <c r="K252" i="40" a="1"/>
  <c r="K252" i="40" s="1"/>
  <c r="K306" i="40" s="1"/>
  <c r="AL237" i="40" a="1"/>
  <c r="AL237" i="40" s="1"/>
  <c r="BA247" i="40" a="1"/>
  <c r="BA247" i="40" s="1"/>
  <c r="BA274" i="40" s="1"/>
  <c r="M252" i="40" a="1"/>
  <c r="M252" i="40" s="1"/>
  <c r="M306" i="40" s="1"/>
  <c r="AK244" i="40" a="1"/>
  <c r="AK244" i="40" s="1"/>
  <c r="AK271" i="40" s="1"/>
  <c r="AX249" i="40" a="1"/>
  <c r="AX249" i="40" s="1"/>
  <c r="AX303" i="40" s="1"/>
  <c r="AA240" i="40" a="1"/>
  <c r="AA240" i="40" s="1"/>
  <c r="AA294" i="40" s="1"/>
  <c r="AS252" i="40" a="1"/>
  <c r="AS252" i="40" s="1"/>
  <c r="AS306" i="40" s="1"/>
  <c r="AF250" i="40" a="1"/>
  <c r="AF250" i="40" s="1"/>
  <c r="AF277" i="40" s="1"/>
  <c r="N248" i="40" a="1"/>
  <c r="N248" i="40" s="1"/>
  <c r="N302" i="40" s="1"/>
  <c r="AW240" i="40" a="1"/>
  <c r="AW240" i="40" s="1"/>
  <c r="AJ249" i="40" a="1"/>
  <c r="AJ249" i="40" s="1"/>
  <c r="J241" i="40" a="1"/>
  <c r="J241" i="40" s="1"/>
  <c r="J268" i="40" s="1"/>
  <c r="BA236" i="40" a="1"/>
  <c r="BA236" i="40" s="1"/>
  <c r="BA290" i="40" s="1"/>
  <c r="L235" i="40" a="1"/>
  <c r="L235" i="40" s="1"/>
  <c r="AP252" i="40" a="1"/>
  <c r="AP252" i="40" s="1"/>
  <c r="AP306" i="40" s="1"/>
  <c r="AM232" i="40" a="1"/>
  <c r="AM232" i="40" s="1"/>
  <c r="AG252" i="40" a="1"/>
  <c r="AG252" i="40" s="1"/>
  <c r="AG279" i="40" s="1"/>
  <c r="AT250" i="40" a="1"/>
  <c r="AT250" i="40" s="1"/>
  <c r="R233" i="40" a="1"/>
  <c r="R233" i="40" s="1"/>
  <c r="R287" i="40" s="1"/>
  <c r="P246" i="40" a="1"/>
  <c r="P246" i="40" s="1"/>
  <c r="P300" i="40" s="1"/>
  <c r="T234" i="40" a="1"/>
  <c r="T234" i="40" s="1"/>
  <c r="T261" i="40" s="1"/>
  <c r="AK235" i="40" a="1"/>
  <c r="AK235" i="40" s="1"/>
  <c r="AK262" i="40" s="1"/>
  <c r="AC252" i="40" a="1"/>
  <c r="AC252" i="40" s="1"/>
  <c r="AC279" i="40" s="1"/>
  <c r="R252" i="40" a="1"/>
  <c r="R252" i="40" s="1"/>
  <c r="R306" i="40" s="1"/>
  <c r="O252" i="40" a="1"/>
  <c r="O252" i="40" s="1"/>
  <c r="O279" i="40" s="1"/>
  <c r="P245" i="40" a="1"/>
  <c r="P245" i="40" s="1"/>
  <c r="P299" i="40" s="1"/>
  <c r="AB247" i="40" a="1"/>
  <c r="AB247" i="40" s="1"/>
  <c r="AB301" i="40" s="1"/>
  <c r="J235" i="40" a="1"/>
  <c r="J235" i="40" s="1"/>
  <c r="J289" i="40" s="1"/>
  <c r="AF235" i="40" a="1"/>
  <c r="AF235" i="40" s="1"/>
  <c r="AF289" i="40" s="1"/>
  <c r="J252" i="40" a="1"/>
  <c r="J252" i="40" s="1"/>
  <c r="J279" i="40" s="1"/>
  <c r="AS235" i="40" a="1"/>
  <c r="AS235" i="40" s="1"/>
  <c r="AY249" i="40" a="1"/>
  <c r="AY249" i="40" s="1"/>
  <c r="AY303" i="40" s="1"/>
  <c r="AH237" i="40" a="1"/>
  <c r="AH237" i="40" s="1"/>
  <c r="AF248" i="40" a="1"/>
  <c r="AF248" i="40" s="1"/>
  <c r="AD251" i="40" a="1"/>
  <c r="AD251" i="40" s="1"/>
  <c r="BA252" i="40" a="1"/>
  <c r="BA252" i="40" s="1"/>
  <c r="BA306" i="40" s="1"/>
  <c r="Z239" i="40" a="1"/>
  <c r="Z239" i="40" s="1"/>
  <c r="Z266" i="40" s="1"/>
  <c r="AA252" i="40" a="1"/>
  <c r="AA252" i="40" s="1"/>
  <c r="AA279" i="40" s="1"/>
  <c r="AG244" i="40" a="1"/>
  <c r="AG244" i="40" s="1"/>
  <c r="AV252" i="40" a="1"/>
  <c r="AV252" i="40" s="1"/>
  <c r="AV279" i="40" s="1"/>
  <c r="O239" i="40" a="1"/>
  <c r="O239" i="40" s="1"/>
  <c r="O293" i="40" s="1"/>
  <c r="I232" i="40" a="1"/>
  <c r="I232" i="40" s="1"/>
  <c r="AT246" i="40" a="1"/>
  <c r="AT246" i="40" s="1"/>
  <c r="AR245" i="40" a="1"/>
  <c r="AR245" i="40" s="1"/>
  <c r="S241" i="40" a="1"/>
  <c r="S241" i="40" s="1"/>
  <c r="S295" i="40" s="1"/>
  <c r="AZ252" i="40" a="1"/>
  <c r="AZ252" i="40" s="1"/>
  <c r="AZ306" i="40" s="1"/>
  <c r="C241" i="40" a="1"/>
  <c r="C241" i="40" s="1"/>
  <c r="C295" i="40" s="1"/>
  <c r="I252" i="40" a="1"/>
  <c r="I252" i="40" s="1"/>
  <c r="I306" i="40" s="1"/>
  <c r="S252" i="40" a="1"/>
  <c r="S252" i="40" s="1"/>
  <c r="S306" i="40" s="1"/>
  <c r="AB240" i="40" a="1"/>
  <c r="AB240" i="40" s="1"/>
  <c r="AW242" i="40" a="1"/>
  <c r="AW242" i="40" s="1"/>
  <c r="N234" i="40" a="1"/>
  <c r="N234" i="40" s="1"/>
  <c r="N261" i="40" s="1"/>
  <c r="AI239" i="40" a="1"/>
  <c r="AI239" i="40" s="1"/>
  <c r="AB232" i="40" a="1"/>
  <c r="AB232" i="40" s="1"/>
  <c r="AB286" i="40" s="1"/>
  <c r="K237" i="40" a="1"/>
  <c r="K237" i="40" s="1"/>
  <c r="AG246" i="40" a="1"/>
  <c r="AG246" i="40" s="1"/>
  <c r="AH249" i="40" a="1"/>
  <c r="AH249" i="40" s="1"/>
  <c r="AH303" i="40" s="1"/>
  <c r="AT240" i="40" a="1"/>
  <c r="AT240" i="40" s="1"/>
  <c r="AT294" i="40" s="1"/>
  <c r="BA250" i="40" a="1"/>
  <c r="BA250" i="40" s="1"/>
  <c r="J242" i="40" a="1"/>
  <c r="J242" i="40" s="1"/>
  <c r="J296" i="40" s="1"/>
  <c r="AD9" i="12"/>
  <c r="AG9" i="12" s="1"/>
  <c r="AD232" i="40" a="1"/>
  <c r="AD232" i="40" s="1"/>
  <c r="AD286" i="40" s="1"/>
  <c r="E240" i="40" a="1"/>
  <c r="E240" i="40" s="1"/>
  <c r="AR238" i="40" a="1"/>
  <c r="AR238" i="40" s="1"/>
  <c r="AC250" i="40" a="1"/>
  <c r="AC250" i="40" s="1"/>
  <c r="I247" i="40" a="1"/>
  <c r="I247" i="40" s="1"/>
  <c r="AY248" i="40" a="1"/>
  <c r="AY248" i="40" s="1"/>
  <c r="AY302" i="40" s="1"/>
  <c r="N240" i="40" a="1"/>
  <c r="N240" i="40" s="1"/>
  <c r="AV236" i="40" a="1"/>
  <c r="AV236" i="40" s="1"/>
  <c r="AQ252" i="40" a="1"/>
  <c r="AQ252" i="40" s="1"/>
  <c r="AQ279" i="40" s="1"/>
  <c r="AB246" i="40" a="1"/>
  <c r="AB246" i="40" s="1"/>
  <c r="AB245" i="40" a="1"/>
  <c r="AB245" i="40" s="1"/>
  <c r="BF11" i="16"/>
  <c r="AU252" i="40" a="1"/>
  <c r="AU252" i="40" s="1"/>
  <c r="AU279" i="40" s="1"/>
  <c r="AX243" i="40" a="1"/>
  <c r="AX243" i="40" s="1"/>
  <c r="Z240" i="40" a="1"/>
  <c r="Z240" i="40" s="1"/>
  <c r="Z267" i="40" s="1"/>
  <c r="T252" i="40" a="1"/>
  <c r="T252" i="40" s="1"/>
  <c r="T306" i="40" s="1"/>
  <c r="AZ251" i="40" a="1"/>
  <c r="AZ251" i="40" s="1"/>
  <c r="AQ243" i="40" a="1"/>
  <c r="AQ243" i="40" s="1"/>
  <c r="AQ297" i="40" s="1"/>
  <c r="AR252" i="40" a="1"/>
  <c r="AR252" i="40" s="1"/>
  <c r="AR306" i="40" s="1"/>
  <c r="J248" i="40" a="1"/>
  <c r="J248" i="40" s="1"/>
  <c r="J275" i="40" s="1"/>
  <c r="AJ239" i="40" a="1"/>
  <c r="AJ239" i="40" s="1"/>
  <c r="AZ240" i="40" a="1"/>
  <c r="AZ240" i="40" s="1"/>
  <c r="AN252" i="40" a="1"/>
  <c r="AN252" i="40" s="1"/>
  <c r="AN279" i="40" s="1"/>
  <c r="I251" i="40" a="1"/>
  <c r="I251" i="40" s="1"/>
  <c r="AM244" i="40" a="1"/>
  <c r="AM244" i="40" s="1"/>
  <c r="AM271" i="40" s="1"/>
  <c r="AG240" i="40" a="1"/>
  <c r="AG240" i="40" s="1"/>
  <c r="AG267" i="40" s="1"/>
  <c r="AJ252" i="40" a="1"/>
  <c r="AJ252" i="40" s="1"/>
  <c r="AJ279" i="40" s="1"/>
  <c r="AF240" i="40" a="1"/>
  <c r="AF240" i="40" s="1"/>
  <c r="AF267" i="40" s="1"/>
  <c r="Y244" i="40" a="1"/>
  <c r="Y244" i="40" s="1"/>
  <c r="Y298" i="40" s="1"/>
  <c r="BA244" i="40" a="1"/>
  <c r="BA244" i="40" s="1"/>
  <c r="AN248" i="40" a="1"/>
  <c r="AN248" i="40" s="1"/>
  <c r="AT245" i="40" a="1"/>
  <c r="AT245" i="40" s="1"/>
  <c r="AH232" i="40" a="1"/>
  <c r="AH232" i="40" s="1"/>
  <c r="AH259" i="40" s="1"/>
  <c r="M237" i="40" a="1"/>
  <c r="M237" i="40" s="1"/>
  <c r="M264" i="40" s="1"/>
  <c r="AD249" i="40" a="1"/>
  <c r="AD249" i="40" s="1"/>
  <c r="AD303" i="40" s="1"/>
  <c r="AO233" i="40" a="1"/>
  <c r="AO233" i="40" s="1"/>
  <c r="AG237" i="40" a="1"/>
  <c r="AG237" i="40" s="1"/>
  <c r="W241" i="40" a="1"/>
  <c r="W241" i="40" s="1"/>
  <c r="W295" i="40" s="1"/>
  <c r="N249" i="40" a="1"/>
  <c r="N249" i="40" s="1"/>
  <c r="N243" i="40" a="1"/>
  <c r="N243" i="40" s="1"/>
  <c r="N297" i="40" s="1"/>
  <c r="AJ245" i="40" a="1"/>
  <c r="AJ245" i="40" s="1"/>
  <c r="AF252" i="40" a="1"/>
  <c r="AF252" i="40" s="1"/>
  <c r="AF279" i="40" s="1"/>
  <c r="O238" i="40" a="1"/>
  <c r="O238" i="40" s="1"/>
  <c r="O265" i="40" s="1"/>
  <c r="H233" i="40" a="1"/>
  <c r="H233" i="40" s="1"/>
  <c r="AP245" i="40" a="1"/>
  <c r="AP245" i="40" s="1"/>
  <c r="AH252" i="40" a="1"/>
  <c r="AH252" i="40" s="1"/>
  <c r="AH306" i="40" s="1"/>
  <c r="V246" i="40" a="1"/>
  <c r="V246" i="40" s="1"/>
  <c r="V273" i="40" s="1"/>
  <c r="AU236" i="40" a="1"/>
  <c r="AU236" i="40" s="1"/>
  <c r="AX245" i="40" a="1"/>
  <c r="AX245" i="40" s="1"/>
  <c r="R246" i="40" a="1"/>
  <c r="R246" i="40" s="1"/>
  <c r="Y238" i="40" a="1"/>
  <c r="Y238" i="40" s="1"/>
  <c r="Y292" i="40" s="1"/>
  <c r="L240" i="40" a="1"/>
  <c r="L240" i="40" s="1"/>
  <c r="AD242" i="40" a="1"/>
  <c r="AD242" i="40" s="1"/>
  <c r="AT251" i="40" a="1"/>
  <c r="AT251" i="40" s="1"/>
  <c r="AZ235" i="40" a="1"/>
  <c r="AZ235" i="40" s="1"/>
  <c r="AZ262" i="40" s="1"/>
  <c r="Q241" i="40" a="1"/>
  <c r="Q241" i="40" s="1"/>
  <c r="V231" i="40" a="1"/>
  <c r="V231" i="40" s="1"/>
  <c r="AC233" i="40" a="1"/>
  <c r="AC233" i="40" s="1"/>
  <c r="AC260" i="40" s="1"/>
  <c r="AZ250" i="40" a="1"/>
  <c r="AZ250" i="40" s="1"/>
  <c r="AZ304" i="40" s="1"/>
  <c r="V252" i="40" a="1"/>
  <c r="V252" i="40" s="1"/>
  <c r="V306" i="40" s="1"/>
  <c r="AL245" i="40" a="1"/>
  <c r="AL245" i="40" s="1"/>
  <c r="AL299" i="40" s="1"/>
  <c r="AX247" i="40" a="1"/>
  <c r="AX247" i="40" s="1"/>
  <c r="AF247" i="40" a="1"/>
  <c r="AF247" i="40" s="1"/>
  <c r="AK252" i="40" a="1"/>
  <c r="AK252" i="40" s="1"/>
  <c r="AK306" i="40" s="1"/>
  <c r="AY250" i="40" a="1"/>
  <c r="AY250" i="40" s="1"/>
  <c r="I246" i="40" a="1"/>
  <c r="I246" i="40" s="1"/>
  <c r="I300" i="40" s="1"/>
  <c r="AY247" i="40" a="1"/>
  <c r="AY247" i="40" s="1"/>
  <c r="I231" i="40" a="1"/>
  <c r="I231" i="40" s="1"/>
  <c r="I285" i="40" s="1"/>
  <c r="AB250" i="40" a="1"/>
  <c r="AB250" i="40" s="1"/>
  <c r="AB223" i="40" a="1"/>
  <c r="AB223" i="40" s="1"/>
  <c r="AR237" i="40" a="1"/>
  <c r="AR237" i="40" s="1"/>
  <c r="BA237" i="40" a="1"/>
  <c r="BA237" i="40" s="1"/>
  <c r="BA210" i="40" a="1"/>
  <c r="BA210" i="40" s="1"/>
  <c r="BA249" i="40" a="1"/>
  <c r="BA249" i="40" s="1"/>
  <c r="X252" i="40" a="1"/>
  <c r="X252" i="40" s="1"/>
  <c r="X306" i="40" s="1"/>
  <c r="BA246" i="40" a="1"/>
  <c r="BA246" i="40" s="1"/>
  <c r="BA273" i="40" s="1"/>
  <c r="AH234" i="40" a="1"/>
  <c r="AH234" i="40" s="1"/>
  <c r="AX242" i="40" a="1"/>
  <c r="AX242" i="40" s="1"/>
  <c r="AX215" i="40" a="1"/>
  <c r="AX215" i="40" s="1"/>
  <c r="Y252" i="40" a="1"/>
  <c r="Y252" i="40" s="1"/>
  <c r="Y306" i="40" s="1"/>
  <c r="AL249" i="40" a="1"/>
  <c r="AL249" i="40" s="1"/>
  <c r="AL246" i="40" a="1"/>
  <c r="AL246" i="40" s="1"/>
  <c r="AL300" i="40" s="1"/>
  <c r="AN240" i="40" a="1"/>
  <c r="AN240" i="40" s="1"/>
  <c r="AN294" i="40" s="1"/>
  <c r="AA232" i="40" a="1"/>
  <c r="AA232" i="40" s="1"/>
  <c r="AR241" i="40" a="1"/>
  <c r="AR241" i="40" s="1"/>
  <c r="AR214" i="40" a="1"/>
  <c r="AR214" i="40" s="1"/>
  <c r="M240" i="40" a="1"/>
  <c r="M240" i="40" s="1"/>
  <c r="M213" i="40" a="1"/>
  <c r="M213" i="40" s="1"/>
  <c r="D243" i="40" a="1"/>
  <c r="D243" i="40" s="1"/>
  <c r="D216" i="40" a="1"/>
  <c r="D216" i="40" s="1"/>
  <c r="BB216" i="40" s="1"/>
  <c r="AX250" i="40" a="1"/>
  <c r="AX250" i="40" s="1"/>
  <c r="K236" i="40" a="1"/>
  <c r="K236" i="40" s="1"/>
  <c r="AV241" i="40" a="1"/>
  <c r="AV241" i="40" s="1"/>
  <c r="X241" i="40" a="1"/>
  <c r="X241" i="40" s="1"/>
  <c r="X295" i="40" s="1"/>
  <c r="AG249" i="40" a="1"/>
  <c r="AG249" i="40" s="1"/>
  <c r="AG222" i="40" a="1"/>
  <c r="AG222" i="40" s="1"/>
  <c r="N244" i="40" a="1"/>
  <c r="N244" i="40" s="1"/>
  <c r="N217" i="40" a="1"/>
  <c r="N217" i="40" s="1"/>
  <c r="BB217" i="40" s="1"/>
  <c r="T243" i="40" a="1"/>
  <c r="T243" i="40" s="1"/>
  <c r="T297" i="40" s="1"/>
  <c r="AQ241" i="40" a="1"/>
  <c r="AQ241" i="40" s="1"/>
  <c r="AQ268" i="40" s="1"/>
  <c r="AV240" i="40" a="1"/>
  <c r="AV240" i="40" s="1"/>
  <c r="AV294" i="40" s="1"/>
  <c r="AZ249" i="40" a="1"/>
  <c r="AZ249" i="40" s="1"/>
  <c r="AZ222" i="40" a="1"/>
  <c r="AZ222" i="40" s="1"/>
  <c r="AM241" i="40" a="1"/>
  <c r="AM241" i="40" s="1"/>
  <c r="AM214" i="40" a="1"/>
  <c r="AM214" i="40" s="1"/>
  <c r="AY245" i="40" a="1"/>
  <c r="AY245" i="40" s="1"/>
  <c r="AY299" i="40" s="1"/>
  <c r="C240" i="40" a="1"/>
  <c r="C240" i="40" s="1"/>
  <c r="AM252" i="40" a="1"/>
  <c r="AM252" i="40" s="1"/>
  <c r="AM306" i="40" s="1"/>
  <c r="R237" i="40" a="1"/>
  <c r="R237" i="40" s="1"/>
  <c r="AC247" i="40" a="1"/>
  <c r="AC247" i="40" s="1"/>
  <c r="AC220" i="40" a="1"/>
  <c r="AC220" i="40" s="1"/>
  <c r="H242" i="40" a="1"/>
  <c r="H242" i="40" s="1"/>
  <c r="H215" i="40" a="1"/>
  <c r="H215" i="40" s="1"/>
  <c r="AX251" i="40" a="1"/>
  <c r="AX251" i="40" s="1"/>
  <c r="AX305" i="40" s="1"/>
  <c r="V248" i="40" a="1"/>
  <c r="V248" i="40" s="1"/>
  <c r="AR250" i="40" a="1"/>
  <c r="AR250" i="40" s="1"/>
  <c r="AR304" i="40" s="1"/>
  <c r="AE239" i="40" a="1"/>
  <c r="AE239" i="40" s="1"/>
  <c r="AE293" i="40" s="1"/>
  <c r="AM238" i="40" a="1"/>
  <c r="AM238" i="40" s="1"/>
  <c r="I234" i="40" a="1"/>
  <c r="I234" i="40" s="1"/>
  <c r="I288" i="40" s="1"/>
  <c r="R240" i="40" a="1"/>
  <c r="R240" i="40" s="1"/>
  <c r="R267" i="40" s="1"/>
  <c r="N247" i="40" a="1"/>
  <c r="N247" i="40" s="1"/>
  <c r="N301" i="40" s="1"/>
  <c r="M250" i="40" a="1"/>
  <c r="M250" i="40" s="1"/>
  <c r="M304" i="40" s="1"/>
  <c r="AC245" i="40" a="1"/>
  <c r="AC245" i="40" s="1"/>
  <c r="N232" i="40" a="1"/>
  <c r="N232" i="40" s="1"/>
  <c r="AC234" i="40" a="1"/>
  <c r="AC234" i="40" s="1"/>
  <c r="T244" i="40" a="1"/>
  <c r="T244" i="40" s="1"/>
  <c r="AI234" i="40" a="1"/>
  <c r="AI234" i="40" s="1"/>
  <c r="AY235" i="40" a="1"/>
  <c r="AY235" i="40" s="1"/>
  <c r="AH229" i="40" a="1"/>
  <c r="AH229" i="40" s="1"/>
  <c r="AH283" i="40" s="1"/>
  <c r="AG233" i="40" a="1"/>
  <c r="AG233" i="40" s="1"/>
  <c r="C249" i="40" a="1"/>
  <c r="C249" i="40" s="1"/>
  <c r="AW237" i="40" a="1"/>
  <c r="AW237" i="40" s="1"/>
  <c r="AW291" i="40" s="1"/>
  <c r="AG236" i="40" a="1"/>
  <c r="AG236" i="40" s="1"/>
  <c r="E233" i="40" a="1"/>
  <c r="E233" i="40" s="1"/>
  <c r="E287" i="40" s="1"/>
  <c r="K230" i="40" a="1"/>
  <c r="K230" i="40" s="1"/>
  <c r="K284" i="40" s="1"/>
  <c r="AU232" i="40" a="1"/>
  <c r="AU232" i="40" s="1"/>
  <c r="AU259" i="40" s="1"/>
  <c r="Z249" i="40" a="1"/>
  <c r="Z249" i="40" s="1"/>
  <c r="Z303" i="40" s="1"/>
  <c r="AF231" i="40" a="1"/>
  <c r="AF231" i="40" s="1"/>
  <c r="R247" i="40" a="1"/>
  <c r="R247" i="40" s="1"/>
  <c r="R301" i="40" s="1"/>
  <c r="Z243" i="40" a="1"/>
  <c r="Z243" i="40" s="1"/>
  <c r="Z270" i="40" s="1"/>
  <c r="AF230" i="40" a="1"/>
  <c r="AF230" i="40" s="1"/>
  <c r="AF284" i="40" s="1"/>
  <c r="V247" i="40" a="1"/>
  <c r="V247" i="40" s="1"/>
  <c r="V301" i="40" s="1"/>
  <c r="X251" i="40" a="1"/>
  <c r="X251" i="40" s="1"/>
  <c r="X278" i="40" s="1"/>
  <c r="G250" i="40" a="1"/>
  <c r="G250" i="40" s="1"/>
  <c r="C230" i="40" a="1"/>
  <c r="C230" i="40" s="1"/>
  <c r="C284" i="40" s="1"/>
  <c r="AV231" i="40" a="1"/>
  <c r="AV231" i="40" s="1"/>
  <c r="AM246" i="40" a="1"/>
  <c r="AM246" i="40" s="1"/>
  <c r="J251" i="40" a="1"/>
  <c r="J251" i="40" s="1"/>
  <c r="AK248" i="40" a="1"/>
  <c r="AK248" i="40" s="1"/>
  <c r="AK275" i="40" s="1"/>
  <c r="J240" i="40" a="1"/>
  <c r="J240" i="40" s="1"/>
  <c r="AD229" i="40" a="1"/>
  <c r="AD229" i="40" s="1"/>
  <c r="AD283" i="40" s="1"/>
  <c r="G239" i="40" a="1"/>
  <c r="G239" i="40" s="1"/>
  <c r="AR239" i="40" a="1"/>
  <c r="AR239" i="40" s="1"/>
  <c r="AR293" i="40" s="1"/>
  <c r="AQ244" i="40" a="1"/>
  <c r="AQ244" i="40" s="1"/>
  <c r="AV248" i="40" a="1"/>
  <c r="AV248" i="40" s="1"/>
  <c r="AV302" i="40" s="1"/>
  <c r="AA235" i="40" a="1"/>
  <c r="AA235" i="40" s="1"/>
  <c r="AA289" i="40" s="1"/>
  <c r="D229" i="40" a="1"/>
  <c r="D229" i="40" s="1"/>
  <c r="D283" i="40" s="1"/>
  <c r="AA237" i="40" a="1"/>
  <c r="AA237" i="40" s="1"/>
  <c r="AA291" i="40" s="1"/>
  <c r="AT244" i="40" a="1"/>
  <c r="AT244" i="40" s="1"/>
  <c r="AF244" i="40" a="1"/>
  <c r="AF244" i="40" s="1"/>
  <c r="AF271" i="40" s="1"/>
  <c r="AU241" i="40" a="1"/>
  <c r="AU241" i="40" s="1"/>
  <c r="F245" i="40" a="1"/>
  <c r="F245" i="40" s="1"/>
  <c r="X230" i="40" a="1"/>
  <c r="X230" i="40" s="1"/>
  <c r="X284" i="40" s="1"/>
  <c r="AR233" i="40" a="1"/>
  <c r="AR233" i="40" s="1"/>
  <c r="AR287" i="40" s="1"/>
  <c r="AP231" i="40" a="1"/>
  <c r="AP231" i="40" s="1"/>
  <c r="AU237" i="40" a="1"/>
  <c r="AU237" i="40" s="1"/>
  <c r="AU244" i="40" a="1"/>
  <c r="AU244" i="40" s="1"/>
  <c r="AU298" i="40" s="1"/>
  <c r="AX237" i="40" a="1"/>
  <c r="AX237" i="40" s="1"/>
  <c r="AX291" i="40" s="1"/>
  <c r="AE229" i="40" a="1"/>
  <c r="AE229" i="40" s="1"/>
  <c r="AE283" i="40" s="1"/>
  <c r="O245" i="40" a="1"/>
  <c r="O245" i="40" s="1"/>
  <c r="O299" i="40" s="1"/>
  <c r="AC235" i="40" a="1"/>
  <c r="AC235" i="40" s="1"/>
  <c r="AC289" i="40" s="1"/>
  <c r="K249" i="40" a="1"/>
  <c r="K249" i="40" s="1"/>
  <c r="K303" i="40" s="1"/>
  <c r="AV230" i="40" a="1"/>
  <c r="AV230" i="40" s="1"/>
  <c r="AV284" i="40" s="1"/>
  <c r="AQ245" i="40" a="1"/>
  <c r="AQ245" i="40" s="1"/>
  <c r="D233" i="40" a="1"/>
  <c r="D233" i="40" s="1"/>
  <c r="D287" i="40" s="1"/>
  <c r="AK249" i="40" a="1"/>
  <c r="AK249" i="40" s="1"/>
  <c r="G247" i="40" a="1"/>
  <c r="G247" i="40" s="1"/>
  <c r="U248" i="40" a="1"/>
  <c r="U248" i="40" s="1"/>
  <c r="U275" i="40" s="1"/>
  <c r="S230" i="40" a="1"/>
  <c r="S230" i="40" s="1"/>
  <c r="S284" i="40" s="1"/>
  <c r="N250" i="40" a="1"/>
  <c r="N250" i="40" s="1"/>
  <c r="AX232" i="40" a="1"/>
  <c r="AX232" i="40" s="1"/>
  <c r="L232" i="40" a="1"/>
  <c r="L232" i="40" s="1"/>
  <c r="L259" i="40" s="1"/>
  <c r="U232" i="40" a="1"/>
  <c r="U232" i="40" s="1"/>
  <c r="AO239" i="40" a="1"/>
  <c r="AO239" i="40" s="1"/>
  <c r="AA234" i="40" a="1"/>
  <c r="AA234" i="40" s="1"/>
  <c r="AA288" i="40" s="1"/>
  <c r="BA240" i="40" a="1"/>
  <c r="BA240" i="40" s="1"/>
  <c r="BA294" i="40" s="1"/>
  <c r="AG250" i="40" a="1"/>
  <c r="AG250" i="40" s="1"/>
  <c r="BA243" i="40" a="1"/>
  <c r="BA243" i="40" s="1"/>
  <c r="BA297" i="40" s="1"/>
  <c r="S233" i="40" a="1"/>
  <c r="S233" i="40" s="1"/>
  <c r="S287" i="40" s="1"/>
  <c r="G248" i="40" a="1"/>
  <c r="G248" i="40" s="1"/>
  <c r="BA229" i="40" a="1"/>
  <c r="BA229" i="40" s="1"/>
  <c r="BA283" i="40" s="1"/>
  <c r="AS237" i="40" a="1"/>
  <c r="AS237" i="40" s="1"/>
  <c r="AS291" i="40" s="1"/>
  <c r="AZ244" i="40" a="1"/>
  <c r="AZ244" i="40" s="1"/>
  <c r="AO236" i="40" a="1"/>
  <c r="AO236" i="40" s="1"/>
  <c r="AF245" i="40" a="1"/>
  <c r="AF245" i="40" s="1"/>
  <c r="AF299" i="40" s="1"/>
  <c r="Z238" i="40" a="1"/>
  <c r="Z238" i="40" s="1"/>
  <c r="Z265" i="40" s="1"/>
  <c r="AH240" i="40" a="1"/>
  <c r="AH240" i="40" s="1"/>
  <c r="AX229" i="40" a="1"/>
  <c r="AX229" i="40" s="1"/>
  <c r="AX283" i="40" s="1"/>
  <c r="R251" i="40" a="1"/>
  <c r="R251" i="40" s="1"/>
  <c r="AI240" i="40" a="1"/>
  <c r="AI240" i="40" s="1"/>
  <c r="AN246" i="40" a="1"/>
  <c r="AN246" i="40" s="1"/>
  <c r="AI246" i="40" a="1"/>
  <c r="AI246" i="40" s="1"/>
  <c r="AJ235" i="40" a="1"/>
  <c r="AJ235" i="40" s="1"/>
  <c r="T250" i="40" a="1"/>
  <c r="T250" i="40" s="1"/>
  <c r="S237" i="40" a="1"/>
  <c r="S237" i="40" s="1"/>
  <c r="Y246" i="40" a="1"/>
  <c r="Y246" i="40" s="1"/>
  <c r="Y300" i="40" s="1"/>
  <c r="AA250" i="40" a="1"/>
  <c r="AA250" i="40" s="1"/>
  <c r="AA304" i="40" s="1"/>
  <c r="S248" i="40" a="1"/>
  <c r="S248" i="40" s="1"/>
  <c r="S302" i="40" s="1"/>
  <c r="I249" i="40" a="1"/>
  <c r="I249" i="40" s="1"/>
  <c r="I303" i="40" s="1"/>
  <c r="G235" i="40" a="1"/>
  <c r="G235" i="40" s="1"/>
  <c r="G243" i="40" a="1"/>
  <c r="G243" i="40" s="1"/>
  <c r="G297" i="40" s="1"/>
  <c r="R230" i="40" a="1"/>
  <c r="R230" i="40" s="1"/>
  <c r="R284" i="40" s="1"/>
  <c r="H229" i="40" a="1"/>
  <c r="H229" i="40" s="1"/>
  <c r="H283" i="40" s="1"/>
  <c r="AY230" i="40" a="1"/>
  <c r="AY230" i="40" s="1"/>
  <c r="AY284" i="40" s="1"/>
  <c r="AU230" i="40" a="1"/>
  <c r="AU230" i="40" s="1"/>
  <c r="AU284" i="40" s="1"/>
  <c r="AQ230" i="40" a="1"/>
  <c r="AQ230" i="40" s="1"/>
  <c r="AQ284" i="40" s="1"/>
  <c r="O230" i="40" a="1"/>
  <c r="O230" i="40" s="1"/>
  <c r="O284" i="40" s="1"/>
  <c r="AV239" i="40" a="1"/>
  <c r="AV239" i="40" s="1"/>
  <c r="AV293" i="40" s="1"/>
  <c r="BA242" i="40" a="1"/>
  <c r="BA242" i="40" s="1"/>
  <c r="V249" i="40" a="1"/>
  <c r="V249" i="40" s="1"/>
  <c r="AJ251" i="40" a="1"/>
  <c r="AJ251" i="40" s="1"/>
  <c r="AJ305" i="40" s="1"/>
  <c r="AV245" i="40" a="1"/>
  <c r="AV245" i="40" s="1"/>
  <c r="Y237" i="40" a="1"/>
  <c r="Y237" i="40" s="1"/>
  <c r="T247" i="40" a="1"/>
  <c r="T247" i="40" s="1"/>
  <c r="AH236" i="40" a="1"/>
  <c r="AH236" i="40" s="1"/>
  <c r="AC244" i="40" a="1"/>
  <c r="AC244" i="40" s="1"/>
  <c r="AC271" i="40" s="1"/>
  <c r="Q251" i="40" a="1"/>
  <c r="Q251" i="40" s="1"/>
  <c r="Y232" i="40" a="1"/>
  <c r="Y232" i="40" s="1"/>
  <c r="AL239" i="40" a="1"/>
  <c r="AL239" i="40" s="1"/>
  <c r="AL293" i="40" s="1"/>
  <c r="U251" i="40" a="1"/>
  <c r="U251" i="40" s="1"/>
  <c r="AW243" i="40" a="1"/>
  <c r="AW243" i="40" s="1"/>
  <c r="AW297" i="40" s="1"/>
  <c r="BA248" i="40" a="1"/>
  <c r="BA248" i="40" s="1"/>
  <c r="AH243" i="40" a="1"/>
  <c r="AH243" i="40" s="1"/>
  <c r="AH270" i="40" s="1"/>
  <c r="M251" i="40" a="1"/>
  <c r="M251" i="40" s="1"/>
  <c r="AV251" i="40" a="1"/>
  <c r="AV251" i="40" s="1"/>
  <c r="AD235" i="40" a="1"/>
  <c r="AD235" i="40" s="1"/>
  <c r="AK233" i="40" a="1"/>
  <c r="AK233" i="40" s="1"/>
  <c r="AK287" i="40" s="1"/>
  <c r="AF242" i="40" a="1"/>
  <c r="AF242" i="40" s="1"/>
  <c r="AL236" i="40" a="1"/>
  <c r="AL236" i="40" s="1"/>
  <c r="AU247" i="40" a="1"/>
  <c r="AU247" i="40" s="1"/>
  <c r="AV234" i="40" a="1"/>
  <c r="AV234" i="40" s="1"/>
  <c r="C235" i="40" a="1"/>
  <c r="C235" i="40" s="1"/>
  <c r="AP233" i="40" a="1"/>
  <c r="AP233" i="40" s="1"/>
  <c r="AH233" i="40" a="1"/>
  <c r="AH233" i="40" s="1"/>
  <c r="AH287" i="40" s="1"/>
  <c r="AM236" i="40" a="1"/>
  <c r="AM236" i="40" s="1"/>
  <c r="AM290" i="40" s="1"/>
  <c r="T242" i="40" a="1"/>
  <c r="T242" i="40" s="1"/>
  <c r="T296" i="40" s="1"/>
  <c r="AI235" i="40" a="1"/>
  <c r="AI235" i="40" s="1"/>
  <c r="AI289" i="40" s="1"/>
  <c r="AJ241" i="40" a="1"/>
  <c r="AJ241" i="40" s="1"/>
  <c r="AJ295" i="40" s="1"/>
  <c r="AL233" i="40" a="1"/>
  <c r="AL233" i="40" s="1"/>
  <c r="AK250" i="40" a="1"/>
  <c r="AK250" i="40" s="1"/>
  <c r="AK304" i="40" s="1"/>
  <c r="W234" i="40" a="1"/>
  <c r="W234" i="40" s="1"/>
  <c r="W288" i="40" s="1"/>
  <c r="BA251" i="40" a="1"/>
  <c r="BA251" i="40" s="1"/>
  <c r="AF251" i="40" a="1"/>
  <c r="AF251" i="40" s="1"/>
  <c r="X248" i="40" a="1"/>
  <c r="X248" i="40" s="1"/>
  <c r="X302" i="40" s="1"/>
  <c r="AT232" i="40" a="1"/>
  <c r="AT232" i="40" s="1"/>
  <c r="AT286" i="40" s="1"/>
  <c r="AD239" i="40" a="1"/>
  <c r="AD239" i="40" s="1"/>
  <c r="AD266" i="40" s="1"/>
  <c r="V232" i="40" a="1"/>
  <c r="V232" i="40" s="1"/>
  <c r="V286" i="40" s="1"/>
  <c r="AF238" i="40" a="1"/>
  <c r="AF238" i="40" s="1"/>
  <c r="AN234" i="40" a="1"/>
  <c r="AN234" i="40" s="1"/>
  <c r="AM240" i="40" a="1"/>
  <c r="AM240" i="40" s="1"/>
  <c r="AM294" i="40" s="1"/>
  <c r="AR249" i="40" a="1"/>
  <c r="AR249" i="40" s="1"/>
  <c r="AR303" i="40" s="1"/>
  <c r="C244" i="40" a="1"/>
  <c r="C244" i="40" s="1"/>
  <c r="M234" i="40" a="1"/>
  <c r="M234" i="40" s="1"/>
  <c r="AY244" i="40" a="1"/>
  <c r="AY244" i="40" s="1"/>
  <c r="AY298" i="40" s="1"/>
  <c r="AI242" i="40" a="1"/>
  <c r="AI242" i="40" s="1"/>
  <c r="O234" i="40" a="1"/>
  <c r="O234" i="40" s="1"/>
  <c r="AY240" i="40" a="1"/>
  <c r="AY240" i="40" s="1"/>
  <c r="P241" i="40" a="1"/>
  <c r="P241" i="40" s="1"/>
  <c r="Z247" i="40" a="1"/>
  <c r="Z247" i="40" s="1"/>
  <c r="AO248" i="40" a="1"/>
  <c r="AO248" i="40" s="1"/>
  <c r="AO275" i="40" s="1"/>
  <c r="W244" i="40" a="1"/>
  <c r="W244" i="40" s="1"/>
  <c r="W298" i="40" s="1"/>
  <c r="X240" i="40" a="1"/>
  <c r="X240" i="40" s="1"/>
  <c r="Z241" i="40" a="1"/>
  <c r="Z241" i="40" s="1"/>
  <c r="AN241" i="40" a="1"/>
  <c r="AN241" i="40" s="1"/>
  <c r="Y236" i="40" a="1"/>
  <c r="Y236" i="40" s="1"/>
  <c r="Y290" i="40" s="1"/>
  <c r="AJ230" i="40" a="1"/>
  <c r="AJ230" i="40" s="1"/>
  <c r="AJ257" i="40" s="1"/>
  <c r="Z236" i="40" a="1"/>
  <c r="Z236" i="40" s="1"/>
  <c r="AR251" i="40" a="1"/>
  <c r="AR251" i="40" s="1"/>
  <c r="AF246" i="40" a="1"/>
  <c r="AF246" i="40" s="1"/>
  <c r="AF300" i="40" s="1"/>
  <c r="T239" i="40" a="1"/>
  <c r="T239" i="40" s="1"/>
  <c r="D246" i="40" a="1"/>
  <c r="D246" i="40" s="1"/>
  <c r="W251" i="40" a="1"/>
  <c r="W251" i="40" s="1"/>
  <c r="AA239" i="40" a="1"/>
  <c r="AA239" i="40" s="1"/>
  <c r="I240" i="40" a="1"/>
  <c r="I240" i="40" s="1"/>
  <c r="I267" i="40" s="1"/>
  <c r="AS248" i="40" a="1"/>
  <c r="AS248" i="40" s="1"/>
  <c r="AW234" i="40" a="1"/>
  <c r="AW234" i="40" s="1"/>
  <c r="Q230" i="40" a="1"/>
  <c r="Q230" i="40" s="1"/>
  <c r="Q284" i="40" s="1"/>
  <c r="AH230" i="40" a="1"/>
  <c r="AH230" i="40" s="1"/>
  <c r="AH284" i="40" s="1"/>
  <c r="AD230" i="40" a="1"/>
  <c r="AD230" i="40" s="1"/>
  <c r="AD284" i="40" s="1"/>
  <c r="Z230" i="40" a="1"/>
  <c r="Z230" i="40" s="1"/>
  <c r="Z284" i="40" s="1"/>
  <c r="V230" i="40" a="1"/>
  <c r="V230" i="40" s="1"/>
  <c r="V284" i="40" s="1"/>
  <c r="K241" i="40" a="1"/>
  <c r="K241" i="40" s="1"/>
  <c r="AS234" i="40" a="1"/>
  <c r="AS234" i="40" s="1"/>
  <c r="U240" i="40" a="1"/>
  <c r="U240" i="40" s="1"/>
  <c r="U294" i="40" s="1"/>
  <c r="O242" i="40" a="1"/>
  <c r="O242" i="40" s="1"/>
  <c r="AE237" i="40" a="1"/>
  <c r="AE237" i="40" s="1"/>
  <c r="AW244" i="40" a="1"/>
  <c r="AW244" i="40" s="1"/>
  <c r="AW298" i="40" s="1"/>
  <c r="AN250" i="40" a="1"/>
  <c r="AN250" i="40" s="1"/>
  <c r="Q238" i="40" a="1"/>
  <c r="Q238" i="40" s="1"/>
  <c r="Q292" i="40" s="1"/>
  <c r="AU242" i="40" a="1"/>
  <c r="AU242" i="40" s="1"/>
  <c r="AN249" i="40" a="1"/>
  <c r="AN249" i="40" s="1"/>
  <c r="AN303" i="40" s="1"/>
  <c r="X244" i="40" a="1"/>
  <c r="X244" i="40" s="1"/>
  <c r="AT241" i="40" a="1"/>
  <c r="AT241" i="40" s="1"/>
  <c r="AR232" i="40" a="1"/>
  <c r="AR232" i="40" s="1"/>
  <c r="AR259" i="40" s="1"/>
  <c r="AZ245" i="40" a="1"/>
  <c r="AZ245" i="40" s="1"/>
  <c r="AZ299" i="40" s="1"/>
  <c r="H241" i="40" a="1"/>
  <c r="H241" i="40" s="1"/>
  <c r="H295" i="40" s="1"/>
  <c r="X237" i="40" a="1"/>
  <c r="X237" i="40" s="1"/>
  <c r="AK237" i="40" a="1"/>
  <c r="AK237" i="40" s="1"/>
  <c r="Y233" i="40" a="1"/>
  <c r="Y233" i="40" s="1"/>
  <c r="Y287" i="40" s="1"/>
  <c r="V239" i="40" a="1"/>
  <c r="V239" i="40" s="1"/>
  <c r="U235" i="40" a="1"/>
  <c r="U235" i="40" s="1"/>
  <c r="U262" i="40" s="1"/>
  <c r="V245" i="40" a="1"/>
  <c r="V245" i="40" s="1"/>
  <c r="V299" i="40" s="1"/>
  <c r="AU243" i="40" a="1"/>
  <c r="AU243" i="40" s="1"/>
  <c r="AU297" i="40" s="1"/>
  <c r="K233" i="40" a="1"/>
  <c r="K233" i="40" s="1"/>
  <c r="K287" i="40" s="1"/>
  <c r="P243" i="40" a="1"/>
  <c r="P243" i="40" s="1"/>
  <c r="AI241" i="40" a="1"/>
  <c r="AI241" i="40" s="1"/>
  <c r="AK245" i="40" a="1"/>
  <c r="AK245" i="40" s="1"/>
  <c r="AG241" i="40" a="1"/>
  <c r="AG241" i="40" s="1"/>
  <c r="K242" i="40" a="1"/>
  <c r="K242" i="40" s="1"/>
  <c r="K296" i="40" s="1"/>
  <c r="J245" i="40" a="1"/>
  <c r="J245" i="40" s="1"/>
  <c r="J299" i="40" s="1"/>
  <c r="AA247" i="40" a="1"/>
  <c r="AA247" i="40" s="1"/>
  <c r="AA301" i="40" s="1"/>
  <c r="AG234" i="40" a="1"/>
  <c r="AG234" i="40" s="1"/>
  <c r="AG288" i="40" s="1"/>
  <c r="AG245" i="40" a="1"/>
  <c r="AG245" i="40" s="1"/>
  <c r="O243" i="40" a="1"/>
  <c r="O243" i="40" s="1"/>
  <c r="E232" i="40" a="1"/>
  <c r="E232" i="40" s="1"/>
  <c r="AE238" i="40" a="1"/>
  <c r="AE238" i="40" s="1"/>
  <c r="AE265" i="40" s="1"/>
  <c r="O237" i="40" a="1"/>
  <c r="O237" i="40" s="1"/>
  <c r="R231" i="40" a="1"/>
  <c r="R231" i="40" s="1"/>
  <c r="R285" i="40" s="1"/>
  <c r="AR231" i="40" a="1"/>
  <c r="AR231" i="40" s="1"/>
  <c r="AR285" i="40" s="1"/>
  <c r="X231" i="40" a="1"/>
  <c r="X231" i="40" s="1"/>
  <c r="X285" i="40" s="1"/>
  <c r="P235" i="40" a="1"/>
  <c r="P235" i="40" s="1"/>
  <c r="P289" i="40" s="1"/>
  <c r="U246" i="40" a="1"/>
  <c r="U246" i="40" s="1"/>
  <c r="AD241" i="40" a="1"/>
  <c r="AD241" i="40" s="1"/>
  <c r="AD295" i="40" s="1"/>
  <c r="AP235" i="40" a="1"/>
  <c r="AP235" i="40" s="1"/>
  <c r="AP262" i="40" s="1"/>
  <c r="M233" i="40" a="1"/>
  <c r="M233" i="40" s="1"/>
  <c r="M287" i="40" s="1"/>
  <c r="AG248" i="40" a="1"/>
  <c r="AG248" i="40" s="1"/>
  <c r="L236" i="40" a="1"/>
  <c r="L236" i="40" s="1"/>
  <c r="L290" i="40" s="1"/>
  <c r="AM235" i="40" a="1"/>
  <c r="AM235" i="40" s="1"/>
  <c r="AP229" i="40" a="1"/>
  <c r="AP229" i="40" s="1"/>
  <c r="AP256" i="40" s="1"/>
  <c r="AA248" i="40" a="1"/>
  <c r="AA248" i="40" s="1"/>
  <c r="L242" i="40" a="1"/>
  <c r="L242" i="40" s="1"/>
  <c r="L296" i="40" s="1"/>
  <c r="AJ232" i="40" a="1"/>
  <c r="AJ232" i="40" s="1"/>
  <c r="C248" i="40" a="1"/>
  <c r="C248" i="40" s="1"/>
  <c r="Q229" i="40" a="1"/>
  <c r="Q229" i="40" s="1"/>
  <c r="Q283" i="40" s="1"/>
  <c r="O232" i="40" a="1"/>
  <c r="O232" i="40" s="1"/>
  <c r="O259" i="40" s="1"/>
  <c r="T231" i="40" a="1"/>
  <c r="T231" i="40" s="1"/>
  <c r="F240" i="40" a="1"/>
  <c r="F240" i="40" s="1"/>
  <c r="AR230" i="40" a="1"/>
  <c r="AR230" i="40" s="1"/>
  <c r="AR284" i="40" s="1"/>
  <c r="X245" i="40" a="1"/>
  <c r="X245" i="40" s="1"/>
  <c r="X299" i="40" s="1"/>
  <c r="AB241" i="40" a="1"/>
  <c r="AB241" i="40" s="1"/>
  <c r="AB295" i="40" s="1"/>
  <c r="AN242" i="40" a="1"/>
  <c r="AN242" i="40" s="1"/>
  <c r="AN296" i="40" s="1"/>
  <c r="D250" i="40" a="1"/>
  <c r="D250" i="40" s="1"/>
  <c r="AU229" i="40" a="1"/>
  <c r="AU229" i="40" s="1"/>
  <c r="AU283" i="40" s="1"/>
  <c r="S246" i="40" a="1"/>
  <c r="S246" i="40" s="1"/>
  <c r="C231" i="40" a="1"/>
  <c r="C231" i="40" s="1"/>
  <c r="E242" i="40" a="1"/>
  <c r="E242" i="40" s="1"/>
  <c r="E296" i="40" s="1"/>
  <c r="AI231" i="40" a="1"/>
  <c r="AI231" i="40" s="1"/>
  <c r="AD248" i="40" a="1"/>
  <c r="AD248" i="40" s="1"/>
  <c r="AD302" i="40" s="1"/>
  <c r="U247" i="40" a="1"/>
  <c r="U247" i="40" s="1"/>
  <c r="AK238" i="40" a="1"/>
  <c r="AK238" i="40" s="1"/>
  <c r="AK292" i="40" s="1"/>
  <c r="AM250" i="40" a="1"/>
  <c r="AM250" i="40" s="1"/>
  <c r="E237" i="40" a="1"/>
  <c r="E237" i="40" s="1"/>
  <c r="Y243" i="40" a="1"/>
  <c r="Y243" i="40" s="1"/>
  <c r="Y297" i="40" s="1"/>
  <c r="AD245" i="40" a="1"/>
  <c r="AD245" i="40" s="1"/>
  <c r="AD299" i="40" s="1"/>
  <c r="AS241" i="40" a="1"/>
  <c r="AS241" i="40" s="1"/>
  <c r="AK239" i="40" a="1"/>
  <c r="AK239" i="40" s="1"/>
  <c r="J239" i="40" a="1"/>
  <c r="J239" i="40" s="1"/>
  <c r="J266" i="40" s="1"/>
  <c r="AI245" i="40" a="1"/>
  <c r="AI245" i="40" s="1"/>
  <c r="AI299" i="40" s="1"/>
  <c r="J249" i="40" a="1"/>
  <c r="J249" i="40" s="1"/>
  <c r="J303" i="40" s="1"/>
  <c r="AR234" i="40" a="1"/>
  <c r="AR234" i="40" s="1"/>
  <c r="O244" i="40" a="1"/>
  <c r="O244" i="40" s="1"/>
  <c r="AE231" i="40" a="1"/>
  <c r="AE231" i="40" s="1"/>
  <c r="AE285" i="40" s="1"/>
  <c r="L238" i="40" a="1"/>
  <c r="L238" i="40" s="1"/>
  <c r="S235" i="40" a="1"/>
  <c r="S235" i="40" s="1"/>
  <c r="AP232" i="40" a="1"/>
  <c r="AP232" i="40" s="1"/>
  <c r="AN247" i="40" a="1"/>
  <c r="AN247" i="40" s="1"/>
  <c r="U241" i="40" a="1"/>
  <c r="U241" i="40" s="1"/>
  <c r="D247" i="40" a="1"/>
  <c r="D247" i="40" s="1"/>
  <c r="D245" i="40" a="1"/>
  <c r="D245" i="40" s="1"/>
  <c r="W249" i="40" a="1"/>
  <c r="W249" i="40" s="1"/>
  <c r="U231" i="40" a="1"/>
  <c r="U231" i="40" s="1"/>
  <c r="U285" i="40" s="1"/>
  <c r="BA231" i="40" a="1"/>
  <c r="BA231" i="40" s="1"/>
  <c r="K232" i="40" a="1"/>
  <c r="K232" i="40" s="1"/>
  <c r="AY239" i="40" a="1"/>
  <c r="AY239" i="40" s="1"/>
  <c r="AK247" i="40" a="1"/>
  <c r="AK247" i="40" s="1"/>
  <c r="P230" i="40" a="1"/>
  <c r="P230" i="40" s="1"/>
  <c r="P284" i="40" s="1"/>
  <c r="M230" i="40" a="1"/>
  <c r="M230" i="40" s="1"/>
  <c r="M284" i="40" s="1"/>
  <c r="I230" i="40" a="1"/>
  <c r="I230" i="40" s="1"/>
  <c r="I284" i="40" s="1"/>
  <c r="E230" i="40" a="1"/>
  <c r="E230" i="40" s="1"/>
  <c r="E284" i="40" s="1"/>
  <c r="BA230" i="40" a="1"/>
  <c r="BA230" i="40" s="1"/>
  <c r="BA284" i="40" s="1"/>
  <c r="S247" i="40" a="1"/>
  <c r="S247" i="40" s="1"/>
  <c r="I248" i="40" a="1"/>
  <c r="I248" i="40" s="1"/>
  <c r="M232" i="40" a="1"/>
  <c r="M232" i="40" s="1"/>
  <c r="M286" i="40" s="1"/>
  <c r="F234" i="40" a="1"/>
  <c r="F234" i="40" s="1"/>
  <c r="AU251" i="40" a="1"/>
  <c r="AU251" i="40" s="1"/>
  <c r="AB233" i="40" a="1"/>
  <c r="AB233" i="40" s="1"/>
  <c r="AB287" i="40" s="1"/>
  <c r="AP250" i="40" a="1"/>
  <c r="AP250" i="40" s="1"/>
  <c r="K247" i="40" a="1"/>
  <c r="K247" i="40" s="1"/>
  <c r="K301" i="40" s="1"/>
  <c r="AK240" i="40" a="1"/>
  <c r="AK240" i="40" s="1"/>
  <c r="P236" i="40" a="1"/>
  <c r="P236" i="40" s="1"/>
  <c r="AO237" i="40" a="1"/>
  <c r="AO237" i="40" s="1"/>
  <c r="AQ232" i="40" a="1"/>
  <c r="AQ232" i="40" s="1"/>
  <c r="AN232" i="40" a="1"/>
  <c r="AN232" i="40" s="1"/>
  <c r="AN286" i="40" s="1"/>
  <c r="AM245" i="40" a="1"/>
  <c r="AM245" i="40" s="1"/>
  <c r="K240" i="40" a="1"/>
  <c r="K240" i="40" s="1"/>
  <c r="K294" i="40" s="1"/>
  <c r="I250" i="40" a="1"/>
  <c r="I250" i="40" s="1"/>
  <c r="I304" i="40" s="1"/>
  <c r="AS249" i="40" a="1"/>
  <c r="AS249" i="40" s="1"/>
  <c r="AS303" i="40" s="1"/>
  <c r="N251" i="40" a="1"/>
  <c r="N251" i="40" s="1"/>
  <c r="N305" i="40" s="1"/>
  <c r="Q250" i="40" a="1"/>
  <c r="Q250" i="40" s="1"/>
  <c r="Q277" i="40" s="1"/>
  <c r="F235" i="40" a="1"/>
  <c r="F235" i="40" s="1"/>
  <c r="J236" i="40" a="1"/>
  <c r="J236" i="40" s="1"/>
  <c r="J263" i="40" s="1"/>
  <c r="V241" i="40" a="1"/>
  <c r="V241" i="40" s="1"/>
  <c r="Y247" i="40" a="1"/>
  <c r="Y247" i="40" s="1"/>
  <c r="AF237" i="40" a="1"/>
  <c r="AF237" i="40" s="1"/>
  <c r="V237" i="40" a="1"/>
  <c r="V237" i="40" s="1"/>
  <c r="V291" i="40" s="1"/>
  <c r="AV235" i="40" a="1"/>
  <c r="AV235" i="40" s="1"/>
  <c r="AV262" i="40" s="1"/>
  <c r="AG243" i="40" a="1"/>
  <c r="AG243" i="40" s="1"/>
  <c r="Z234" i="40" a="1"/>
  <c r="Z234" i="40" s="1"/>
  <c r="Z288" i="40" s="1"/>
  <c r="Q243" i="40" a="1"/>
  <c r="Q243" i="40" s="1"/>
  <c r="Q297" i="40" s="1"/>
  <c r="AF232" i="40" a="1"/>
  <c r="AF232" i="40" s="1"/>
  <c r="F236" i="40" a="1"/>
  <c r="F236" i="40" s="1"/>
  <c r="AD237" i="40" a="1"/>
  <c r="AD237" i="40" s="1"/>
  <c r="G231" i="40" a="1"/>
  <c r="G231" i="40" s="1"/>
  <c r="AH246" i="40" a="1"/>
  <c r="AH246" i="40" s="1"/>
  <c r="AI236" i="40" a="1"/>
  <c r="AI236" i="40" s="1"/>
  <c r="AI290" i="40" s="1"/>
  <c r="AS250" i="40" a="1"/>
  <c r="AS250" i="40" s="1"/>
  <c r="V234" i="40" a="1"/>
  <c r="V234" i="40" s="1"/>
  <c r="V288" i="40" s="1"/>
  <c r="W239" i="40" a="1"/>
  <c r="W239" i="40" s="1"/>
  <c r="W293" i="40" s="1"/>
  <c r="AY242" i="40" a="1"/>
  <c r="AY242" i="40" s="1"/>
  <c r="AY296" i="40" s="1"/>
  <c r="AV243" i="40" a="1"/>
  <c r="AV243" i="40" s="1"/>
  <c r="AE242" i="40" a="1"/>
  <c r="AE242" i="40" s="1"/>
  <c r="AE296" i="40" s="1"/>
  <c r="AC236" i="40" a="1"/>
  <c r="AC236" i="40" s="1"/>
  <c r="AO247" i="40" a="1"/>
  <c r="AO247" i="40" s="1"/>
  <c r="AO301" i="40" s="1"/>
  <c r="X246" i="40" a="1"/>
  <c r="X246" i="40" s="1"/>
  <c r="AK231" i="40" a="1"/>
  <c r="AK231" i="40" s="1"/>
  <c r="AF241" i="40" a="1"/>
  <c r="AF241" i="40" s="1"/>
  <c r="AF295" i="40" s="1"/>
  <c r="AD247" i="40" a="1"/>
  <c r="AD247" i="40" s="1"/>
  <c r="AV249" i="40" a="1"/>
  <c r="AV249" i="40" s="1"/>
  <c r="AV276" i="40" s="1"/>
  <c r="AW241" i="40" a="1"/>
  <c r="AW241" i="40" s="1"/>
  <c r="AA251" i="40" a="1"/>
  <c r="AA251" i="40" s="1"/>
  <c r="H231" i="40" a="1"/>
  <c r="H231" i="40" s="1"/>
  <c r="H285" i="40" s="1"/>
  <c r="BA239" i="40" a="1"/>
  <c r="BA239" i="40" s="1"/>
  <c r="BA293" i="40" s="1"/>
  <c r="AU239" i="40" a="1"/>
  <c r="AU239" i="40" s="1"/>
  <c r="R248" i="40" a="1"/>
  <c r="R248" i="40" s="1"/>
  <c r="AB238" i="40" a="1"/>
  <c r="AB238" i="40" s="1"/>
  <c r="AB292" i="40" s="1"/>
  <c r="I229" i="40" a="1"/>
  <c r="I229" i="40" s="1"/>
  <c r="I283" i="40" s="1"/>
  <c r="O231" i="40" a="1"/>
  <c r="O231" i="40" s="1"/>
  <c r="O285" i="40" s="1"/>
  <c r="AJ248" i="40" a="1"/>
  <c r="AJ248" i="40" s="1"/>
  <c r="M242" i="40" a="1"/>
  <c r="M242" i="40" s="1"/>
  <c r="M296" i="40" s="1"/>
  <c r="BA238" i="40" a="1"/>
  <c r="BA238" i="40" s="1"/>
  <c r="AA241" i="40" a="1"/>
  <c r="AA241" i="40" s="1"/>
  <c r="AO251" i="40" a="1"/>
  <c r="AO251" i="40" s="1"/>
  <c r="L229" i="40" a="1"/>
  <c r="L229" i="40" s="1"/>
  <c r="L283" i="40" s="1"/>
  <c r="R239" i="40" a="1"/>
  <c r="R239" i="40" s="1"/>
  <c r="R266" i="40" s="1"/>
  <c r="H234" i="40" a="1"/>
  <c r="H234" i="40" s="1"/>
  <c r="S251" i="40" a="1"/>
  <c r="S251" i="40" s="1"/>
  <c r="AL238" i="40" a="1"/>
  <c r="AL238" i="40" s="1"/>
  <c r="AL292" i="40" s="1"/>
  <c r="AL234" i="40" a="1"/>
  <c r="AL234" i="40" s="1"/>
  <c r="AL288" i="40" s="1"/>
  <c r="AQ238" i="40" a="1"/>
  <c r="AQ238" i="40" s="1"/>
  <c r="AQ292" i="40" s="1"/>
  <c r="AS243" i="40" a="1"/>
  <c r="AS243" i="40" s="1"/>
  <c r="T229" i="40" a="1"/>
  <c r="T229" i="40" s="1"/>
  <c r="T283" i="40" s="1"/>
  <c r="Z251" i="40" a="1"/>
  <c r="Z251" i="40" s="1"/>
  <c r="X242" i="40" a="1"/>
  <c r="X242" i="40" s="1"/>
  <c r="X296" i="40" s="1"/>
  <c r="AW238" i="40" a="1"/>
  <c r="AW238" i="40" s="1"/>
  <c r="AW265" i="40" s="1"/>
  <c r="E245" i="40" a="1"/>
  <c r="E245" i="40" s="1"/>
  <c r="W247" i="40" a="1"/>
  <c r="W247" i="40" s="1"/>
  <c r="AX235" i="40" a="1"/>
  <c r="AX235" i="40" s="1"/>
  <c r="AD243" i="40" a="1"/>
  <c r="AD243" i="40" s="1"/>
  <c r="M244" i="40" a="1"/>
  <c r="M244" i="40" s="1"/>
  <c r="M298" i="40" s="1"/>
  <c r="K244" i="40" a="1"/>
  <c r="K244" i="40" s="1"/>
  <c r="K298" i="40" s="1"/>
  <c r="AZ238" i="40" a="1"/>
  <c r="AZ238" i="40" s="1"/>
  <c r="N230" i="40" a="1"/>
  <c r="N230" i="40" s="1"/>
  <c r="N284" i="40" s="1"/>
  <c r="AW229" i="40" a="1"/>
  <c r="AW229" i="40" s="1"/>
  <c r="AW283" i="40" s="1"/>
  <c r="AR229" i="40" a="1"/>
  <c r="AR229" i="40" s="1"/>
  <c r="AR283" i="40" s="1"/>
  <c r="AN229" i="40" a="1"/>
  <c r="AN229" i="40" s="1"/>
  <c r="AN256" i="40" s="1"/>
  <c r="O229" i="40" a="1"/>
  <c r="O229" i="40" s="1"/>
  <c r="O283" i="40" s="1"/>
  <c r="AJ238" i="40" a="1"/>
  <c r="AJ238" i="40" s="1"/>
  <c r="AJ292" i="40" s="1"/>
  <c r="S239" i="40" a="1"/>
  <c r="S239" i="40" s="1"/>
  <c r="AQ246" i="40" a="1"/>
  <c r="AQ246" i="40" s="1"/>
  <c r="M247" i="40" a="1"/>
  <c r="M247" i="40" s="1"/>
  <c r="D242" i="40" a="1"/>
  <c r="D242" i="40" s="1"/>
  <c r="Z245" i="40" a="1"/>
  <c r="Z245" i="40" s="1"/>
  <c r="Z299" i="40" s="1"/>
  <c r="S245" i="40" a="1"/>
  <c r="S245" i="40" s="1"/>
  <c r="AB244" i="40" a="1"/>
  <c r="AB244" i="40" s="1"/>
  <c r="AB298" i="40" s="1"/>
  <c r="AC232" i="40" a="1"/>
  <c r="AC232" i="40" s="1"/>
  <c r="AC286" i="40" s="1"/>
  <c r="T246" i="40" a="1"/>
  <c r="T246" i="40" s="1"/>
  <c r="T300" i="40" s="1"/>
  <c r="AJ233" i="40" a="1"/>
  <c r="AJ233" i="40" s="1"/>
  <c r="AJ287" i="40" s="1"/>
  <c r="AT236" i="40" a="1"/>
  <c r="AT236" i="40" s="1"/>
  <c r="AN243" i="40" a="1"/>
  <c r="AN243" i="40" s="1"/>
  <c r="AN297" i="40" s="1"/>
  <c r="AN235" i="40" a="1"/>
  <c r="AN235" i="40" s="1"/>
  <c r="AE243" i="40" a="1"/>
  <c r="AE243" i="40" s="1"/>
  <c r="H238" i="40" a="1"/>
  <c r="H238" i="40" s="1"/>
  <c r="H265" i="40" s="1"/>
  <c r="AF239" i="40" a="1"/>
  <c r="AF239" i="40" s="1"/>
  <c r="Y241" i="40" a="1"/>
  <c r="Y241" i="40" s="1"/>
  <c r="AT239" i="40" a="1"/>
  <c r="AT239" i="40" s="1"/>
  <c r="AS251" i="40" a="1"/>
  <c r="AS251" i="40" s="1"/>
  <c r="AS278" i="40" s="1"/>
  <c r="P247" i="40" a="1"/>
  <c r="P247" i="40" s="1"/>
  <c r="X232" i="40" a="1"/>
  <c r="X232" i="40" s="1"/>
  <c r="X286" i="40" s="1"/>
  <c r="O241" i="40" a="1"/>
  <c r="O241" i="40" s="1"/>
  <c r="AW233" i="40" a="1"/>
  <c r="AW233" i="40" s="1"/>
  <c r="AW287" i="40" s="1"/>
  <c r="AL248" i="40" a="1"/>
  <c r="AL248" i="40" s="1"/>
  <c r="AU248" i="40" a="1"/>
  <c r="AU248" i="40" s="1"/>
  <c r="AK236" i="40" a="1"/>
  <c r="AK236" i="40" s="1"/>
  <c r="AK290" i="40" s="1"/>
  <c r="AJ244" i="40" a="1"/>
  <c r="AJ244" i="40" s="1"/>
  <c r="AJ298" i="40" s="1"/>
  <c r="AH239" i="40" a="1"/>
  <c r="AH239" i="40" s="1"/>
  <c r="AQ248" i="40" a="1"/>
  <c r="AQ248" i="40" s="1"/>
  <c r="J246" i="40" a="1"/>
  <c r="J246" i="40" s="1"/>
  <c r="P232" i="40" a="1"/>
  <c r="P232" i="40" s="1"/>
  <c r="P286" i="40" s="1"/>
  <c r="J250" i="40" a="1"/>
  <c r="J250" i="40" s="1"/>
  <c r="J277" i="40" s="1"/>
  <c r="AO241" i="40" a="1"/>
  <c r="AO241" i="40" s="1"/>
  <c r="AO295" i="40" s="1"/>
  <c r="AQ237" i="40" a="1"/>
  <c r="AQ237" i="40" s="1"/>
  <c r="O236" i="40" a="1"/>
  <c r="O236" i="40" s="1"/>
  <c r="O263" i="40" s="1"/>
  <c r="AB230" i="40" a="1"/>
  <c r="AB230" i="40" s="1"/>
  <c r="AB284" i="40" s="1"/>
  <c r="AW235" i="40" a="1"/>
  <c r="AW235" i="40" s="1"/>
  <c r="T241" i="40" a="1"/>
  <c r="T241" i="40" s="1"/>
  <c r="AI243" i="40" a="1"/>
  <c r="AI243" i="40" s="1"/>
  <c r="AF229" i="40" a="1"/>
  <c r="AF229" i="40" s="1"/>
  <c r="AF283" i="40" s="1"/>
  <c r="AX244" i="40" a="1"/>
  <c r="AX244" i="40" s="1"/>
  <c r="AX298" i="40" s="1"/>
  <c r="AL229" i="40" a="1"/>
  <c r="AL229" i="40" s="1"/>
  <c r="AL283" i="40" s="1"/>
  <c r="R236" i="40" a="1"/>
  <c r="R236" i="40" s="1"/>
  <c r="AP239" i="40" a="1"/>
  <c r="AP239" i="40" s="1"/>
  <c r="AP293" i="40" s="1"/>
  <c r="R235" i="40" a="1"/>
  <c r="R235" i="40" s="1"/>
  <c r="R289" i="40" s="1"/>
  <c r="S231" i="40" a="1"/>
  <c r="S231" i="40" s="1"/>
  <c r="AN237" i="40" a="1"/>
  <c r="AN237" i="40" s="1"/>
  <c r="AN291" i="40" s="1"/>
  <c r="D251" i="40" a="1"/>
  <c r="D251" i="40" s="1"/>
  <c r="AA230" i="40" a="1"/>
  <c r="AA230" i="40" s="1"/>
  <c r="AA284" i="40" s="1"/>
  <c r="AU246" i="40" a="1"/>
  <c r="AU246" i="40" s="1"/>
  <c r="AC239" i="40" a="1"/>
  <c r="AC239" i="40" s="1"/>
  <c r="AG232" i="40" a="1"/>
  <c r="AG232" i="40" s="1"/>
  <c r="AG286" i="40" s="1"/>
  <c r="AP246" i="40" a="1"/>
  <c r="AP246" i="40" s="1"/>
  <c r="AF234" i="40" a="1"/>
  <c r="AF234" i="40" s="1"/>
  <c r="AF288" i="40" s="1"/>
  <c r="AG235" i="40" a="1"/>
  <c r="AG235" i="40" s="1"/>
  <c r="BA235" i="40" a="1"/>
  <c r="BA235" i="40" s="1"/>
  <c r="AP238" i="40" a="1"/>
  <c r="AP238" i="40" s="1"/>
  <c r="AP292" i="40" s="1"/>
  <c r="J230" i="40" a="1"/>
  <c r="J230" i="40" s="1"/>
  <c r="J284" i="40" s="1"/>
  <c r="AS247" i="40" a="1"/>
  <c r="AS247" i="40" s="1"/>
  <c r="H244" i="40" a="1"/>
  <c r="H244" i="40" s="1"/>
  <c r="H298" i="40" s="1"/>
  <c r="AH251" i="40" a="1"/>
  <c r="AH251" i="40" s="1"/>
  <c r="AH305" i="40" s="1"/>
  <c r="AZ239" i="40" a="1"/>
  <c r="AZ239" i="40" s="1"/>
  <c r="AN233" i="40" a="1"/>
  <c r="AN233" i="40" s="1"/>
  <c r="AQ250" i="40" a="1"/>
  <c r="AQ250" i="40" s="1"/>
  <c r="AQ304" i="40" s="1"/>
  <c r="J238" i="40" a="1"/>
  <c r="J238" i="40" s="1"/>
  <c r="D249" i="40" a="1"/>
  <c r="D249" i="40" s="1"/>
  <c r="I241" i="40" a="1"/>
  <c r="I241" i="40" s="1"/>
  <c r="I295" i="40" s="1"/>
  <c r="AO229" i="40" a="1"/>
  <c r="AO229" i="40" s="1"/>
  <c r="AO283" i="40" s="1"/>
  <c r="AP251" i="40" a="1"/>
  <c r="AP251" i="40" s="1"/>
  <c r="T232" i="40" a="1"/>
  <c r="T232" i="40" s="1"/>
  <c r="AP240" i="40" a="1"/>
  <c r="AP240" i="40" s="1"/>
  <c r="AP294" i="40" s="1"/>
  <c r="G245" i="40" a="1"/>
  <c r="G245" i="40" s="1"/>
  <c r="X229" i="40" a="1"/>
  <c r="X229" i="40" s="1"/>
  <c r="X283" i="40" s="1"/>
  <c r="F237" i="40" a="1"/>
  <c r="F237" i="40" s="1"/>
  <c r="AV232" i="40" a="1"/>
  <c r="AV232" i="40" s="1"/>
  <c r="AV286" i="40" s="1"/>
  <c r="N245" i="40" a="1"/>
  <c r="N245" i="40" s="1"/>
  <c r="F246" i="40" a="1"/>
  <c r="F246" i="40" s="1"/>
  <c r="W245" i="40" a="1"/>
  <c r="W245" i="40" s="1"/>
  <c r="AV247" i="40" a="1"/>
  <c r="AV247" i="40" s="1"/>
  <c r="V235" i="40" a="1"/>
  <c r="V235" i="40" s="1"/>
  <c r="V289" i="40" s="1"/>
  <c r="D236" i="40" a="1"/>
  <c r="D236" i="40" s="1"/>
  <c r="D290" i="40" s="1"/>
  <c r="V250" i="40" a="1"/>
  <c r="V250" i="40" s="1"/>
  <c r="V304" i="40" s="1"/>
  <c r="AC231" i="40" a="1"/>
  <c r="AC231" i="40" s="1"/>
  <c r="C229" i="40" a="1"/>
  <c r="C229" i="40" s="1"/>
  <c r="C283" i="40" s="1"/>
  <c r="AB229" i="40" a="1"/>
  <c r="AB229" i="40" s="1"/>
  <c r="AB256" i="40" s="1"/>
  <c r="W229" i="40" a="1"/>
  <c r="W229" i="40" s="1"/>
  <c r="S229" i="40" a="1"/>
  <c r="S229" i="40" s="1"/>
  <c r="S283" i="40" s="1"/>
  <c r="AP230" i="40" a="1"/>
  <c r="AP230" i="40" s="1"/>
  <c r="AP284" i="40" s="1"/>
  <c r="M231" i="40" a="1"/>
  <c r="M231" i="40" s="1"/>
  <c r="AS231" i="40" a="1"/>
  <c r="AS231" i="40" s="1"/>
  <c r="R238" i="40" a="1"/>
  <c r="R238" i="40" s="1"/>
  <c r="R265" i="40" s="1"/>
  <c r="AD238" i="40" a="1"/>
  <c r="AD238" i="40" s="1"/>
  <c r="AT233" i="40" a="1"/>
  <c r="AT233" i="40" s="1"/>
  <c r="AT287" i="40" s="1"/>
  <c r="J237" i="40" a="1"/>
  <c r="J237" i="40" s="1"/>
  <c r="D237" i="40" a="1"/>
  <c r="D237" i="40" s="1"/>
  <c r="T236" i="40" a="1"/>
  <c r="T236" i="40" s="1"/>
  <c r="AN244" i="40" a="1"/>
  <c r="AN244" i="40" s="1"/>
  <c r="Z237" i="40" a="1"/>
  <c r="Z237" i="40" s="1"/>
  <c r="AI233" i="40" a="1"/>
  <c r="AI233" i="40" s="1"/>
  <c r="AI287" i="40" s="1"/>
  <c r="H240" i="40" a="1"/>
  <c r="H240" i="40" s="1"/>
  <c r="H294" i="40" s="1"/>
  <c r="AD233" i="40" a="1"/>
  <c r="AD233" i="40" s="1"/>
  <c r="Z232" i="40" a="1"/>
  <c r="Z232" i="40" s="1"/>
  <c r="AR235" i="40" a="1"/>
  <c r="AR235" i="40" s="1"/>
  <c r="AR262" i="40" s="1"/>
  <c r="AH248" i="40" a="1"/>
  <c r="AH248" i="40" s="1"/>
  <c r="AH275" i="40" s="1"/>
  <c r="R234" i="40" a="1"/>
  <c r="R234" i="40" s="1"/>
  <c r="AX231" i="40" a="1"/>
  <c r="AX231" i="40" s="1"/>
  <c r="L234" i="40" a="1"/>
  <c r="L234" i="40" s="1"/>
  <c r="Y245" i="40" a="1"/>
  <c r="Y245" i="40" s="1"/>
  <c r="AS239" i="40" a="1"/>
  <c r="AS239" i="40" s="1"/>
  <c r="AH242" i="40" a="1"/>
  <c r="AH242" i="40" s="1"/>
  <c r="AH296" i="40" s="1"/>
  <c r="L237" i="40" a="1"/>
  <c r="L237" i="40" s="1"/>
  <c r="L291" i="40" s="1"/>
  <c r="G242" i="40" a="1"/>
  <c r="G242" i="40" s="1"/>
  <c r="F241" i="40" a="1"/>
  <c r="F241" i="40" s="1"/>
  <c r="Z242" i="40" a="1"/>
  <c r="Z242" i="40" s="1"/>
  <c r="Z269" i="40" s="1"/>
  <c r="AK232" i="40" a="1"/>
  <c r="AK232" i="40" s="1"/>
  <c r="H236" i="40" a="1"/>
  <c r="H236" i="40" s="1"/>
  <c r="BA245" i="40" a="1"/>
  <c r="BA245" i="40" s="1"/>
  <c r="AB237" i="40" a="1"/>
  <c r="AB237" i="40" s="1"/>
  <c r="AB291" i="40" s="1"/>
  <c r="Q235" i="40" a="1"/>
  <c r="Q235" i="40" s="1"/>
  <c r="Z248" i="40" a="1"/>
  <c r="Z248" i="40" s="1"/>
  <c r="E231" i="40" a="1"/>
  <c r="E231" i="40" s="1"/>
  <c r="E258" i="40" s="1"/>
  <c r="AS236" i="40" a="1"/>
  <c r="AS236" i="40" s="1"/>
  <c r="AS263" i="40" s="1"/>
  <c r="AA243" i="40" a="1"/>
  <c r="AA243" i="40" s="1"/>
  <c r="W237" i="40" a="1"/>
  <c r="W237" i="40" s="1"/>
  <c r="W291" i="40" s="1"/>
  <c r="AJ229" i="40" a="1"/>
  <c r="AJ229" i="40" s="1"/>
  <c r="AJ283" i="40" s="1"/>
  <c r="AO234" i="40" a="1"/>
  <c r="AO234" i="40" s="1"/>
  <c r="AT235" i="40" a="1"/>
  <c r="AT235" i="40" s="1"/>
  <c r="C250" i="40" a="1"/>
  <c r="C250" i="40" s="1"/>
  <c r="Z246" i="40" a="1"/>
  <c r="Z246" i="40" s="1"/>
  <c r="Z300" i="40" s="1"/>
  <c r="V251" i="40" a="1"/>
  <c r="V251" i="40" s="1"/>
  <c r="V305" i="40" s="1"/>
  <c r="AM239" i="40" a="1"/>
  <c r="AM239" i="40" s="1"/>
  <c r="AP248" i="40" a="1"/>
  <c r="AP248" i="40" s="1"/>
  <c r="AM248" i="40" a="1"/>
  <c r="AM248" i="40" s="1"/>
  <c r="AC248" i="40" a="1"/>
  <c r="AC248" i="40" s="1"/>
  <c r="AC275" i="40" s="1"/>
  <c r="C243" i="40" a="1"/>
  <c r="C243" i="40" s="1"/>
  <c r="C297" i="40" s="1"/>
  <c r="AX236" i="40" a="1"/>
  <c r="AX236" i="40" s="1"/>
  <c r="AF249" i="40" a="1"/>
  <c r="AF249" i="40" s="1"/>
  <c r="AF276" i="40" s="1"/>
  <c r="M238" i="40" a="1"/>
  <c r="M238" i="40" s="1"/>
  <c r="M265" i="40" s="1"/>
  <c r="AX241" i="40" a="1"/>
  <c r="AX241" i="40" s="1"/>
  <c r="AX295" i="40" s="1"/>
  <c r="I243" i="40" a="1"/>
  <c r="I243" i="40" s="1"/>
  <c r="AL251" i="40" a="1"/>
  <c r="AL251" i="40" s="1"/>
  <c r="G238" i="40" a="1"/>
  <c r="G238" i="40" s="1"/>
  <c r="G265" i="40" s="1"/>
  <c r="U229" i="40" a="1"/>
  <c r="U229" i="40" s="1"/>
  <c r="U283" i="40" s="1"/>
  <c r="AR240" i="40" a="1"/>
  <c r="AR240" i="40" s="1"/>
  <c r="AW248" i="40" a="1"/>
  <c r="AW248" i="40" s="1"/>
  <c r="AW275" i="40" s="1"/>
  <c r="AC238" i="40" a="1"/>
  <c r="AC238" i="40" s="1"/>
  <c r="AC292" i="40" s="1"/>
  <c r="AZ232" i="40" a="1"/>
  <c r="AZ232" i="40" s="1"/>
  <c r="AZ286" i="40" s="1"/>
  <c r="G249" i="40" a="1"/>
  <c r="G249" i="40" s="1"/>
  <c r="D239" i="40" a="1"/>
  <c r="D239" i="40" s="1"/>
  <c r="AW245" i="40" a="1"/>
  <c r="AW245" i="40" s="1"/>
  <c r="AW299" i="40" s="1"/>
  <c r="K231" i="40" a="1"/>
  <c r="K231" i="40" s="1"/>
  <c r="K285" i="40" s="1"/>
  <c r="P233" i="40" a="1"/>
  <c r="P233" i="40" s="1"/>
  <c r="P287" i="40" s="1"/>
  <c r="L243" i="40" a="1"/>
  <c r="L243" i="40" s="1"/>
  <c r="L297" i="40" s="1"/>
  <c r="AI230" i="40" a="1"/>
  <c r="AI230" i="40" s="1"/>
  <c r="AI284" i="40" s="1"/>
  <c r="S250" i="40" a="1"/>
  <c r="S250" i="40" s="1"/>
  <c r="AH244" i="40" a="1"/>
  <c r="AH244" i="40" s="1"/>
  <c r="AH271" i="40" s="1"/>
  <c r="F247" i="40" a="1"/>
  <c r="F247" i="40" s="1"/>
  <c r="AT252" i="40" a="1"/>
  <c r="AT252" i="40" s="1"/>
  <c r="M239" i="40" a="1"/>
  <c r="M239" i="40" s="1"/>
  <c r="Q248" i="40" a="1"/>
  <c r="Q248" i="40" s="1"/>
  <c r="AZ248" i="40" a="1"/>
  <c r="AZ248" i="40" s="1"/>
  <c r="L241" i="40" a="1"/>
  <c r="L241" i="40" s="1"/>
  <c r="E243" i="40" a="1"/>
  <c r="E243" i="40" s="1"/>
  <c r="E297" i="40" s="1"/>
  <c r="AK230" i="40" a="1"/>
  <c r="AK230" i="40" s="1"/>
  <c r="AK284" i="40" s="1"/>
  <c r="F229" i="40" a="1"/>
  <c r="F229" i="40" s="1"/>
  <c r="F283" i="40" s="1"/>
  <c r="AX230" i="40" a="1"/>
  <c r="AX230" i="40" s="1"/>
  <c r="AX284" i="40" s="1"/>
  <c r="AT230" i="40" a="1"/>
  <c r="AT230" i="40" s="1"/>
  <c r="AT284" i="40" s="1"/>
  <c r="U230" i="40" a="1"/>
  <c r="U230" i="40" s="1"/>
  <c r="U284" i="40" s="1"/>
  <c r="AM234" i="40" a="1"/>
  <c r="AM234" i="40" s="1"/>
  <c r="AM288" i="40" s="1"/>
  <c r="AM242" i="40" a="1"/>
  <c r="AM242" i="40" s="1"/>
  <c r="V243" i="40" a="1"/>
  <c r="V243" i="40" s="1"/>
  <c r="V297" i="40" s="1"/>
  <c r="T249" i="40" a="1"/>
  <c r="T249" i="40" s="1"/>
  <c r="F231" i="40" a="1"/>
  <c r="F231" i="40" s="1"/>
  <c r="X247" i="40" a="1"/>
  <c r="X247" i="40" s="1"/>
  <c r="X301" i="40" s="1"/>
  <c r="Y251" i="40" a="1"/>
  <c r="Y251" i="40" s="1"/>
  <c r="Y278" i="40" s="1"/>
  <c r="AL243" i="40" a="1"/>
  <c r="AL243" i="40" s="1"/>
  <c r="R250" i="40" a="1"/>
  <c r="R250" i="40" s="1"/>
  <c r="Y250" i="40" a="1"/>
  <c r="Y250" i="40" s="1"/>
  <c r="AF236" i="40" a="1"/>
  <c r="AF236" i="40" s="1"/>
  <c r="T248" i="40" a="1"/>
  <c r="T248" i="40" s="1"/>
  <c r="T302" i="40" s="1"/>
  <c r="AA236" i="40" a="1"/>
  <c r="AA236" i="40" s="1"/>
  <c r="AD246" i="40" a="1"/>
  <c r="AD246" i="40" s="1"/>
  <c r="AM243" i="40" a="1"/>
  <c r="AM243" i="40" s="1"/>
  <c r="AM297" i="40" s="1"/>
  <c r="AB231" i="40" a="1"/>
  <c r="AB231" i="40" s="1"/>
  <c r="AQ233" i="40" a="1"/>
  <c r="AQ233" i="40" s="1"/>
  <c r="AM237" i="40" a="1"/>
  <c r="AM237" i="40" s="1"/>
  <c r="AV250" i="40" a="1"/>
  <c r="AV250" i="40" s="1"/>
  <c r="AV304" i="40" s="1"/>
  <c r="S244" i="40" a="1"/>
  <c r="S244" i="40" s="1"/>
  <c r="AO250" i="40" a="1"/>
  <c r="AO250" i="40" s="1"/>
  <c r="AG239" i="40" a="1"/>
  <c r="AG239" i="40" s="1"/>
  <c r="AG293" i="40" s="1"/>
  <c r="L231" i="40" a="1"/>
  <c r="L231" i="40" s="1"/>
  <c r="D232" i="40" a="1"/>
  <c r="D232" i="40" s="1"/>
  <c r="AB234" i="40" a="1"/>
  <c r="AB234" i="40" s="1"/>
  <c r="AB288" i="40" s="1"/>
  <c r="AB251" i="40" a="1"/>
  <c r="AB251" i="40" s="1"/>
  <c r="K239" i="40" a="1"/>
  <c r="K239" i="40" s="1"/>
  <c r="W238" i="40" a="1"/>
  <c r="W238" i="40" s="1"/>
  <c r="W292" i="40" s="1"/>
  <c r="BA241" i="40" a="1"/>
  <c r="BA241" i="40" s="1"/>
  <c r="BA268" i="40" s="1"/>
  <c r="AJ246" i="40" a="1"/>
  <c r="AJ246" i="40" s="1"/>
  <c r="O235" i="40" a="1"/>
  <c r="O235" i="40" s="1"/>
  <c r="O262" i="40" s="1"/>
  <c r="Y240" i="40" a="1"/>
  <c r="Y240" i="40" s="1"/>
  <c r="Y294" i="40" s="1"/>
  <c r="M246" i="40" a="1"/>
  <c r="M246" i="40" s="1"/>
  <c r="M300" i="40" s="1"/>
  <c r="AS240" i="40" a="1"/>
  <c r="AS240" i="40" s="1"/>
  <c r="AS294" i="40" s="1"/>
  <c r="BA233" i="40" a="1"/>
  <c r="BA233" i="40" s="1"/>
  <c r="AI237" i="40" a="1"/>
  <c r="AI237" i="40" s="1"/>
  <c r="AI264" i="40" s="1"/>
  <c r="T237" i="40" a="1"/>
  <c r="T237" i="40" s="1"/>
  <c r="T264" i="40" s="1"/>
  <c r="F243" i="40" a="1"/>
  <c r="F243" i="40" s="1"/>
  <c r="F297" i="40" s="1"/>
  <c r="AU235" i="40" a="1"/>
  <c r="AU235" i="40" s="1"/>
  <c r="AU289" i="40" s="1"/>
  <c r="F233" i="40" a="1"/>
  <c r="F233" i="40" s="1"/>
  <c r="F287" i="40" s="1"/>
  <c r="AQ234" i="40" a="1"/>
  <c r="AQ234" i="40" s="1"/>
  <c r="Y235" i="40" a="1"/>
  <c r="Y235" i="40" s="1"/>
  <c r="Y289" i="40" s="1"/>
  <c r="H243" i="40" a="1"/>
  <c r="H243" i="40" s="1"/>
  <c r="C239" i="40" a="1"/>
  <c r="C239" i="40" s="1"/>
  <c r="C293" i="40" s="1"/>
  <c r="W240" i="40" a="1"/>
  <c r="W240" i="40" s="1"/>
  <c r="W294" i="40" s="1"/>
  <c r="AU238" i="40" a="1"/>
  <c r="AU238" i="40" s="1"/>
  <c r="AU265" i="40" s="1"/>
  <c r="M241" i="40" a="1"/>
  <c r="M241" i="40" s="1"/>
  <c r="AL231" i="40" a="1"/>
  <c r="AL231" i="40" s="1"/>
  <c r="AL285" i="40" s="1"/>
  <c r="AA246" i="40" a="1"/>
  <c r="AA246" i="40" s="1"/>
  <c r="W232" i="40" a="1"/>
  <c r="W232" i="40" s="1"/>
  <c r="AI248" i="40" a="1"/>
  <c r="AI248" i="40" s="1"/>
  <c r="AI302" i="40" s="1"/>
  <c r="AJ236" i="40" a="1"/>
  <c r="AJ236" i="40" s="1"/>
  <c r="AL250" i="40" a="1"/>
  <c r="AL250" i="40" s="1"/>
  <c r="AL304" i="40" s="1"/>
  <c r="AE230" i="40" a="1"/>
  <c r="AE230" i="40" s="1"/>
  <c r="AE284" i="40" s="1"/>
  <c r="AP247" i="40" a="1"/>
  <c r="AP247" i="40" s="1"/>
  <c r="L239" i="40" a="1"/>
  <c r="L239" i="40" s="1"/>
  <c r="L266" i="40" s="1"/>
  <c r="O233" i="40" a="1"/>
  <c r="O233" i="40" s="1"/>
  <c r="O287" i="40" s="1"/>
  <c r="P237" i="40" a="1"/>
  <c r="P237" i="40" s="1"/>
  <c r="AI247" i="40" a="1"/>
  <c r="AI247" i="40" s="1"/>
  <c r="AU233" i="40" a="1"/>
  <c r="AU233" i="40" s="1"/>
  <c r="AL242" i="40" a="1"/>
  <c r="AL242" i="40" s="1"/>
  <c r="AL296" i="40" s="1"/>
  <c r="AS229" i="40" a="1"/>
  <c r="AS229" i="40" s="1"/>
  <c r="AS283" i="40" s="1"/>
  <c r="U245" i="40" a="1"/>
  <c r="U245" i="40" s="1"/>
  <c r="U299" i="40" s="1"/>
  <c r="AO242" i="40" a="1"/>
  <c r="AO242" i="40" s="1"/>
  <c r="W235" i="40" a="1"/>
  <c r="W235" i="40" s="1"/>
  <c r="W289" i="40" s="1"/>
  <c r="D248" i="40" a="1"/>
  <c r="D248" i="40" s="1"/>
  <c r="AW251" i="40" a="1"/>
  <c r="AW251" i="40" s="1"/>
  <c r="AW305" i="40" s="1"/>
  <c r="I238" i="40" a="1"/>
  <c r="I238" i="40" s="1"/>
  <c r="I292" i="40" s="1"/>
  <c r="AM251" i="40" a="1"/>
  <c r="AM251" i="40" s="1"/>
  <c r="AM278" i="40" s="1"/>
  <c r="F248" i="40" a="1"/>
  <c r="F248" i="40" s="1"/>
  <c r="W250" i="40" a="1"/>
  <c r="W250" i="40" s="1"/>
  <c r="Q232" i="40" a="1"/>
  <c r="Q232" i="40" s="1"/>
  <c r="Y239" i="40" a="1"/>
  <c r="Y239" i="40" s="1"/>
  <c r="Y293" i="40" s="1"/>
  <c r="G240" i="40" a="1"/>
  <c r="G240" i="40" s="1"/>
  <c r="G294" i="40" s="1"/>
  <c r="BA232" i="40" a="1"/>
  <c r="BA232" i="40" s="1"/>
  <c r="AU234" i="40" a="1"/>
  <c r="AU234" i="40" s="1"/>
  <c r="J229" i="40" a="1"/>
  <c r="J229" i="40" s="1"/>
  <c r="J283" i="40" s="1"/>
  <c r="AG230" i="40" a="1"/>
  <c r="AG230" i="40" s="1"/>
  <c r="AG284" i="40" s="1"/>
  <c r="AC230" i="40" a="1"/>
  <c r="AC230" i="40" s="1"/>
  <c r="AC284" i="40" s="1"/>
  <c r="Y230" i="40" a="1"/>
  <c r="Y230" i="40" s="1"/>
  <c r="Y284" i="40" s="1"/>
  <c r="AZ230" i="40" a="1"/>
  <c r="AZ230" i="40" s="1"/>
  <c r="AZ284" i="40" s="1"/>
  <c r="AV246" i="40" a="1"/>
  <c r="AV246" i="40" s="1"/>
  <c r="AV273" i="40" s="1"/>
  <c r="AE234" i="40" a="1"/>
  <c r="AE234" i="40" s="1"/>
  <c r="AE288" i="40" s="1"/>
  <c r="N235" i="40" a="1"/>
  <c r="N235" i="40" s="1"/>
  <c r="AB239" i="40" a="1"/>
  <c r="AB239" i="40" s="1"/>
  <c r="AG242" i="40" a="1"/>
  <c r="AG242" i="40" s="1"/>
  <c r="AN238" i="40" a="1"/>
  <c r="AN238" i="40" s="1"/>
  <c r="AN292" i="40" s="1"/>
  <c r="AH241" i="40" a="1"/>
  <c r="AH241" i="40" s="1"/>
  <c r="G233" i="40" a="1"/>
  <c r="G233" i="40" s="1"/>
  <c r="G287" i="40" s="1"/>
  <c r="G241" i="40" a="1"/>
  <c r="G241" i="40" s="1"/>
  <c r="G268" i="40" s="1"/>
  <c r="AQ240" i="40" a="1"/>
  <c r="AQ240" i="40" s="1"/>
  <c r="V244" i="40" a="1"/>
  <c r="V244" i="40" s="1"/>
  <c r="V298" i="40" s="1"/>
  <c r="Q237" i="40" a="1"/>
  <c r="Q237" i="40" s="1"/>
  <c r="Q291" i="40" s="1"/>
  <c r="J233" i="40" a="1"/>
  <c r="J233" i="40" s="1"/>
  <c r="AA233" i="40" a="1"/>
  <c r="AA233" i="40" s="1"/>
  <c r="AA287" i="40" s="1"/>
  <c r="AH250" i="40" a="1"/>
  <c r="AH250" i="40" s="1"/>
  <c r="U250" i="40" a="1"/>
  <c r="U250" i="40" s="1"/>
  <c r="AI250" i="40" a="1"/>
  <c r="AI250" i="40" s="1"/>
  <c r="X238" i="40" a="1"/>
  <c r="X238" i="40" s="1"/>
  <c r="AD234" i="40" a="1"/>
  <c r="AD234" i="40" s="1"/>
  <c r="U242" i="40" a="1"/>
  <c r="U242" i="40" s="1"/>
  <c r="AN231" i="40" a="1"/>
  <c r="AN231" i="40" s="1"/>
  <c r="U244" i="40" a="1"/>
  <c r="U244" i="40" s="1"/>
  <c r="Q244" i="40" a="1"/>
  <c r="Q244" i="40" s="1"/>
  <c r="Q298" i="40" s="1"/>
  <c r="AL244" i="40" a="1"/>
  <c r="AL244" i="40" s="1"/>
  <c r="D238" i="40" a="1"/>
  <c r="D238" i="40" s="1"/>
  <c r="AN245" i="40" a="1"/>
  <c r="AN245" i="40" s="1"/>
  <c r="AN272" i="40" s="1"/>
  <c r="N233" i="40" a="1"/>
  <c r="N233" i="40" s="1"/>
  <c r="S236" i="40" a="1"/>
  <c r="S236" i="40" s="1"/>
  <c r="S263" i="40" s="1"/>
  <c r="I236" i="40" a="1"/>
  <c r="I236" i="40" s="1"/>
  <c r="I245" i="40" a="1"/>
  <c r="I245" i="40" s="1"/>
  <c r="I299" i="40" s="1"/>
  <c r="AR242" i="40" a="1"/>
  <c r="AR242" i="40" s="1"/>
  <c r="AW236" i="40" a="1"/>
  <c r="AW236" i="40" s="1"/>
  <c r="AW290" i="40" s="1"/>
  <c r="X235" i="40" a="1"/>
  <c r="X235" i="40" s="1"/>
  <c r="AJ237" i="40" a="1"/>
  <c r="AJ237" i="40" s="1"/>
  <c r="AP241" i="40" a="1"/>
  <c r="AP241" i="40" s="1"/>
  <c r="AP295" i="40" s="1"/>
  <c r="AI251" i="40" a="1"/>
  <c r="AI251" i="40" s="1"/>
  <c r="AI305" i="40" s="1"/>
  <c r="N231" i="40" a="1"/>
  <c r="N231" i="40" s="1"/>
  <c r="N258" i="40" s="1"/>
  <c r="C251" i="40" a="1"/>
  <c r="C251" i="40" s="1"/>
  <c r="S234" i="40" a="1"/>
  <c r="S234" i="40" s="1"/>
  <c r="E238" i="40" a="1"/>
  <c r="E238" i="40" s="1"/>
  <c r="E265" i="40" s="1"/>
  <c r="G230" i="40" a="1"/>
  <c r="G230" i="40" s="1"/>
  <c r="G284" i="40" s="1"/>
  <c r="AY243" i="40" a="1"/>
  <c r="AY243" i="40" s="1"/>
  <c r="F239" i="40" a="1"/>
  <c r="F239" i="40" s="1"/>
  <c r="AO231" i="40" a="1"/>
  <c r="AO231" i="40" s="1"/>
  <c r="AO258" i="40" s="1"/>
  <c r="P231" i="40" a="1"/>
  <c r="P231" i="40" s="1"/>
  <c r="AD236" i="40" a="1"/>
  <c r="AD236" i="40" s="1"/>
  <c r="AD290" i="40" s="1"/>
  <c r="AN230" i="40" a="1"/>
  <c r="AN230" i="40" s="1"/>
  <c r="AN284" i="40" s="1"/>
  <c r="O240" i="40" a="1"/>
  <c r="O240" i="40" s="1"/>
  <c r="C236" i="40" a="1"/>
  <c r="C236" i="40" s="1"/>
  <c r="C290" i="40" s="1"/>
  <c r="P234" i="40" a="1"/>
  <c r="P234" i="40" s="1"/>
  <c r="I235" i="40" a="1"/>
  <c r="I235" i="40" s="1"/>
  <c r="I289" i="40" s="1"/>
  <c r="Q233" i="40" a="1"/>
  <c r="Q233" i="40" s="1"/>
  <c r="Q287" i="40" s="1"/>
  <c r="V242" i="40" a="1"/>
  <c r="V242" i="40" s="1"/>
  <c r="AZ242" i="40" a="1"/>
  <c r="AZ242" i="40" s="1"/>
  <c r="AZ269" i="40" s="1"/>
  <c r="AY234" i="40" a="1"/>
  <c r="AY234" i="40" s="1"/>
  <c r="AY288" i="40" s="1"/>
  <c r="Q242" i="40" a="1"/>
  <c r="Q242" i="40" s="1"/>
  <c r="H237" i="40" a="1"/>
  <c r="H237" i="40" s="1"/>
  <c r="X250" i="40" a="1"/>
  <c r="X250" i="40" s="1"/>
  <c r="X304" i="40" s="1"/>
  <c r="AZ233" i="40" a="1"/>
  <c r="AZ233" i="40" s="1"/>
  <c r="AZ287" i="40" s="1"/>
  <c r="AM233" i="40" a="1"/>
  <c r="AM233" i="40" s="1"/>
  <c r="D231" i="40" a="1"/>
  <c r="D231" i="40" s="1"/>
  <c r="D285" i="40" s="1"/>
  <c r="AA229" i="40" a="1"/>
  <c r="AA229" i="40" s="1"/>
  <c r="AA283" i="40" s="1"/>
  <c r="AW249" i="40" a="1"/>
  <c r="AW249" i="40" s="1"/>
  <c r="O251" i="40" a="1"/>
  <c r="O251" i="40" s="1"/>
  <c r="AY241" i="40" a="1"/>
  <c r="AY241" i="40" s="1"/>
  <c r="AY268" i="40" s="1"/>
  <c r="G237" i="40" a="1"/>
  <c r="G237" i="40" s="1"/>
  <c r="G291" i="40" s="1"/>
  <c r="AO238" i="40" a="1"/>
  <c r="AO238" i="40" s="1"/>
  <c r="AO292" i="40" s="1"/>
  <c r="C237" i="40" a="1"/>
  <c r="C237" i="40" s="1"/>
  <c r="C291" i="40" s="1"/>
  <c r="AK246" i="40" a="1"/>
  <c r="AK246" i="40" s="1"/>
  <c r="AK300" i="40" s="1"/>
  <c r="AQ242" i="40" a="1"/>
  <c r="AQ242" i="40" s="1"/>
  <c r="E235" i="40" a="1"/>
  <c r="E235" i="40" s="1"/>
  <c r="E262" i="40" s="1"/>
  <c r="AJ243" i="40" a="1"/>
  <c r="AJ243" i="40" s="1"/>
  <c r="AJ297" i="40" s="1"/>
  <c r="AA231" i="40" a="1"/>
  <c r="AA231" i="40" s="1"/>
  <c r="S238" i="40" a="1"/>
  <c r="S238" i="40" s="1"/>
  <c r="S292" i="40" s="1"/>
  <c r="AQ251" i="40" a="1"/>
  <c r="AQ251" i="40" s="1"/>
  <c r="AQ305" i="40" s="1"/>
  <c r="AC241" i="40" a="1"/>
  <c r="AC241" i="40" s="1"/>
  <c r="AC295" i="40" s="1"/>
  <c r="AV237" i="40" a="1"/>
  <c r="AV237" i="40" s="1"/>
  <c r="C247" i="40" a="1"/>
  <c r="C247" i="40" s="1"/>
  <c r="F249" i="40" a="1"/>
  <c r="F249" i="40" s="1"/>
  <c r="W248" i="40" a="1"/>
  <c r="W248" i="40" s="1"/>
  <c r="F244" i="40" a="1"/>
  <c r="F244" i="40" s="1"/>
  <c r="F298" i="40" s="1"/>
  <c r="AY231" i="40" a="1"/>
  <c r="AY231" i="40" s="1"/>
  <c r="K250" i="40" a="1"/>
  <c r="K250" i="40" s="1"/>
  <c r="AQ247" i="40" a="1"/>
  <c r="AQ247" i="40" s="1"/>
  <c r="AQ301" i="40" s="1"/>
  <c r="M248" i="40" a="1"/>
  <c r="M248" i="40" s="1"/>
  <c r="M302" i="40" s="1"/>
  <c r="AL230" i="40" a="1"/>
  <c r="AL230" i="40" s="1"/>
  <c r="AL284" i="40" s="1"/>
  <c r="L230" i="40" a="1"/>
  <c r="L230" i="40" s="1"/>
  <c r="L284" i="40" s="1"/>
  <c r="H230" i="40" a="1"/>
  <c r="H230" i="40" s="1"/>
  <c r="H284" i="40" s="1"/>
  <c r="D230" i="40" a="1"/>
  <c r="D230" i="40" s="1"/>
  <c r="D284" i="40" s="1"/>
  <c r="AI229" i="40" a="1"/>
  <c r="AI229" i="40" s="1"/>
  <c r="AI283" i="40" s="1"/>
  <c r="V238" i="40" a="1"/>
  <c r="V238" i="40" s="1"/>
  <c r="Q247" i="40" a="1"/>
  <c r="Q247" i="40" s="1"/>
  <c r="Q301" i="40" s="1"/>
  <c r="AZ247" i="40" a="1"/>
  <c r="AZ247" i="40" s="1"/>
  <c r="AZ301" i="40" s="1"/>
  <c r="C233" i="40" a="1"/>
  <c r="C233" i="40" s="1"/>
  <c r="Y234" i="40" a="1"/>
  <c r="Y234" i="40" s="1"/>
  <c r="AA249" i="40" a="1"/>
  <c r="AA249" i="40" s="1"/>
  <c r="AA303" i="40" s="1"/>
  <c r="Z233" i="40" a="1"/>
  <c r="Z233" i="40" s="1"/>
  <c r="AV244" i="40" a="1"/>
  <c r="AV244" i="40" s="1"/>
  <c r="AW232" i="40" a="1"/>
  <c r="AW232" i="40" s="1"/>
  <c r="AI232" i="40" a="1"/>
  <c r="AI232" i="40" s="1"/>
  <c r="AI259" i="40" s="1"/>
  <c r="N236" i="40" a="1"/>
  <c r="N236" i="40" s="1"/>
  <c r="AC240" i="40" a="1"/>
  <c r="AC240" i="40" s="1"/>
  <c r="J244" i="40" a="1"/>
  <c r="J244" i="40" s="1"/>
  <c r="J298" i="40" s="1"/>
  <c r="AJ231" i="40" a="1"/>
  <c r="AJ231" i="40" s="1"/>
  <c r="AJ285" i="40" s="1"/>
  <c r="Z231" i="40" a="1"/>
  <c r="Z231" i="40" s="1"/>
  <c r="W242" i="40" a="1"/>
  <c r="W242" i="40" s="1"/>
  <c r="W269" i="40" s="1"/>
  <c r="AY238" i="40" a="1"/>
  <c r="AY238" i="40" s="1"/>
  <c r="AX246" i="40" a="1"/>
  <c r="AX246" i="40" s="1"/>
  <c r="AX300" i="40" s="1"/>
  <c r="Q249" i="40" a="1"/>
  <c r="Q249" i="40" s="1"/>
  <c r="AW239" i="40" a="1"/>
  <c r="AW239" i="40" s="1"/>
  <c r="AW266" i="40" s="1"/>
  <c r="C238" i="40" a="1"/>
  <c r="C238" i="40" s="1"/>
  <c r="C292" i="40" s="1"/>
  <c r="AQ235" i="40" a="1"/>
  <c r="AQ235" i="40" s="1"/>
  <c r="G234" i="40" a="1"/>
  <c r="G234" i="40" s="1"/>
  <c r="G261" i="40" s="1"/>
  <c r="AY236" i="40" a="1"/>
  <c r="AY236" i="40" s="1"/>
  <c r="AY246" i="40" a="1"/>
  <c r="AY246" i="40" s="1"/>
  <c r="AY300" i="40" s="1"/>
  <c r="AL240" i="40" a="1"/>
  <c r="AL240" i="40" s="1"/>
  <c r="AI244" i="40" a="1"/>
  <c r="AI244" i="40" s="1"/>
  <c r="AI298" i="40" s="1"/>
  <c r="Y249" i="40" a="1"/>
  <c r="Y249" i="40" s="1"/>
  <c r="Y303" i="40" s="1"/>
  <c r="O249" i="40" a="1"/>
  <c r="O249" i="40" s="1"/>
  <c r="O276" i="40" s="1"/>
  <c r="D234" i="40" a="1"/>
  <c r="D234" i="40" s="1"/>
  <c r="D261" i="40" s="1"/>
  <c r="I237" i="40" a="1"/>
  <c r="I237" i="40" s="1"/>
  <c r="AJ247" i="40" a="1"/>
  <c r="AJ247" i="40" s="1"/>
  <c r="W233" i="40" a="1"/>
  <c r="W233" i="40" s="1"/>
  <c r="AO243" i="40" a="1"/>
  <c r="AO243" i="40" s="1"/>
  <c r="AO297" i="40" s="1"/>
  <c r="AC246" i="40" a="1"/>
  <c r="AC246" i="40" s="1"/>
  <c r="AC300" i="40" s="1"/>
  <c r="AX240" i="40" a="1"/>
  <c r="AX240" i="40" s="1"/>
  <c r="AE240" i="40" a="1"/>
  <c r="AE240" i="40" s="1"/>
  <c r="AE294" i="40" s="1"/>
  <c r="AX234" i="40" a="1"/>
  <c r="AX234" i="40" s="1"/>
  <c r="AX288" i="40" s="1"/>
  <c r="AY229" i="40" a="1"/>
  <c r="AY229" i="40" s="1"/>
  <c r="AY283" i="40" s="1"/>
  <c r="R245" i="40" a="1"/>
  <c r="R245" i="40" s="1"/>
  <c r="R299" i="40" s="1"/>
  <c r="G232" i="40" a="1"/>
  <c r="G232" i="40" s="1"/>
  <c r="AJ242" i="40" a="1"/>
  <c r="AJ242" i="40" s="1"/>
  <c r="AW231" i="40" a="1"/>
  <c r="AW231" i="40" s="1"/>
  <c r="AU249" i="40" a="1"/>
  <c r="AU249" i="40" s="1"/>
  <c r="AU303" i="40" s="1"/>
  <c r="I244" i="40" a="1"/>
  <c r="I244" i="40" s="1"/>
  <c r="M229" i="40" a="1"/>
  <c r="M229" i="40" s="1"/>
  <c r="M283" i="40" s="1"/>
  <c r="P249" i="40" a="1"/>
  <c r="P249" i="40" s="1"/>
  <c r="P303" i="40" s="1"/>
  <c r="AO244" i="40" a="1"/>
  <c r="AO244" i="40" s="1"/>
  <c r="AO298" i="40" s="1"/>
  <c r="G251" i="40" a="1"/>
  <c r="G251" i="40" s="1"/>
  <c r="Y229" i="40" a="1"/>
  <c r="Y229" i="40" s="1"/>
  <c r="Y283" i="40" s="1"/>
  <c r="AR244" i="40" a="1"/>
  <c r="AR244" i="40" s="1"/>
  <c r="AR298" i="40" s="1"/>
  <c r="D244" i="40" a="1"/>
  <c r="D244" i="40" s="1"/>
  <c r="AP234" i="40" a="1"/>
  <c r="AP234" i="40" s="1"/>
  <c r="AP288" i="40" s="1"/>
  <c r="AP243" i="40" a="1"/>
  <c r="AP243" i="40" s="1"/>
  <c r="AP270" i="40" s="1"/>
  <c r="AR247" i="40" a="1"/>
  <c r="AR247" i="40" s="1"/>
  <c r="AR274" i="40" s="1"/>
  <c r="C232" i="40" a="1"/>
  <c r="C232" i="40" s="1"/>
  <c r="W230" i="40" a="1"/>
  <c r="W230" i="40" s="1"/>
  <c r="W284" i="40" s="1"/>
  <c r="K234" i="40" a="1"/>
  <c r="K234" i="40" s="1"/>
  <c r="K288" i="40" s="1"/>
  <c r="BA234" i="40" a="1"/>
  <c r="BA234" i="40" s="1"/>
  <c r="F230" i="40" a="1"/>
  <c r="F230" i="40" s="1"/>
  <c r="F284" i="40" s="1"/>
  <c r="AT237" i="40" a="1"/>
  <c r="AT237" i="40" s="1"/>
  <c r="AT291" i="40" s="1"/>
  <c r="N242" i="40" a="1"/>
  <c r="N242" i="40" s="1"/>
  <c r="N296" i="40" s="1"/>
  <c r="G229" i="40" a="1"/>
  <c r="G229" i="40" s="1"/>
  <c r="G283" i="40" s="1"/>
  <c r="AR246" i="40" a="1"/>
  <c r="AR246" i="40" s="1"/>
  <c r="K235" i="40" a="1"/>
  <c r="K235" i="40" s="1"/>
  <c r="K289" i="40" s="1"/>
  <c r="U249" i="40" a="1"/>
  <c r="U249" i="40" s="1"/>
  <c r="U303" i="40" s="1"/>
  <c r="AC229" i="40" a="1"/>
  <c r="AC229" i="40" s="1"/>
  <c r="AC283" i="40" s="1"/>
  <c r="AO245" i="40" a="1"/>
  <c r="AO245" i="40" s="1"/>
  <c r="T240" i="40" a="1"/>
  <c r="T240" i="40" s="1"/>
  <c r="W246" i="40" a="1"/>
  <c r="W246" i="40" s="1"/>
  <c r="AB235" i="40" a="1"/>
  <c r="AB235" i="40" s="1"/>
  <c r="AB289" i="40" s="1"/>
  <c r="AB243" i="40" a="1"/>
  <c r="AB243" i="40" s="1"/>
  <c r="H239" i="40" a="1"/>
  <c r="H239" i="40" s="1"/>
  <c r="U239" i="40" a="1"/>
  <c r="U239" i="40" s="1"/>
  <c r="U266" i="40" s="1"/>
  <c r="AZ229" i="40" a="1"/>
  <c r="AZ229" i="40" s="1"/>
  <c r="AZ283" i="40" s="1"/>
  <c r="AV229" i="40" a="1"/>
  <c r="AV229" i="40" s="1"/>
  <c r="AV283" i="40" s="1"/>
  <c r="AQ229" i="40" a="1"/>
  <c r="AQ229" i="40" s="1"/>
  <c r="AQ283" i="40" s="1"/>
  <c r="AM229" i="40" a="1"/>
  <c r="AM229" i="40" s="1"/>
  <c r="AM283" i="40" s="1"/>
  <c r="N229" i="40" a="1"/>
  <c r="N229" i="40" s="1"/>
  <c r="N283" i="40" s="1"/>
  <c r="AM231" i="40" a="1"/>
  <c r="AM231" i="40" s="1"/>
  <c r="AH238" i="40" a="1"/>
  <c r="AH238" i="40" s="1"/>
  <c r="Q239" i="40" a="1"/>
  <c r="Q239" i="40" s="1"/>
  <c r="Q293" i="40" s="1"/>
  <c r="AO246" i="40" a="1"/>
  <c r="AO246" i="40" s="1"/>
  <c r="AO300" i="40" s="1"/>
  <c r="AG247" i="40" a="1"/>
  <c r="AG247" i="40" s="1"/>
  <c r="AG301" i="40" s="1"/>
  <c r="AR248" i="40" a="1"/>
  <c r="AR248" i="40" s="1"/>
  <c r="AS246" i="40" a="1"/>
  <c r="AS246" i="40" s="1"/>
  <c r="AN236" i="40" a="1"/>
  <c r="AN236" i="40" s="1"/>
  <c r="AN290" i="40" s="1"/>
  <c r="Q245" i="40" a="1"/>
  <c r="Q245" i="40" s="1"/>
  <c r="Q299" i="40" s="1"/>
  <c r="AS245" i="40" a="1"/>
  <c r="AS245" i="40" s="1"/>
  <c r="AS299" i="40" s="1"/>
  <c r="F242" i="40" a="1"/>
  <c r="F242" i="40" s="1"/>
  <c r="R249" i="40" a="1"/>
  <c r="R249" i="40" s="1"/>
  <c r="AZ246" i="40" a="1"/>
  <c r="AZ246" i="40" s="1"/>
  <c r="AZ300" i="40" s="1"/>
  <c r="AX233" i="40" a="1"/>
  <c r="AX233" i="40" s="1"/>
  <c r="AX287" i="40" s="1"/>
  <c r="J243" i="40" a="1"/>
  <c r="J243" i="40" s="1"/>
  <c r="J270" i="40" s="1"/>
  <c r="X234" i="40" a="1"/>
  <c r="X234" i="40" s="1"/>
  <c r="R243" i="40" a="1"/>
  <c r="R243" i="40" s="1"/>
  <c r="AJ250" i="40" a="1"/>
  <c r="AJ250" i="40" s="1"/>
  <c r="AJ277" i="40" s="1"/>
  <c r="U234" i="40" a="1"/>
  <c r="U234" i="40" s="1"/>
  <c r="U288" i="40" s="1"/>
  <c r="E239" i="40" a="1"/>
  <c r="E239" i="40" s="1"/>
  <c r="E266" i="40" s="1"/>
  <c r="C234" i="40" a="1"/>
  <c r="C234" i="40" s="1"/>
  <c r="C288" i="40" s="1"/>
  <c r="U236" i="40" a="1"/>
  <c r="U236" i="40" s="1"/>
  <c r="AH231" i="40" a="1"/>
  <c r="AH231" i="40" s="1"/>
  <c r="R244" i="40" a="1"/>
  <c r="R244" i="40" s="1"/>
  <c r="R298" i="40" s="1"/>
  <c r="P248" i="40" a="1"/>
  <c r="P248" i="40" s="1"/>
  <c r="AE233" i="40" a="1"/>
  <c r="AE233" i="40" s="1"/>
  <c r="AE287" i="40" s="1"/>
  <c r="AY232" i="40" a="1"/>
  <c r="AY232" i="40" s="1"/>
  <c r="AY259" i="40" s="1"/>
  <c r="E234" i="40" a="1"/>
  <c r="E234" i="40" s="1"/>
  <c r="AT242" i="40" a="1"/>
  <c r="AT242" i="40" s="1"/>
  <c r="AG238" i="40" a="1"/>
  <c r="AG238" i="40" s="1"/>
  <c r="AG292" i="40" s="1"/>
  <c r="AH245" i="40" a="1"/>
  <c r="AH245" i="40" s="1"/>
  <c r="AH299" i="40" s="1"/>
  <c r="K246" i="40" a="1"/>
  <c r="K246" i="40" s="1"/>
  <c r="K300" i="40" s="1"/>
  <c r="U237" i="40" a="1"/>
  <c r="U237" i="40" s="1"/>
  <c r="AQ249" i="40" a="1"/>
  <c r="AQ249" i="40" s="1"/>
  <c r="AQ303" i="40" s="1"/>
  <c r="I233" i="40" a="1"/>
  <c r="I233" i="40" s="1"/>
  <c r="I287" i="40" s="1"/>
  <c r="AF233" i="40" a="1"/>
  <c r="AF233" i="40" s="1"/>
  <c r="AD240" i="40" a="1"/>
  <c r="AD240" i="40" s="1"/>
  <c r="AD267" i="40" s="1"/>
  <c r="Z244" i="40" a="1"/>
  <c r="Z244" i="40" s="1"/>
  <c r="P242" i="40" a="1"/>
  <c r="P242" i="40" s="1"/>
  <c r="S242" i="40" a="1"/>
  <c r="S242" i="40" s="1"/>
  <c r="S296" i="40" s="1"/>
  <c r="J247" i="40" a="1"/>
  <c r="J247" i="40" s="1"/>
  <c r="N246" i="40" a="1"/>
  <c r="N246" i="40" s="1"/>
  <c r="O247" i="40" a="1"/>
  <c r="O247" i="40" s="1"/>
  <c r="O301" i="40" s="1"/>
  <c r="G236" i="40" a="1"/>
  <c r="G236" i="40" s="1"/>
  <c r="G290" i="40" s="1"/>
  <c r="P239" i="40" a="1"/>
  <c r="P239" i="40" s="1"/>
  <c r="K251" i="40" a="1"/>
  <c r="K251" i="40" s="1"/>
  <c r="AT229" i="40" a="1"/>
  <c r="AT229" i="40" s="1"/>
  <c r="AT283" i="40" s="1"/>
  <c r="M249" i="40" a="1"/>
  <c r="M249" i="40" s="1"/>
  <c r="X233" i="40" a="1"/>
  <c r="X233" i="40" s="1"/>
  <c r="N238" i="40" a="1"/>
  <c r="N238" i="40" s="1"/>
  <c r="N265" i="40" s="1"/>
  <c r="AI238" i="40" a="1"/>
  <c r="AI238" i="40" s="1"/>
  <c r="AI292" i="40" s="1"/>
  <c r="AH247" i="40" a="1"/>
  <c r="AH247" i="40" s="1"/>
  <c r="AH274" i="40" s="1"/>
  <c r="Y242" i="40" a="1"/>
  <c r="Y242" i="40" s="1"/>
  <c r="Y296" i="40" s="1"/>
  <c r="E236" i="40" a="1"/>
  <c r="E236" i="40" s="1"/>
  <c r="Y248" i="40" a="1"/>
  <c r="Y248" i="40" s="1"/>
  <c r="Y302" i="40" s="1"/>
  <c r="S232" i="40" a="1"/>
  <c r="S232" i="40" s="1"/>
  <c r="S249" i="40" a="1"/>
  <c r="S249" i="40" s="1"/>
  <c r="K229" i="40" a="1"/>
  <c r="K229" i="40" s="1"/>
  <c r="K283" i="40" s="1"/>
  <c r="AZ237" i="40" a="1"/>
  <c r="AZ237" i="40" s="1"/>
  <c r="AK229" i="40" a="1"/>
  <c r="AK229" i="40" s="1"/>
  <c r="AK283" i="40" s="1"/>
  <c r="D235" i="40" a="1"/>
  <c r="D235" i="40" s="1"/>
  <c r="D262" i="40" s="1"/>
  <c r="AE232" i="40" a="1"/>
  <c r="AE232" i="40" s="1"/>
  <c r="AE286" i="40" s="1"/>
  <c r="AV233" i="40" a="1"/>
  <c r="AV233" i="40" s="1"/>
  <c r="AT243" i="40" a="1"/>
  <c r="AT243" i="40" s="1"/>
  <c r="F250" i="40" a="1"/>
  <c r="F250" i="40" s="1"/>
  <c r="C245" i="40" a="1"/>
  <c r="C245" i="40" s="1"/>
  <c r="X249" i="40" a="1"/>
  <c r="X249" i="40" s="1"/>
  <c r="X303" i="40" s="1"/>
  <c r="T235" i="40" a="1"/>
  <c r="T235" i="40" s="1"/>
  <c r="T251" i="40" a="1"/>
  <c r="T251" i="40" s="1"/>
  <c r="AU231" i="40" a="1"/>
  <c r="AU231" i="40" s="1"/>
  <c r="AU285" i="40" s="1"/>
  <c r="AM230" i="40" a="1"/>
  <c r="AM230" i="40" s="1"/>
  <c r="AM284" i="40" s="1"/>
  <c r="Z229" i="40" a="1"/>
  <c r="Z229" i="40" s="1"/>
  <c r="Z283" i="40" s="1"/>
  <c r="V229" i="40" a="1"/>
  <c r="V229" i="40" s="1"/>
  <c r="V283" i="40" s="1"/>
  <c r="R229" i="40" a="1"/>
  <c r="R229" i="40" s="1"/>
  <c r="R283" i="40" s="1"/>
  <c r="AO230" i="40" a="1"/>
  <c r="AO230" i="40" s="1"/>
  <c r="AO284" i="40" s="1"/>
  <c r="AS242" i="40" a="1"/>
  <c r="AS242" i="40" s="1"/>
  <c r="AS296" i="40" s="1"/>
  <c r="J231" i="40" a="1"/>
  <c r="J231" i="40" s="1"/>
  <c r="J285" i="40" s="1"/>
  <c r="P238" i="40" a="1"/>
  <c r="P238" i="40" s="1"/>
  <c r="P292" i="40" s="1"/>
  <c r="AV238" i="40" a="1"/>
  <c r="AV238" i="40" s="1"/>
  <c r="AX239" i="40" a="1"/>
  <c r="AX239" i="40" s="1"/>
  <c r="T238" i="40" a="1"/>
  <c r="T238" i="40" s="1"/>
  <c r="AU250" i="40" a="1"/>
  <c r="AU250" i="40" s="1"/>
  <c r="AZ236" i="40" a="1"/>
  <c r="AZ236" i="40" s="1"/>
  <c r="AZ290" i="40" s="1"/>
  <c r="AC237" i="40" a="1"/>
  <c r="AC237" i="40" s="1"/>
  <c r="AC291" i="40" s="1"/>
  <c r="AW250" i="40" a="1"/>
  <c r="AW250" i="40" s="1"/>
  <c r="Q240" i="40" a="1"/>
  <c r="Q240" i="40" s="1"/>
  <c r="AY233" i="40" a="1"/>
  <c r="AY233" i="40" s="1"/>
  <c r="AD244" i="40" a="1"/>
  <c r="AD244" i="40" s="1"/>
  <c r="AD298" i="40" s="1"/>
  <c r="Q246" i="40" a="1"/>
  <c r="Q246" i="40" s="1"/>
  <c r="Q300" i="40" s="1"/>
  <c r="F238" i="40" a="1"/>
  <c r="F238" i="40" s="1"/>
  <c r="E244" i="40" a="1"/>
  <c r="E244" i="40" s="1"/>
  <c r="D241" i="40" a="1"/>
  <c r="D241" i="40" s="1"/>
  <c r="D295" i="40" s="1"/>
  <c r="AC242" i="40" a="1"/>
  <c r="AC242" i="40" s="1"/>
  <c r="AC296" i="40" s="1"/>
  <c r="U233" i="40" a="1"/>
  <c r="U233" i="40" s="1"/>
  <c r="AS244" i="40" a="1"/>
  <c r="AS244" i="40" s="1"/>
  <c r="I242" i="40" a="1"/>
  <c r="I242" i="40" s="1"/>
  <c r="AZ243" i="40" a="1"/>
  <c r="AZ243" i="40" s="1"/>
  <c r="AE236" i="40" a="1"/>
  <c r="AE236" i="40" s="1"/>
  <c r="AE290" i="40" s="1"/>
  <c r="AJ240" i="40" a="1"/>
  <c r="AJ240" i="40" s="1"/>
  <c r="AJ294" i="40" s="1"/>
  <c r="U243" i="40" a="1"/>
  <c r="U243" i="40" s="1"/>
  <c r="U297" i="40" s="1"/>
  <c r="T245" i="40" a="1"/>
  <c r="T245" i="40" s="1"/>
  <c r="P244" i="40" a="1"/>
  <c r="P244" i="40" s="1"/>
  <c r="N239" i="40" a="1"/>
  <c r="N239" i="40" s="1"/>
  <c r="P251" i="40" a="1"/>
  <c r="P251" i="40" s="1"/>
  <c r="AT234" i="40" a="1"/>
  <c r="AT234" i="40" s="1"/>
  <c r="AT288" i="40" s="1"/>
  <c r="AK243" i="40" a="1"/>
  <c r="AK243" i="40" s="1"/>
  <c r="O250" i="40" a="1"/>
  <c r="O250" i="40" s="1"/>
  <c r="AZ241" i="40" a="1"/>
  <c r="AZ241" i="40" s="1"/>
  <c r="AA244" i="40" a="1"/>
  <c r="AA244" i="40" s="1"/>
  <c r="AA298" i="40" s="1"/>
  <c r="AR236" i="40" a="1"/>
  <c r="AR236" i="40" s="1"/>
  <c r="AR290" i="40" s="1"/>
  <c r="L233" i="40" a="1"/>
  <c r="L233" i="40" s="1"/>
  <c r="L287" i="40" s="1"/>
  <c r="V233" i="40" a="1"/>
  <c r="V233" i="40" s="1"/>
  <c r="AI249" i="40" a="1"/>
  <c r="AI249" i="40" s="1"/>
  <c r="AI303" i="40" s="1"/>
  <c r="J232" i="40" a="1"/>
  <c r="J232" i="40" s="1"/>
  <c r="E241" i="40" a="1"/>
  <c r="E241" i="40" s="1"/>
  <c r="E295" i="40" s="1"/>
  <c r="P240" i="40" a="1"/>
  <c r="P240" i="40" s="1"/>
  <c r="T233" i="40" a="1"/>
  <c r="T233" i="40" s="1"/>
  <c r="T287" i="40" s="1"/>
  <c r="J234" i="40" a="1"/>
  <c r="J234" i="40" s="1"/>
  <c r="J288" i="40" s="1"/>
  <c r="AD250" i="40" a="1"/>
  <c r="AD250" i="40" s="1"/>
  <c r="AK251" i="40" a="1"/>
  <c r="AK251" i="40" s="1"/>
  <c r="G246" i="40" a="1"/>
  <c r="G246" i="40" s="1"/>
  <c r="AY237" i="40" a="1"/>
  <c r="AY237" i="40" s="1"/>
  <c r="AY291" i="40" s="1"/>
  <c r="AM249" i="40" a="1"/>
  <c r="AM249" i="40" s="1"/>
  <c r="AM303" i="40" s="1"/>
  <c r="W243" i="40" a="1"/>
  <c r="W243" i="40" s="1"/>
  <c r="M235" i="40" a="1"/>
  <c r="M235" i="40" s="1"/>
  <c r="AG231" i="40" a="1"/>
  <c r="AG231" i="40" s="1"/>
  <c r="AG285" i="40" s="1"/>
  <c r="AT238" i="40" a="1"/>
  <c r="AT238" i="40" s="1"/>
  <c r="AT231" i="40" a="1"/>
  <c r="AT231" i="40" s="1"/>
  <c r="AT285" i="40" s="1"/>
  <c r="K245" i="40" a="1"/>
  <c r="K245" i="40" s="1"/>
  <c r="AO240" i="40" a="1"/>
  <c r="AO240" i="40" s="1"/>
  <c r="F232" i="40" a="1"/>
  <c r="F232" i="40" s="1"/>
  <c r="F286" i="40" s="1"/>
  <c r="AS233" i="40" a="1"/>
  <c r="AS233" i="40" s="1"/>
  <c r="AC249" i="40" a="1"/>
  <c r="AC249" i="40" s="1"/>
  <c r="AZ234" i="40" a="1"/>
  <c r="AZ234" i="40" s="1"/>
  <c r="AH235" i="40" a="1"/>
  <c r="AH235" i="40" s="1"/>
  <c r="AH289" i="40" s="1"/>
  <c r="Q234" i="40" a="1"/>
  <c r="Q234" i="40" s="1"/>
  <c r="Q288" i="40" s="1"/>
  <c r="I239" i="40" a="1"/>
  <c r="I239" i="40" s="1"/>
  <c r="I293" i="40" s="1"/>
  <c r="AQ239" i="40" a="1"/>
  <c r="AQ239" i="40" s="1"/>
  <c r="AQ293" i="40" s="1"/>
  <c r="Z235" i="40" a="1"/>
  <c r="Z235" i="40" s="1"/>
  <c r="K238" i="40" a="1"/>
  <c r="K238" i="40" s="1"/>
  <c r="K292" i="40" s="1"/>
  <c r="O246" i="40" a="1"/>
  <c r="O246" i="40" s="1"/>
  <c r="O300" i="40" s="1"/>
  <c r="AM247" i="40" a="1"/>
  <c r="AM247" i="40" s="1"/>
  <c r="AM301" i="40" s="1"/>
  <c r="AS232" i="40" a="1"/>
  <c r="AS232" i="40" s="1"/>
  <c r="AS286" i="40" s="1"/>
  <c r="Q231" i="40" a="1"/>
  <c r="Q231" i="40" s="1"/>
  <c r="AR243" i="40" a="1"/>
  <c r="AR243" i="40" s="1"/>
  <c r="AX238" i="40" a="1"/>
  <c r="AX238" i="40" s="1"/>
  <c r="AP249" i="40" a="1"/>
  <c r="AP249" i="40" s="1"/>
  <c r="Z250" i="40" a="1"/>
  <c r="Z250" i="40" s="1"/>
  <c r="Z304" i="40" s="1"/>
  <c r="M243" i="40" a="1"/>
  <c r="M243" i="40" s="1"/>
  <c r="M297" i="40" s="1"/>
  <c r="M236" i="40" a="1"/>
  <c r="M236" i="40" s="1"/>
  <c r="M290" i="40" s="1"/>
  <c r="P229" i="40" a="1"/>
  <c r="P229" i="40" s="1"/>
  <c r="P283" i="40" s="1"/>
  <c r="AP244" i="40" a="1"/>
  <c r="AP244" i="40" s="1"/>
  <c r="AP298" i="40" s="1"/>
  <c r="AA238" i="40" a="1"/>
  <c r="AA238" i="40" s="1"/>
  <c r="Q236" i="40" a="1"/>
  <c r="Q236" i="40" s="1"/>
  <c r="Q290" i="40" s="1"/>
  <c r="AC243" i="40" a="1"/>
  <c r="AC243" i="40" s="1"/>
  <c r="AC297" i="40" s="1"/>
  <c r="F251" i="40" a="1"/>
  <c r="F251" i="40" s="1"/>
  <c r="V240" i="40" a="1"/>
  <c r="V240" i="40" s="1"/>
  <c r="V294" i="40" s="1"/>
  <c r="O248" i="40" a="1"/>
  <c r="O248" i="40" s="1"/>
  <c r="S240" i="40" a="1"/>
  <c r="S240" i="40" s="1"/>
  <c r="X243" i="40" a="1"/>
  <c r="X243" i="40" s="1"/>
  <c r="X297" i="40" s="1"/>
  <c r="AG229" i="40" a="1"/>
  <c r="AG229" i="40" s="1"/>
  <c r="AG283" i="40" s="1"/>
  <c r="E229" i="40" a="1"/>
  <c r="E229" i="40" s="1"/>
  <c r="E283" i="40" s="1"/>
  <c r="AW230" i="40" a="1"/>
  <c r="AW230" i="40" s="1"/>
  <c r="AW284" i="40" s="1"/>
  <c r="AS230" i="40" a="1"/>
  <c r="AS230" i="40" s="1"/>
  <c r="AS284" i="40" s="1"/>
  <c r="T230" i="40" a="1"/>
  <c r="T230" i="40" s="1"/>
  <c r="T284" i="40" s="1"/>
  <c r="AK234" i="40" a="1"/>
  <c r="AK234" i="40" s="1"/>
  <c r="AK242" i="40" a="1"/>
  <c r="AK242" i="40" s="1"/>
  <c r="AK296" i="40" s="1"/>
  <c r="AW246" i="40" a="1"/>
  <c r="AW246" i="40" s="1"/>
  <c r="AN251" i="40" a="1"/>
  <c r="AN251" i="40" s="1"/>
  <c r="AN278" i="40" s="1"/>
  <c r="Y231" i="40" a="1"/>
  <c r="Y231" i="40" s="1"/>
  <c r="K243" i="40" a="1"/>
  <c r="K243" i="40" s="1"/>
  <c r="AW247" i="40" a="1"/>
  <c r="AW247" i="40" s="1"/>
  <c r="AW301" i="40" s="1"/>
  <c r="N241" i="40" a="1"/>
  <c r="N241" i="40" s="1"/>
  <c r="N295" i="40" s="1"/>
  <c r="P250" i="40" a="1"/>
  <c r="P250" i="40" s="1"/>
  <c r="AA245" i="40" a="1"/>
  <c r="AA245" i="40" s="1"/>
  <c r="AA299" i="40" s="1"/>
  <c r="G244" i="40" a="1"/>
  <c r="G244" i="40" s="1"/>
  <c r="G298" i="40" s="1"/>
  <c r="H232" i="40" a="1"/>
  <c r="H232" i="40" s="1"/>
  <c r="AE244" i="40" a="1"/>
  <c r="AE244" i="40" s="1"/>
  <c r="H235" i="40" a="1"/>
  <c r="H235" i="40" s="1"/>
  <c r="H289" i="40" s="1"/>
  <c r="AP237" i="40" a="1"/>
  <c r="AP237" i="40" s="1"/>
  <c r="AP291" i="40" s="1"/>
  <c r="L244" i="40" a="1"/>
  <c r="L244" i="40" s="1"/>
  <c r="U238" i="40" a="1"/>
  <c r="U238" i="40" s="1"/>
  <c r="U292" i="40" s="1"/>
  <c r="AD231" i="40" a="1"/>
  <c r="AD231" i="40" s="1"/>
  <c r="AD285" i="40" s="1"/>
  <c r="W231" i="40" a="1"/>
  <c r="W231" i="40" s="1"/>
  <c r="AO249" i="40" a="1"/>
  <c r="AO249" i="40" s="1"/>
  <c r="AO303" i="40" s="1"/>
  <c r="AJ234" i="40" a="1"/>
  <c r="AJ234" i="40" s="1"/>
  <c r="AJ288" i="40" s="1"/>
  <c r="C242" i="40" a="1"/>
  <c r="C242" i="40" s="1"/>
  <c r="AE241" i="40" a="1"/>
  <c r="AE241" i="40" s="1"/>
  <c r="AE295" i="40" s="1"/>
  <c r="AL247" i="40" a="1"/>
  <c r="AL247" i="40" s="1"/>
  <c r="AL301" i="40" s="1"/>
  <c r="AZ231" i="40" a="1"/>
  <c r="AZ231" i="40" s="1"/>
  <c r="AZ285" i="40" s="1"/>
  <c r="AO232" i="40" a="1"/>
  <c r="AO232" i="40" s="1"/>
  <c r="AP242" i="40" a="1"/>
  <c r="AP242" i="40" s="1"/>
  <c r="AL235" i="40" a="1"/>
  <c r="AL235" i="40" s="1"/>
  <c r="S243" i="40" a="1"/>
  <c r="S243" i="40" s="1"/>
  <c r="R242" i="40" a="1"/>
  <c r="R242" i="40" s="1"/>
  <c r="R296" i="40" s="1"/>
  <c r="M245" i="40" a="1"/>
  <c r="M245" i="40" s="1"/>
  <c r="D240" i="40" a="1"/>
  <c r="D240" i="40" s="1"/>
  <c r="X239" i="40" a="1"/>
  <c r="X239" i="40" s="1"/>
  <c r="AA242" i="40" a="1"/>
  <c r="AA242" i="40" s="1"/>
  <c r="AF243" i="40" a="1"/>
  <c r="AF243" i="40" s="1"/>
  <c r="X236" i="40" a="1"/>
  <c r="X236" i="40" s="1"/>
  <c r="AO235" i="40" a="1"/>
  <c r="AO235" i="40" s="1"/>
  <c r="AO289" i="40" s="1"/>
  <c r="AN239" i="40" a="1"/>
  <c r="AN239" i="40" s="1"/>
  <c r="AP263" i="40"/>
  <c r="BB148" i="40"/>
  <c r="BB175" i="40"/>
  <c r="N279" i="40"/>
  <c r="BB149" i="40"/>
  <c r="BB122" i="40"/>
  <c r="AQ263" i="40"/>
  <c r="U279" i="40"/>
  <c r="BB176" i="40"/>
  <c r="AU272" i="40"/>
  <c r="Q279" i="40"/>
  <c r="AQ258" i="40"/>
  <c r="BB121" i="40"/>
  <c r="K275" i="40"/>
  <c r="R259" i="40"/>
  <c r="AW279" i="40"/>
  <c r="Z279" i="40"/>
  <c r="AY279" i="40"/>
  <c r="AB279" i="40"/>
  <c r="G117" i="40"/>
  <c r="G198" i="40"/>
  <c r="G225" i="40" s="1" a="1"/>
  <c r="G225" i="40" s="1"/>
  <c r="AT144" i="40"/>
  <c r="AT171" i="40" s="1"/>
  <c r="BB133" i="40"/>
  <c r="BB131" i="40"/>
  <c r="W117" i="40"/>
  <c r="W198" i="40"/>
  <c r="W225" i="40" s="1" a="1"/>
  <c r="W225" i="40" s="1"/>
  <c r="AT141" i="40"/>
  <c r="AT168" i="40" s="1"/>
  <c r="AT303" i="40" s="1"/>
  <c r="C192" i="40"/>
  <c r="C219" i="40" s="1" a="1"/>
  <c r="C219" i="40" s="1"/>
  <c r="F117" i="40"/>
  <c r="F198" i="40"/>
  <c r="F225" i="40" s="1" a="1"/>
  <c r="F225" i="40" s="1"/>
  <c r="D117" i="40"/>
  <c r="D198" i="40"/>
  <c r="D225" i="40" s="1" a="1"/>
  <c r="D225" i="40" s="1"/>
  <c r="BB123" i="40"/>
  <c r="C117" i="40"/>
  <c r="C198" i="40"/>
  <c r="C225" i="40" s="1" a="1"/>
  <c r="C225" i="40" s="1"/>
  <c r="BB225" i="40" s="1"/>
  <c r="Q168" i="40"/>
  <c r="T150" i="40"/>
  <c r="AQ164" i="40"/>
  <c r="X159" i="40"/>
  <c r="M154" i="40"/>
  <c r="AY169" i="40"/>
  <c r="AM151" i="40"/>
  <c r="AA165" i="40"/>
  <c r="AI150" i="40"/>
  <c r="AX150" i="40"/>
  <c r="AX155" i="40"/>
  <c r="AN166" i="40"/>
  <c r="AZ160" i="40"/>
  <c r="AO155" i="40"/>
  <c r="AH155" i="40"/>
  <c r="U166" i="40"/>
  <c r="AI160" i="40"/>
  <c r="X155" i="40"/>
  <c r="BA168" i="40"/>
  <c r="Y169" i="40"/>
  <c r="X165" i="40"/>
  <c r="AU170" i="40"/>
  <c r="AZ170" i="40"/>
  <c r="T155" i="40"/>
  <c r="R170" i="40"/>
  <c r="M153" i="40"/>
  <c r="AA170" i="40"/>
  <c r="X152" i="40"/>
  <c r="AA155" i="40"/>
  <c r="AM158" i="40"/>
  <c r="N168" i="40"/>
  <c r="BB135" i="40"/>
  <c r="I162" i="40"/>
  <c r="AV156" i="40"/>
  <c r="AK151" i="40"/>
  <c r="AM167" i="40"/>
  <c r="AP161" i="40"/>
  <c r="AE156" i="40"/>
  <c r="T151" i="40"/>
  <c r="AN152" i="40"/>
  <c r="O169" i="40"/>
  <c r="AU165" i="40"/>
  <c r="AN158" i="40"/>
  <c r="S170" i="40"/>
  <c r="AD156" i="40"/>
  <c r="G161" i="40"/>
  <c r="AT138" i="40"/>
  <c r="AT165" i="40" s="1"/>
  <c r="BB127" i="40"/>
  <c r="V167" i="40"/>
  <c r="AA161" i="40"/>
  <c r="P156" i="40"/>
  <c r="D151" i="40"/>
  <c r="AV166" i="40"/>
  <c r="I161" i="40"/>
  <c r="AV155" i="40"/>
  <c r="AC150" i="40"/>
  <c r="AY150" i="40"/>
  <c r="AX166" i="40"/>
  <c r="W150" i="40"/>
  <c r="J165" i="40"/>
  <c r="AI159" i="40"/>
  <c r="X154" i="40"/>
  <c r="AJ166" i="40"/>
  <c r="AW151" i="40"/>
  <c r="AL152" i="40"/>
  <c r="AQ154" i="40"/>
  <c r="AB167" i="40"/>
  <c r="AB302" i="40" s="1"/>
  <c r="AF161" i="40"/>
  <c r="U156" i="40"/>
  <c r="I151" i="40"/>
  <c r="AD170" i="40"/>
  <c r="E156" i="40"/>
  <c r="K164" i="40"/>
  <c r="AC155" i="40"/>
  <c r="O159" i="40"/>
  <c r="AK160" i="40"/>
  <c r="AK295" i="40" s="1"/>
  <c r="N163" i="40"/>
  <c r="AO152" i="40"/>
  <c r="E153" i="40"/>
  <c r="H161" i="40"/>
  <c r="AU155" i="40"/>
  <c r="K156" i="40"/>
  <c r="U155" i="40"/>
  <c r="Z170" i="40"/>
  <c r="Z305" i="40" s="1"/>
  <c r="AZ163" i="40"/>
  <c r="AO158" i="40"/>
  <c r="AD153" i="40"/>
  <c r="AP165" i="40"/>
  <c r="K160" i="40"/>
  <c r="K295" i="40" s="1"/>
  <c r="D163" i="40"/>
  <c r="D298" i="40" s="1"/>
  <c r="AH169" i="40"/>
  <c r="AG170" i="40"/>
  <c r="C154" i="40"/>
  <c r="AW165" i="40"/>
  <c r="T160" i="40"/>
  <c r="H155" i="40"/>
  <c r="C152" i="40"/>
  <c r="R160" i="40"/>
  <c r="R295" i="40" s="1"/>
  <c r="R169" i="40"/>
  <c r="S168" i="40"/>
  <c r="O170" i="40"/>
  <c r="U151" i="40"/>
  <c r="U286" i="40" s="1"/>
  <c r="AT142" i="40"/>
  <c r="AT169" i="40" s="1"/>
  <c r="AF166" i="40"/>
  <c r="AR160" i="40"/>
  <c r="AG155" i="40"/>
  <c r="BB134" i="40"/>
  <c r="C161" i="40"/>
  <c r="M166" i="40"/>
  <c r="AA160" i="40"/>
  <c r="P155" i="40"/>
  <c r="BA167" i="40"/>
  <c r="AP168" i="40"/>
  <c r="AX164" i="40"/>
  <c r="AL170" i="40"/>
  <c r="T164" i="40"/>
  <c r="AZ158" i="40"/>
  <c r="AO153" i="40"/>
  <c r="AS163" i="40"/>
  <c r="L150" i="40"/>
  <c r="Z150" i="40"/>
  <c r="AR153" i="40"/>
  <c r="AK166" i="40"/>
  <c r="AW160" i="40"/>
  <c r="AL155" i="40"/>
  <c r="AL290" i="40" s="1"/>
  <c r="I170" i="40"/>
  <c r="AC170" i="40"/>
  <c r="AC305" i="40" s="1"/>
  <c r="H162" i="40"/>
  <c r="AU156" i="40"/>
  <c r="AJ151" i="40"/>
  <c r="AT154" i="40"/>
  <c r="AG169" i="40"/>
  <c r="L153" i="40"/>
  <c r="T166" i="40"/>
  <c r="AH160" i="40"/>
  <c r="W155" i="40"/>
  <c r="W290" i="40" s="1"/>
  <c r="AR170" i="40"/>
  <c r="AD154" i="40"/>
  <c r="Z156" i="40"/>
  <c r="E159" i="40"/>
  <c r="AK168" i="40"/>
  <c r="H152" i="40"/>
  <c r="AV164" i="40"/>
  <c r="AS162" i="40"/>
  <c r="AH157" i="40"/>
  <c r="W152" i="40"/>
  <c r="AZ153" i="40"/>
  <c r="AI169" i="40"/>
  <c r="T163" i="40"/>
  <c r="H158" i="40"/>
  <c r="AU152" i="40"/>
  <c r="AZ162" i="40"/>
  <c r="BA152" i="40"/>
  <c r="F161" i="40"/>
  <c r="AP166" i="40"/>
  <c r="AX167" i="40"/>
  <c r="AX302" i="40" s="1"/>
  <c r="Y150" i="40"/>
  <c r="N165" i="40"/>
  <c r="AK159" i="40"/>
  <c r="Z154" i="40"/>
  <c r="P159" i="40"/>
  <c r="P294" i="40" s="1"/>
  <c r="X157" i="40"/>
  <c r="AZ159" i="40"/>
  <c r="Y166" i="40"/>
  <c r="K158" i="40"/>
  <c r="T157" i="40"/>
  <c r="M158" i="40"/>
  <c r="AO156" i="40"/>
  <c r="AW161" i="40"/>
  <c r="AT163" i="40"/>
  <c r="X153" i="40"/>
  <c r="S151" i="40"/>
  <c r="AN165" i="40"/>
  <c r="L160" i="40"/>
  <c r="L295" i="40" s="1"/>
  <c r="AX154" i="40"/>
  <c r="AF150" i="40"/>
  <c r="U165" i="40"/>
  <c r="AR159" i="40"/>
  <c r="AG154" i="40"/>
  <c r="BA164" i="40"/>
  <c r="AH165" i="40"/>
  <c r="AI162" i="40"/>
  <c r="AU169" i="40"/>
  <c r="AE163" i="40"/>
  <c r="T158" i="40"/>
  <c r="T293" i="40" s="1"/>
  <c r="H153" i="40"/>
  <c r="AU161" i="40"/>
  <c r="P170" i="40"/>
  <c r="AX169" i="40"/>
  <c r="BB124" i="40"/>
  <c r="C151" i="40"/>
  <c r="AS165" i="40"/>
  <c r="Q160" i="40"/>
  <c r="E155" i="40"/>
  <c r="AN154" i="40"/>
  <c r="AJ167" i="40"/>
  <c r="BB126" i="40"/>
  <c r="BA153" i="40"/>
  <c r="AS167" i="40"/>
  <c r="AV161" i="40"/>
  <c r="AK156" i="40"/>
  <c r="Z151" i="40"/>
  <c r="P150" i="40"/>
  <c r="M164" i="40"/>
  <c r="AP150" i="40"/>
  <c r="AK162" i="40"/>
  <c r="U152" i="40"/>
  <c r="AG165" i="40"/>
  <c r="D159" i="40"/>
  <c r="AQ153" i="40"/>
  <c r="AC153" i="40"/>
  <c r="I155" i="40"/>
  <c r="AD165" i="40"/>
  <c r="T159" i="40"/>
  <c r="AQ163" i="40"/>
  <c r="I166" i="40"/>
  <c r="N155" i="40"/>
  <c r="AV150" i="40"/>
  <c r="AL156" i="40"/>
  <c r="AO161" i="40"/>
  <c r="AS166" i="40"/>
  <c r="AT140" i="40"/>
  <c r="AT167" i="40" s="1"/>
  <c r="AT302" i="40" s="1"/>
  <c r="AT137" i="40"/>
  <c r="AT164" i="40" s="1"/>
  <c r="AQ152" i="40"/>
  <c r="Q159" i="40"/>
  <c r="G158" i="40"/>
  <c r="Y156" i="40"/>
  <c r="AL167" i="40"/>
  <c r="AX157" i="40"/>
  <c r="AM152" i="40"/>
  <c r="AB162" i="40"/>
  <c r="AS152" i="40"/>
  <c r="P160" i="40"/>
  <c r="P295" i="40" s="1"/>
  <c r="P166" i="40"/>
  <c r="O167" i="40"/>
  <c r="Q150" i="40"/>
  <c r="G154" i="40"/>
  <c r="R165" i="40"/>
  <c r="Q151" i="40"/>
  <c r="C163" i="40"/>
  <c r="S154" i="40"/>
  <c r="I167" i="40"/>
  <c r="P161" i="40"/>
  <c r="D156" i="40"/>
  <c r="K155" i="40"/>
  <c r="AM169" i="40"/>
  <c r="X163" i="40"/>
  <c r="Z167" i="40"/>
  <c r="AD161" i="40"/>
  <c r="S156" i="40"/>
  <c r="G151" i="40"/>
  <c r="R156" i="40"/>
  <c r="N151" i="40"/>
  <c r="AL154" i="40"/>
  <c r="F159" i="40"/>
  <c r="AB161" i="40"/>
  <c r="AC164" i="40"/>
  <c r="AC299" i="40" s="1"/>
  <c r="J159" i="40"/>
  <c r="AW153" i="40"/>
  <c r="AJ164" i="40"/>
  <c r="K162" i="40"/>
  <c r="AL163" i="40"/>
  <c r="AA158" i="40"/>
  <c r="P153" i="40"/>
  <c r="AZ167" i="40"/>
  <c r="D162" i="40"/>
  <c r="AQ156" i="40"/>
  <c r="AF151" i="40"/>
  <c r="P158" i="40"/>
  <c r="AL151" i="40"/>
  <c r="AR156" i="40"/>
  <c r="AT160" i="40"/>
  <c r="AY162" i="40"/>
  <c r="AW169" i="40"/>
  <c r="AG163" i="40"/>
  <c r="V158" i="40"/>
  <c r="Q170" i="40"/>
  <c r="K170" i="40"/>
  <c r="AH150" i="40"/>
  <c r="AW150" i="40"/>
  <c r="AN150" i="40"/>
  <c r="AM164" i="40"/>
  <c r="AK158" i="40"/>
  <c r="U161" i="40"/>
  <c r="J170" i="40"/>
  <c r="Z160" i="40"/>
  <c r="AV152" i="40"/>
  <c r="S165" i="40"/>
  <c r="S300" i="40" s="1"/>
  <c r="AE154" i="40"/>
  <c r="AD157" i="40"/>
  <c r="AA157" i="40"/>
  <c r="Z155" i="40"/>
  <c r="Q161" i="40"/>
  <c r="AF158" i="40"/>
  <c r="V157" i="40"/>
  <c r="J152" i="40"/>
  <c r="AZ156" i="40"/>
  <c r="AS153" i="40"/>
  <c r="AY154" i="40"/>
  <c r="AU166" i="40"/>
  <c r="N164" i="40"/>
  <c r="AT158" i="40"/>
  <c r="AI153" i="40"/>
  <c r="M170" i="40"/>
  <c r="AN163" i="40"/>
  <c r="AC158" i="40"/>
  <c r="R153" i="40"/>
  <c r="AV160" i="40"/>
  <c r="AL160" i="40"/>
  <c r="AL295" i="40" s="1"/>
  <c r="AV157" i="40"/>
  <c r="T168" i="40"/>
  <c r="P162" i="40"/>
  <c r="D157" i="40"/>
  <c r="AQ151" i="40"/>
  <c r="AY157" i="40"/>
  <c r="S163" i="40"/>
  <c r="Z163" i="40"/>
  <c r="AK170" i="40"/>
  <c r="S164" i="40"/>
  <c r="AY158" i="40"/>
  <c r="AN153" i="40"/>
  <c r="Y153" i="40"/>
  <c r="AT162" i="40"/>
  <c r="AO170" i="40"/>
  <c r="S166" i="40"/>
  <c r="AG160" i="40"/>
  <c r="S153" i="40"/>
  <c r="AK150" i="40"/>
  <c r="AI166" i="40"/>
  <c r="AU160" i="40"/>
  <c r="AJ155" i="40"/>
  <c r="BA150" i="40"/>
  <c r="T154" i="40"/>
  <c r="K151" i="40"/>
  <c r="F153" i="40"/>
  <c r="AH156" i="40"/>
  <c r="AL159" i="40"/>
  <c r="S169" i="40"/>
  <c r="E163" i="40"/>
  <c r="AR157" i="40"/>
  <c r="AG152" i="40"/>
  <c r="Q167" i="40"/>
  <c r="V161" i="40"/>
  <c r="J156" i="40"/>
  <c r="K169" i="40"/>
  <c r="AY155" i="40"/>
  <c r="E151" i="40"/>
  <c r="N154" i="40"/>
  <c r="X158" i="40"/>
  <c r="AS160" i="40"/>
  <c r="N169" i="40"/>
  <c r="AX162" i="40"/>
  <c r="AM157" i="40"/>
  <c r="AA167" i="40"/>
  <c r="S150" i="40"/>
  <c r="AO169" i="40"/>
  <c r="AF170" i="40"/>
  <c r="G150" i="40"/>
  <c r="AV163" i="40"/>
  <c r="D158" i="40"/>
  <c r="AJ165" i="40"/>
  <c r="T169" i="40"/>
  <c r="AQ159" i="40"/>
  <c r="AY170" i="40"/>
  <c r="AY305" i="40" s="1"/>
  <c r="AB164" i="40"/>
  <c r="AV153" i="40"/>
  <c r="F155" i="40"/>
  <c r="AU153" i="40"/>
  <c r="O162" i="40"/>
  <c r="AP151" i="40"/>
  <c r="O156" i="40"/>
  <c r="H151" i="40"/>
  <c r="AM150" i="40"/>
  <c r="AY159" i="40"/>
  <c r="AB169" i="40"/>
  <c r="AA151" i="40"/>
  <c r="AY152" i="40"/>
  <c r="J157" i="40"/>
  <c r="AJ156" i="40"/>
  <c r="AT155" i="40"/>
  <c r="AB159" i="40"/>
  <c r="Q154" i="40"/>
  <c r="BA163" i="40"/>
  <c r="Y164" i="40"/>
  <c r="AJ161" i="40"/>
  <c r="AC169" i="40"/>
  <c r="O163" i="40"/>
  <c r="BA157" i="40"/>
  <c r="AP152" i="40"/>
  <c r="AN160" i="40"/>
  <c r="AG167" i="40"/>
  <c r="AB165" i="40"/>
  <c r="AX159" i="40"/>
  <c r="AM154" i="40"/>
  <c r="M168" i="40"/>
  <c r="C150" i="40"/>
  <c r="AQ165" i="40"/>
  <c r="O160" i="40"/>
  <c r="BA154" i="40"/>
  <c r="R168" i="40"/>
  <c r="AD152" i="40"/>
  <c r="AJ168" i="40"/>
  <c r="AO151" i="40"/>
  <c r="AJ154" i="40"/>
  <c r="F158" i="40"/>
  <c r="AN167" i="40"/>
  <c r="AQ161" i="40"/>
  <c r="AF156" i="40"/>
  <c r="AF291" i="40" s="1"/>
  <c r="AR161" i="40"/>
  <c r="AB168" i="40"/>
  <c r="AB303" i="40" s="1"/>
  <c r="W162" i="40"/>
  <c r="L157" i="40"/>
  <c r="AX151" i="40"/>
  <c r="BA170" i="40"/>
  <c r="Z166" i="40"/>
  <c r="AM160" i="40"/>
  <c r="AB155" i="40"/>
  <c r="M150" i="40"/>
  <c r="AK153" i="40"/>
  <c r="AS150" i="40"/>
  <c r="AF152" i="40"/>
  <c r="I156" i="40"/>
  <c r="N159" i="40"/>
  <c r="V168" i="40"/>
  <c r="R162" i="40"/>
  <c r="F157" i="40"/>
  <c r="L163" i="40"/>
  <c r="AT161" i="40"/>
  <c r="N152" i="40"/>
  <c r="AR164" i="40"/>
  <c r="P169" i="40"/>
  <c r="AG164" i="40"/>
  <c r="AN169" i="40"/>
  <c r="U170" i="40"/>
  <c r="P163" i="40"/>
  <c r="AM156" i="40"/>
  <c r="U163" i="40"/>
  <c r="AC168" i="40"/>
  <c r="AB158" i="40"/>
  <c r="BA169" i="40"/>
  <c r="AP167" i="40"/>
  <c r="R155" i="40"/>
  <c r="AC159" i="40"/>
  <c r="AV170" i="40"/>
  <c r="L159" i="40"/>
  <c r="AL162" i="40"/>
  <c r="M160" i="40"/>
  <c r="AV162" i="40"/>
  <c r="Z152" i="40"/>
  <c r="AY166" i="40"/>
  <c r="V150" i="40"/>
  <c r="AH159" i="40"/>
  <c r="AB170" i="40"/>
  <c r="AD166" i="40"/>
  <c r="AF155" i="40"/>
  <c r="AP169" i="40"/>
  <c r="F150" i="40"/>
  <c r="S159" i="40"/>
  <c r="AE162" i="40"/>
  <c r="O153" i="40"/>
  <c r="AW159" i="40"/>
  <c r="AU167" i="40"/>
  <c r="S162" i="40"/>
  <c r="AI158" i="40"/>
  <c r="BB130" i="40"/>
  <c r="BB128" i="40"/>
  <c r="AS158" i="40"/>
  <c r="AH153" i="40"/>
  <c r="AM161" i="40"/>
  <c r="BA161" i="40"/>
  <c r="AU158" i="40"/>
  <c r="AL168" i="40"/>
  <c r="AF162" i="40"/>
  <c r="AX158" i="40"/>
  <c r="AX293" i="40" s="1"/>
  <c r="AP164" i="40"/>
  <c r="AO164" i="40"/>
  <c r="AK164" i="40"/>
  <c r="F154" i="40"/>
  <c r="BA151" i="40"/>
  <c r="AB150" i="40"/>
  <c r="AP170" i="40"/>
  <c r="AG156" i="40"/>
  <c r="D161" i="40"/>
  <c r="U160" i="40"/>
  <c r="AI165" i="40"/>
  <c r="F160" i="40"/>
  <c r="AS154" i="40"/>
  <c r="AR165" i="40"/>
  <c r="V152" i="40"/>
  <c r="AR167" i="40"/>
  <c r="Y151" i="40"/>
  <c r="L154" i="40"/>
  <c r="AF157" i="40"/>
  <c r="AF167" i="40"/>
  <c r="AI161" i="40"/>
  <c r="X156" i="40"/>
  <c r="AQ167" i="40"/>
  <c r="AO159" i="40"/>
  <c r="W151" i="40"/>
  <c r="AD162" i="40"/>
  <c r="AR162" i="40"/>
  <c r="AA162" i="40"/>
  <c r="AW168" i="40"/>
  <c r="AD169" i="40"/>
  <c r="AG162" i="40"/>
  <c r="F156" i="40"/>
  <c r="O161" i="40"/>
  <c r="I163" i="40"/>
  <c r="J166" i="40"/>
  <c r="R167" i="40"/>
  <c r="C159" i="40"/>
  <c r="Y160" i="40"/>
  <c r="N158" i="40"/>
  <c r="U169" i="40"/>
  <c r="AT157" i="40"/>
  <c r="AH158" i="40"/>
  <c r="H156" i="40"/>
  <c r="AG161" i="40"/>
  <c r="J151" i="40"/>
  <c r="V160" i="40"/>
  <c r="AS169" i="40"/>
  <c r="S158" i="40"/>
  <c r="AM165" i="40"/>
  <c r="AW154" i="40"/>
  <c r="P167" i="40"/>
  <c r="T170" i="40"/>
  <c r="AJ158" i="40"/>
  <c r="AZ157" i="40"/>
  <c r="AA150" i="40"/>
  <c r="BB129" i="40"/>
  <c r="BB132" i="40"/>
  <c r="AT139" i="40"/>
  <c r="BB136" i="40"/>
  <c r="BB125" i="40"/>
  <c r="AT143" i="40"/>
  <c r="AT170" i="40" s="1"/>
  <c r="C84" i="40"/>
  <c r="C111" i="40"/>
  <c r="D88" i="40"/>
  <c r="D115" i="40"/>
  <c r="F84" i="40"/>
  <c r="F111" i="40"/>
  <c r="G88" i="40"/>
  <c r="G115" i="40"/>
  <c r="W84" i="40"/>
  <c r="W111" i="40"/>
  <c r="D87" i="40"/>
  <c r="D114" i="40"/>
  <c r="F86" i="40"/>
  <c r="F113" i="40"/>
  <c r="G89" i="40"/>
  <c r="G116" i="40"/>
  <c r="W87" i="40"/>
  <c r="W114" i="40"/>
  <c r="F83" i="40"/>
  <c r="F110" i="40"/>
  <c r="C83" i="40"/>
  <c r="C110" i="40"/>
  <c r="W89" i="40"/>
  <c r="W116" i="40"/>
  <c r="C89" i="40"/>
  <c r="C116" i="40"/>
  <c r="D86" i="40"/>
  <c r="D113" i="40"/>
  <c r="F87" i="40"/>
  <c r="F114" i="40"/>
  <c r="G85" i="40"/>
  <c r="G112" i="40"/>
  <c r="W85" i="40"/>
  <c r="W112" i="40"/>
  <c r="G84" i="40"/>
  <c r="G111" i="40"/>
  <c r="C88" i="40"/>
  <c r="C115" i="40"/>
  <c r="D85" i="40"/>
  <c r="D112" i="40"/>
  <c r="F88" i="40"/>
  <c r="F115" i="40"/>
  <c r="W83" i="40"/>
  <c r="W110" i="40"/>
  <c r="C85" i="40"/>
  <c r="C112" i="40"/>
  <c r="E83" i="40"/>
  <c r="E110" i="40"/>
  <c r="C87" i="40"/>
  <c r="C114" i="40"/>
  <c r="D84" i="40"/>
  <c r="D111" i="40"/>
  <c r="F89" i="40"/>
  <c r="F116" i="40"/>
  <c r="G86" i="40"/>
  <c r="G113" i="40"/>
  <c r="D89" i="40"/>
  <c r="D116" i="40"/>
  <c r="G83" i="40"/>
  <c r="G110" i="40"/>
  <c r="W86" i="40"/>
  <c r="W113" i="40"/>
  <c r="F85" i="40"/>
  <c r="F112" i="40"/>
  <c r="C86" i="40"/>
  <c r="C113" i="40"/>
  <c r="D83" i="40"/>
  <c r="D110" i="40"/>
  <c r="G87" i="40"/>
  <c r="G114" i="40"/>
  <c r="W88" i="40"/>
  <c r="W115" i="40"/>
  <c r="D90" i="40"/>
  <c r="C90" i="40"/>
  <c r="G90" i="40"/>
  <c r="W90" i="40"/>
  <c r="F90" i="40"/>
  <c r="AL23" i="33"/>
  <c r="AI23" i="33"/>
  <c r="AM23" i="33"/>
  <c r="AO23" i="33"/>
  <c r="E23" i="33" s="1"/>
  <c r="C23" i="12" s="1" a="1"/>
  <c r="C23" i="12" s="1"/>
  <c r="O20" i="12"/>
  <c r="I20" i="12"/>
  <c r="L15" i="12"/>
  <c r="O15" i="12"/>
  <c r="I15" i="12"/>
  <c r="L14" i="12"/>
  <c r="O14" i="12"/>
  <c r="I14" i="12"/>
  <c r="L16" i="12"/>
  <c r="O16" i="12"/>
  <c r="I16" i="12"/>
  <c r="L12" i="12"/>
  <c r="O12" i="12"/>
  <c r="I12" i="12"/>
  <c r="L18" i="12"/>
  <c r="O18" i="12"/>
  <c r="I18" i="12"/>
  <c r="L19" i="12"/>
  <c r="O19" i="12"/>
  <c r="I19" i="12"/>
  <c r="O11" i="12"/>
  <c r="I11" i="12"/>
  <c r="L10" i="12"/>
  <c r="O10" i="12"/>
  <c r="I10" i="12"/>
  <c r="L17" i="12"/>
  <c r="O17" i="12"/>
  <c r="I17" i="12"/>
  <c r="L13" i="12"/>
  <c r="O13" i="12"/>
  <c r="I13" i="12"/>
  <c r="O22" i="12"/>
  <c r="I22" i="12"/>
  <c r="L22" i="30"/>
  <c r="F22" i="30"/>
  <c r="I22" i="30" s="1"/>
  <c r="L20" i="22"/>
  <c r="F20" i="22"/>
  <c r="I20" i="22" s="1"/>
  <c r="L21" i="22"/>
  <c r="F21" i="22"/>
  <c r="I21" i="22" s="1"/>
  <c r="L17" i="22"/>
  <c r="F17" i="22"/>
  <c r="I17" i="22" s="1"/>
  <c r="L18" i="30"/>
  <c r="F18" i="30"/>
  <c r="I18" i="30" s="1"/>
  <c r="L22" i="22"/>
  <c r="F22" i="22"/>
  <c r="I22" i="22" s="1"/>
  <c r="L20" i="30"/>
  <c r="F20" i="30"/>
  <c r="I20" i="30" s="1"/>
  <c r="L19" i="30"/>
  <c r="F19" i="30"/>
  <c r="I19" i="30" s="1"/>
  <c r="L16" i="22"/>
  <c r="F16" i="22"/>
  <c r="I16" i="22" s="1"/>
  <c r="L13" i="22"/>
  <c r="F13" i="22"/>
  <c r="I13" i="22" s="1"/>
  <c r="L19" i="22"/>
  <c r="F19" i="22"/>
  <c r="I19" i="22" s="1"/>
  <c r="I19" i="44"/>
  <c r="I20" i="44"/>
  <c r="I16" i="44"/>
  <c r="I21" i="44"/>
  <c r="I13" i="44"/>
  <c r="I12" i="44"/>
  <c r="I18" i="44"/>
  <c r="I14" i="44"/>
  <c r="I22" i="44"/>
  <c r="I17" i="44"/>
  <c r="C15" i="22" a="1"/>
  <c r="C15" i="22" s="1"/>
  <c r="C15" i="44" a="1"/>
  <c r="C15" i="44" s="1"/>
  <c r="F15" i="44" s="1"/>
  <c r="R27" i="40"/>
  <c r="R23" i="40"/>
  <c r="AI27" i="33"/>
  <c r="F20" i="8"/>
  <c r="I20" i="8" s="1"/>
  <c r="L20" i="8"/>
  <c r="I21" i="30"/>
  <c r="L21" i="30"/>
  <c r="I18" i="22"/>
  <c r="L18" i="22"/>
  <c r="I14" i="22"/>
  <c r="L14" i="22"/>
  <c r="F10" i="8"/>
  <c r="I10" i="8" s="1"/>
  <c r="L10" i="8"/>
  <c r="F18" i="8"/>
  <c r="I18" i="8" s="1"/>
  <c r="L18" i="8"/>
  <c r="F17" i="8"/>
  <c r="I17" i="8" s="1"/>
  <c r="L17" i="8"/>
  <c r="I12" i="22"/>
  <c r="L12" i="22"/>
  <c r="F14" i="8"/>
  <c r="I14" i="8" s="1"/>
  <c r="L14" i="8"/>
  <c r="F19" i="8"/>
  <c r="I19" i="8" s="1"/>
  <c r="L19" i="8"/>
  <c r="L20" i="12"/>
  <c r="F11" i="12"/>
  <c r="L11" i="12"/>
  <c r="L22" i="12"/>
  <c r="F22" i="8"/>
  <c r="I22" i="8" s="1"/>
  <c r="E29" i="33"/>
  <c r="E28" i="33"/>
  <c r="E30" i="33"/>
  <c r="E25" i="33"/>
  <c r="E26" i="33"/>
  <c r="E27" i="33"/>
  <c r="F20" i="12"/>
  <c r="E194" i="40"/>
  <c r="E221" i="40" s="1" a="1"/>
  <c r="E221" i="40" s="1"/>
  <c r="F21" i="8"/>
  <c r="I21" i="8" s="1"/>
  <c r="F22" i="12"/>
  <c r="F13" i="8"/>
  <c r="I13" i="8" s="1"/>
  <c r="E193" i="40"/>
  <c r="E220" i="40" s="1" a="1"/>
  <c r="E220" i="40" s="1"/>
  <c r="H195" i="40"/>
  <c r="H222" i="40" s="1" a="1"/>
  <c r="H222" i="40" s="1"/>
  <c r="AE192" i="40"/>
  <c r="AE219" i="40" s="1" a="1"/>
  <c r="AE219" i="40" s="1"/>
  <c r="AE194" i="40"/>
  <c r="AE221" i="40" s="1" a="1"/>
  <c r="AE221" i="40" s="1"/>
  <c r="AE196" i="40"/>
  <c r="AE223" i="40" s="1" a="1"/>
  <c r="AE223" i="40" s="1"/>
  <c r="AE191" i="40"/>
  <c r="AE218" i="40" s="1" a="1"/>
  <c r="AE218" i="40" s="1"/>
  <c r="AE193" i="40"/>
  <c r="AE220" i="40" s="1" a="1"/>
  <c r="AE220" i="40" s="1"/>
  <c r="AE195" i="40"/>
  <c r="AE222" i="40" s="1" a="1"/>
  <c r="AE222" i="40" s="1"/>
  <c r="AE197" i="40"/>
  <c r="AE224" i="40" s="1" a="1"/>
  <c r="AE224" i="40" s="1"/>
  <c r="E192" i="40"/>
  <c r="E219" i="40" s="1" a="1"/>
  <c r="E219" i="40" s="1"/>
  <c r="L191" i="40"/>
  <c r="L218" i="40" s="1" a="1"/>
  <c r="L218" i="40" s="1"/>
  <c r="L193" i="40"/>
  <c r="L220" i="40" s="1" a="1"/>
  <c r="L220" i="40" s="1"/>
  <c r="L195" i="40"/>
  <c r="L222" i="40" s="1" a="1"/>
  <c r="L222" i="40" s="1"/>
  <c r="L197" i="40"/>
  <c r="L224" i="40" s="1" a="1"/>
  <c r="L224" i="40" s="1"/>
  <c r="L192" i="40"/>
  <c r="L219" i="40" s="1" a="1"/>
  <c r="L219" i="40" s="1"/>
  <c r="L194" i="40"/>
  <c r="L221" i="40" s="1" a="1"/>
  <c r="L221" i="40" s="1"/>
  <c r="L196" i="40"/>
  <c r="L223" i="40" s="1" a="1"/>
  <c r="L223" i="40" s="1"/>
  <c r="E197" i="40"/>
  <c r="E224" i="40" s="1" a="1"/>
  <c r="E224" i="40" s="1"/>
  <c r="E196" i="40"/>
  <c r="E223" i="40" s="1" a="1"/>
  <c r="E223" i="40" s="1"/>
  <c r="E195" i="40"/>
  <c r="E222" i="40" s="1" a="1"/>
  <c r="E222" i="40" s="1"/>
  <c r="F17" i="24"/>
  <c r="I17" i="24" s="1"/>
  <c r="F16" i="24"/>
  <c r="I16" i="24" s="1"/>
  <c r="F11" i="8"/>
  <c r="I11" i="8" s="1"/>
  <c r="F22" i="24"/>
  <c r="I22" i="24" s="1"/>
  <c r="F18" i="24"/>
  <c r="I18" i="24" s="1"/>
  <c r="F20" i="24"/>
  <c r="I20" i="24" s="1"/>
  <c r="F21" i="24"/>
  <c r="I21" i="24" s="1"/>
  <c r="F19" i="24"/>
  <c r="I19" i="24" s="1"/>
  <c r="F10" i="12"/>
  <c r="K30" i="40" a="1"/>
  <c r="K30" i="40" s="1"/>
  <c r="AB30" i="33" s="1"/>
  <c r="J30" i="40" a="1"/>
  <c r="J30" i="40" s="1"/>
  <c r="AA30" i="33" s="1"/>
  <c r="I30" i="40" a="1"/>
  <c r="I30" i="40" s="1"/>
  <c r="Z30" i="33" s="1"/>
  <c r="F12" i="12"/>
  <c r="U21" i="12"/>
  <c r="I25" i="40" a="1"/>
  <c r="I25" i="40" s="1"/>
  <c r="Z25" i="33" s="1"/>
  <c r="K25" i="40" a="1"/>
  <c r="K25" i="40" s="1"/>
  <c r="AB25" i="33" s="1"/>
  <c r="J25" i="40" a="1"/>
  <c r="J25" i="40" s="1"/>
  <c r="AA25" i="33" s="1"/>
  <c r="I28" i="40" a="1"/>
  <c r="I28" i="40" s="1"/>
  <c r="Z28" i="33" s="1"/>
  <c r="J28" i="40" a="1"/>
  <c r="J28" i="40" s="1"/>
  <c r="AA28" i="33" s="1"/>
  <c r="K28" i="40" a="1"/>
  <c r="K28" i="40" s="1"/>
  <c r="AB28" i="33" s="1"/>
  <c r="J24" i="40" a="1"/>
  <c r="J24" i="40" s="1"/>
  <c r="I24" i="40" a="1"/>
  <c r="I24" i="40" s="1"/>
  <c r="Z24" i="33" s="1"/>
  <c r="K24" i="40" a="1"/>
  <c r="K24" i="40" s="1"/>
  <c r="R21" i="12"/>
  <c r="F13" i="12"/>
  <c r="J29" i="40" a="1"/>
  <c r="J29" i="40" s="1"/>
  <c r="AA29" i="33" s="1"/>
  <c r="K29" i="40" a="1"/>
  <c r="K29" i="40" s="1"/>
  <c r="AB29" i="33" s="1"/>
  <c r="I29" i="40" a="1"/>
  <c r="I29" i="40" s="1"/>
  <c r="Z29" i="33" s="1"/>
  <c r="F19" i="12"/>
  <c r="F14" i="12"/>
  <c r="I26" i="40" a="1"/>
  <c r="I26" i="40" s="1"/>
  <c r="Z26" i="33" s="1"/>
  <c r="K26" i="40" a="1"/>
  <c r="K26" i="40" s="1"/>
  <c r="AB26" i="33" s="1"/>
  <c r="J26" i="40" a="1"/>
  <c r="J26" i="40" s="1"/>
  <c r="AA26" i="33" s="1"/>
  <c r="F15" i="12"/>
  <c r="F17" i="12"/>
  <c r="F16" i="12"/>
  <c r="F18" i="12"/>
  <c r="AA302" i="40" l="1"/>
  <c r="BA299" i="40"/>
  <c r="AF297" i="40"/>
  <c r="AP287" i="40"/>
  <c r="AD304" i="40"/>
  <c r="F295" i="40"/>
  <c r="O288" i="40"/>
  <c r="AI304" i="40"/>
  <c r="U301" i="40"/>
  <c r="AX286" i="40"/>
  <c r="AX297" i="40"/>
  <c r="AP300" i="40"/>
  <c r="N264" i="40"/>
  <c r="AB285" i="40"/>
  <c r="R291" i="40"/>
  <c r="P304" i="40"/>
  <c r="BA298" i="40"/>
  <c r="E286" i="40"/>
  <c r="T303" i="40"/>
  <c r="AG298" i="40"/>
  <c r="AV299" i="40"/>
  <c r="AT300" i="40"/>
  <c r="AX290" i="40"/>
  <c r="J292" i="40"/>
  <c r="AQ302" i="40"/>
  <c r="Q296" i="40"/>
  <c r="AR305" i="40"/>
  <c r="N298" i="40"/>
  <c r="L289" i="40"/>
  <c r="AP304" i="40"/>
  <c r="C285" i="40"/>
  <c r="AR302" i="40"/>
  <c r="AL298" i="40"/>
  <c r="S291" i="40"/>
  <c r="F296" i="40"/>
  <c r="AJ286" i="40"/>
  <c r="AG290" i="40"/>
  <c r="K291" i="40"/>
  <c r="G296" i="40"/>
  <c r="AD287" i="40"/>
  <c r="AH293" i="40"/>
  <c r="AV305" i="40"/>
  <c r="F293" i="40"/>
  <c r="AB294" i="40"/>
  <c r="AF305" i="40"/>
  <c r="AQ300" i="40"/>
  <c r="M301" i="40"/>
  <c r="AH291" i="40"/>
  <c r="AJ293" i="40"/>
  <c r="Y286" i="40"/>
  <c r="M303" i="40"/>
  <c r="AA293" i="40"/>
  <c r="Y291" i="40"/>
  <c r="M293" i="40"/>
  <c r="T295" i="40"/>
  <c r="W285" i="40"/>
  <c r="AT306" i="40"/>
  <c r="AN287" i="40"/>
  <c r="W297" i="40"/>
  <c r="M288" i="40"/>
  <c r="AO305" i="40"/>
  <c r="M299" i="40"/>
  <c r="AT292" i="40"/>
  <c r="BA286" i="40"/>
  <c r="Q286" i="40"/>
  <c r="AY290" i="40"/>
  <c r="K286" i="40"/>
  <c r="AV291" i="40"/>
  <c r="K279" i="40"/>
  <c r="AU293" i="40"/>
  <c r="X288" i="40"/>
  <c r="F291" i="40"/>
  <c r="AC290" i="40"/>
  <c r="N289" i="40"/>
  <c r="L285" i="40"/>
  <c r="T290" i="40"/>
  <c r="K293" i="40"/>
  <c r="AZ293" i="40"/>
  <c r="G288" i="40"/>
  <c r="O298" i="40"/>
  <c r="AG299" i="40"/>
  <c r="P288" i="40"/>
  <c r="AU290" i="40"/>
  <c r="AJ289" i="40"/>
  <c r="AY293" i="40"/>
  <c r="I290" i="40"/>
  <c r="AC301" i="40"/>
  <c r="AF286" i="40"/>
  <c r="AE297" i="40"/>
  <c r="E288" i="40"/>
  <c r="AA286" i="40"/>
  <c r="AL291" i="40"/>
  <c r="W286" i="40"/>
  <c r="AR291" i="40"/>
  <c r="Z291" i="40"/>
  <c r="AC293" i="40"/>
  <c r="AQ288" i="40"/>
  <c r="BA288" i="40"/>
  <c r="H288" i="40"/>
  <c r="X292" i="40"/>
  <c r="AO287" i="40"/>
  <c r="BA291" i="40"/>
  <c r="N304" i="40"/>
  <c r="AG296" i="40"/>
  <c r="T304" i="40"/>
  <c r="AI297" i="40"/>
  <c r="Y299" i="40"/>
  <c r="AW303" i="40"/>
  <c r="AA297" i="40"/>
  <c r="AU305" i="40"/>
  <c r="AU267" i="40"/>
  <c r="AN306" i="40"/>
  <c r="AU301" i="40"/>
  <c r="AB305" i="40"/>
  <c r="AD300" i="40"/>
  <c r="AD297" i="40"/>
  <c r="AT296" i="40"/>
  <c r="AV296" i="40"/>
  <c r="S305" i="40"/>
  <c r="AY297" i="40"/>
  <c r="AG302" i="40"/>
  <c r="V296" i="40"/>
  <c r="AU296" i="40"/>
  <c r="O297" i="40"/>
  <c r="R302" i="40"/>
  <c r="BA305" i="40"/>
  <c r="I305" i="40"/>
  <c r="AL302" i="40"/>
  <c r="AC294" i="40"/>
  <c r="AT297" i="40"/>
  <c r="AX294" i="40"/>
  <c r="J301" i="40"/>
  <c r="R297" i="40"/>
  <c r="AB299" i="40"/>
  <c r="D294" i="40"/>
  <c r="AY289" i="40"/>
  <c r="Q289" i="40"/>
  <c r="G293" i="40"/>
  <c r="AX304" i="40"/>
  <c r="AU288" i="40"/>
  <c r="AO304" i="40"/>
  <c r="AF285" i="40"/>
  <c r="T299" i="40"/>
  <c r="C286" i="40"/>
  <c r="AN288" i="40"/>
  <c r="G289" i="40"/>
  <c r="F290" i="40"/>
  <c r="AJ290" i="40"/>
  <c r="V292" i="40"/>
  <c r="AX285" i="40"/>
  <c r="AZ291" i="40"/>
  <c r="F292" i="40"/>
  <c r="AV288" i="40"/>
  <c r="Q302" i="40"/>
  <c r="AF293" i="40"/>
  <c r="AM304" i="40"/>
  <c r="H293" i="40"/>
  <c r="AX299" i="40"/>
  <c r="AV306" i="40"/>
  <c r="AF290" i="40"/>
  <c r="AR299" i="40"/>
  <c r="AW300" i="40"/>
  <c r="J286" i="40"/>
  <c r="AI296" i="40"/>
  <c r="D296" i="40"/>
  <c r="P298" i="40"/>
  <c r="AH295" i="40"/>
  <c r="AK301" i="40"/>
  <c r="AD288" i="40"/>
  <c r="AW304" i="40"/>
  <c r="H287" i="40"/>
  <c r="L292" i="40"/>
  <c r="Z290" i="40"/>
  <c r="AG291" i="40"/>
  <c r="E290" i="40"/>
  <c r="N300" i="40"/>
  <c r="AV298" i="40"/>
  <c r="AN302" i="40"/>
  <c r="AO296" i="40"/>
  <c r="AR296" i="40"/>
  <c r="X293" i="40"/>
  <c r="N299" i="40"/>
  <c r="AZ298" i="40"/>
  <c r="BB214" i="40"/>
  <c r="F288" i="40"/>
  <c r="AD305" i="40"/>
  <c r="T294" i="40"/>
  <c r="AR297" i="40"/>
  <c r="AB290" i="40"/>
  <c r="AK303" i="40"/>
  <c r="AM295" i="40"/>
  <c r="J291" i="40"/>
  <c r="AO286" i="40"/>
  <c r="AT299" i="40"/>
  <c r="AV290" i="40"/>
  <c r="M294" i="40"/>
  <c r="Q294" i="40"/>
  <c r="BA287" i="40"/>
  <c r="Z302" i="40"/>
  <c r="AS289" i="40"/>
  <c r="L298" i="40"/>
  <c r="AU287" i="40"/>
  <c r="BB215" i="40"/>
  <c r="AN295" i="40"/>
  <c r="AY304" i="40"/>
  <c r="P279" i="40"/>
  <c r="Z287" i="40"/>
  <c r="AG287" i="40"/>
  <c r="AS301" i="40"/>
  <c r="T298" i="40"/>
  <c r="O305" i="40"/>
  <c r="AV301" i="40"/>
  <c r="AM291" i="40"/>
  <c r="D291" i="40"/>
  <c r="X287" i="40"/>
  <c r="AS293" i="40"/>
  <c r="AV287" i="40"/>
  <c r="AI285" i="40"/>
  <c r="AO299" i="40"/>
  <c r="Y304" i="40"/>
  <c r="AP299" i="40"/>
  <c r="R288" i="40"/>
  <c r="AS302" i="40"/>
  <c r="AH304" i="40"/>
  <c r="AO294" i="40"/>
  <c r="AC303" i="40"/>
  <c r="AU295" i="40"/>
  <c r="AM299" i="40"/>
  <c r="J294" i="40"/>
  <c r="P301" i="40"/>
  <c r="AD289" i="40"/>
  <c r="AM293" i="40"/>
  <c r="AW294" i="40"/>
  <c r="AY287" i="40"/>
  <c r="AI301" i="40"/>
  <c r="P293" i="40"/>
  <c r="O304" i="40"/>
  <c r="I298" i="40"/>
  <c r="AV297" i="40"/>
  <c r="AW285" i="40"/>
  <c r="S286" i="40"/>
  <c r="D286" i="40"/>
  <c r="AC287" i="40"/>
  <c r="O296" i="40"/>
  <c r="M295" i="40"/>
  <c r="AB304" i="40"/>
  <c r="E298" i="40"/>
  <c r="S288" i="40"/>
  <c r="AH285" i="40"/>
  <c r="AQ291" i="40"/>
  <c r="AB297" i="40"/>
  <c r="AN289" i="40"/>
  <c r="AZ288" i="40"/>
  <c r="R304" i="40"/>
  <c r="O294" i="40"/>
  <c r="AJ301" i="40"/>
  <c r="P291" i="40"/>
  <c r="AA305" i="40"/>
  <c r="AH290" i="40"/>
  <c r="AQ299" i="40"/>
  <c r="S290" i="40"/>
  <c r="AQ298" i="40"/>
  <c r="Z295" i="40"/>
  <c r="P302" i="40"/>
  <c r="N287" i="40"/>
  <c r="AK291" i="40"/>
  <c r="J287" i="40"/>
  <c r="AZ297" i="40"/>
  <c r="AT305" i="40"/>
  <c r="V285" i="40"/>
  <c r="AL305" i="40"/>
  <c r="AN293" i="40"/>
  <c r="AK289" i="40"/>
  <c r="S293" i="40"/>
  <c r="AU302" i="40"/>
  <c r="AJ303" i="40"/>
  <c r="AQ289" i="40"/>
  <c r="AS304" i="40"/>
  <c r="Z298" i="40"/>
  <c r="AP303" i="40"/>
  <c r="AA290" i="40"/>
  <c r="AF306" i="40"/>
  <c r="BA292" i="40"/>
  <c r="AR292" i="40"/>
  <c r="AG300" i="40"/>
  <c r="AW286" i="40"/>
  <c r="S304" i="40"/>
  <c r="AG295" i="40"/>
  <c r="I302" i="40"/>
  <c r="AA295" i="40"/>
  <c r="AE291" i="40"/>
  <c r="AR294" i="40"/>
  <c r="AP302" i="40"/>
  <c r="U300" i="40"/>
  <c r="AT290" i="40"/>
  <c r="AV295" i="40"/>
  <c r="Q285" i="40"/>
  <c r="AC285" i="40"/>
  <c r="S297" i="40"/>
  <c r="S285" i="40"/>
  <c r="AK293" i="40"/>
  <c r="O302" i="40"/>
  <c r="AK305" i="40"/>
  <c r="AL286" i="40"/>
  <c r="I296" i="40"/>
  <c r="AI300" i="40"/>
  <c r="U298" i="40"/>
  <c r="AM292" i="40"/>
  <c r="AN298" i="40"/>
  <c r="K290" i="40"/>
  <c r="AN300" i="40"/>
  <c r="AL287" i="40"/>
  <c r="AI295" i="40"/>
  <c r="AL303" i="40"/>
  <c r="AK285" i="40"/>
  <c r="M305" i="40"/>
  <c r="AB296" i="40"/>
  <c r="AW295" i="40"/>
  <c r="X294" i="40"/>
  <c r="AF302" i="40"/>
  <c r="O295" i="40"/>
  <c r="AQ286" i="40"/>
  <c r="AL289" i="40"/>
  <c r="AM287" i="40"/>
  <c r="W287" i="40"/>
  <c r="T301" i="40"/>
  <c r="AO279" i="40"/>
  <c r="AA285" i="40"/>
  <c r="AG297" i="40"/>
  <c r="AF292" i="40"/>
  <c r="AP305" i="40"/>
  <c r="AF287" i="40"/>
  <c r="AJ296" i="40"/>
  <c r="AM285" i="40"/>
  <c r="S301" i="40"/>
  <c r="D292" i="40"/>
  <c r="AE289" i="40"/>
  <c r="AX292" i="40"/>
  <c r="AP285" i="40"/>
  <c r="Q295" i="40"/>
  <c r="Y285" i="40"/>
  <c r="AH292" i="40"/>
  <c r="L288" i="40"/>
  <c r="AI294" i="40"/>
  <c r="V302" i="40"/>
  <c r="R305" i="40"/>
  <c r="Q303" i="40"/>
  <c r="V303" i="40"/>
  <c r="AJ302" i="40"/>
  <c r="AQ294" i="40"/>
  <c r="P296" i="40"/>
  <c r="BB213" i="40"/>
  <c r="BA296" i="40"/>
  <c r="S294" i="40"/>
  <c r="AL297" i="40"/>
  <c r="U305" i="40"/>
  <c r="AC304" i="40"/>
  <c r="AS295" i="40"/>
  <c r="AT293" i="40"/>
  <c r="AD292" i="40"/>
  <c r="K305" i="40"/>
  <c r="D297" i="40"/>
  <c r="AV285" i="40"/>
  <c r="AK297" i="40"/>
  <c r="AT298" i="40"/>
  <c r="AR288" i="40"/>
  <c r="AO293" i="40"/>
  <c r="X289" i="40"/>
  <c r="AA296" i="40"/>
  <c r="AO290" i="40"/>
  <c r="T285" i="40"/>
  <c r="AM305" i="40"/>
  <c r="AA292" i="40"/>
  <c r="H291" i="40"/>
  <c r="L294" i="40"/>
  <c r="AN304" i="40"/>
  <c r="AJ300" i="40"/>
  <c r="AL294" i="40"/>
  <c r="AZ302" i="40"/>
  <c r="N286" i="40"/>
  <c r="S289" i="40"/>
  <c r="AH300" i="40"/>
  <c r="AW296" i="40"/>
  <c r="Z285" i="40"/>
  <c r="C287" i="40"/>
  <c r="K299" i="40"/>
  <c r="AZ295" i="40"/>
  <c r="AG303" i="40"/>
  <c r="O289" i="40"/>
  <c r="V295" i="40"/>
  <c r="BA289" i="40"/>
  <c r="AY292" i="40"/>
  <c r="U287" i="40"/>
  <c r="AU304" i="40"/>
  <c r="AK294" i="40"/>
  <c r="P290" i="40"/>
  <c r="AZ292" i="40"/>
  <c r="AH288" i="40"/>
  <c r="H286" i="40"/>
  <c r="D293" i="40"/>
  <c r="P297" i="40"/>
  <c r="V293" i="40"/>
  <c r="C298" i="40"/>
  <c r="I301" i="40"/>
  <c r="AS300" i="40"/>
  <c r="AO291" i="40"/>
  <c r="AS297" i="40"/>
  <c r="C296" i="40"/>
  <c r="H290" i="40"/>
  <c r="E291" i="40"/>
  <c r="AM302" i="40"/>
  <c r="AN301" i="40"/>
  <c r="BB210" i="40"/>
  <c r="U295" i="40"/>
  <c r="AE298" i="40"/>
  <c r="BA302" i="40"/>
  <c r="G286" i="40"/>
  <c r="AP301" i="40"/>
  <c r="T305" i="40"/>
  <c r="U304" i="40"/>
  <c r="F289" i="40"/>
  <c r="AD301" i="40"/>
  <c r="R290" i="40"/>
  <c r="M285" i="40"/>
  <c r="AM289" i="40"/>
  <c r="AP286" i="40"/>
  <c r="G285" i="40"/>
  <c r="Y288" i="40"/>
  <c r="AV292" i="40"/>
  <c r="AS288" i="40"/>
  <c r="R300" i="40"/>
  <c r="Z286" i="40"/>
  <c r="T292" i="40"/>
  <c r="AO288" i="40"/>
  <c r="I286" i="40"/>
  <c r="AX301" i="40"/>
  <c r="U290" i="40"/>
  <c r="N293" i="40"/>
  <c r="AK299" i="40"/>
  <c r="K304" i="40"/>
  <c r="T289" i="40"/>
  <c r="J305" i="40"/>
  <c r="K297" i="40"/>
  <c r="AD296" i="40"/>
  <c r="AU291" i="40"/>
  <c r="AR295" i="40"/>
  <c r="C289" i="40"/>
  <c r="U291" i="40"/>
  <c r="AD291" i="40"/>
  <c r="I297" i="40"/>
  <c r="X300" i="40"/>
  <c r="P285" i="40"/>
  <c r="AG289" i="40"/>
  <c r="AZ305" i="40"/>
  <c r="AW289" i="40"/>
  <c r="Y295" i="40"/>
  <c r="AR300" i="40"/>
  <c r="AI293" i="40"/>
  <c r="AH294" i="40"/>
  <c r="BA304" i="40"/>
  <c r="AB300" i="40"/>
  <c r="BA285" i="40"/>
  <c r="U296" i="40"/>
  <c r="AT295" i="40"/>
  <c r="AJ299" i="40"/>
  <c r="AQ287" i="40"/>
  <c r="P305" i="40"/>
  <c r="Y301" i="40"/>
  <c r="E294" i="40"/>
  <c r="H297" i="40"/>
  <c r="AF301" i="40"/>
  <c r="AG305" i="40"/>
  <c r="H296" i="40"/>
  <c r="AF296" i="40"/>
  <c r="AA300" i="40"/>
  <c r="AX279" i="40"/>
  <c r="AZ303" i="40"/>
  <c r="AX296" i="40"/>
  <c r="Z293" i="40"/>
  <c r="S298" i="40"/>
  <c r="AK288" i="40"/>
  <c r="AQ296" i="40"/>
  <c r="AT289" i="40"/>
  <c r="AK286" i="40"/>
  <c r="AB293" i="40"/>
  <c r="Z301" i="40"/>
  <c r="AJ291" i="40"/>
  <c r="S299" i="40"/>
  <c r="AW288" i="40"/>
  <c r="X298" i="40"/>
  <c r="AC288" i="40"/>
  <c r="AZ294" i="40"/>
  <c r="AT304" i="40"/>
  <c r="N303" i="40"/>
  <c r="BA303" i="40"/>
  <c r="AM286" i="40"/>
  <c r="F294" i="40"/>
  <c r="AX289" i="40"/>
  <c r="N288" i="40"/>
  <c r="AJ306" i="40"/>
  <c r="L293" i="40"/>
  <c r="O306" i="40"/>
  <c r="AY294" i="40"/>
  <c r="N292" i="40"/>
  <c r="Q304" i="40"/>
  <c r="AP297" i="40"/>
  <c r="AV289" i="40"/>
  <c r="Y305" i="40"/>
  <c r="I294" i="40"/>
  <c r="AN305" i="40"/>
  <c r="AM298" i="40"/>
  <c r="AR286" i="40"/>
  <c r="BH11" i="16"/>
  <c r="X11" i="12" s="1"/>
  <c r="BG11" i="16"/>
  <c r="AA11" i="12" s="1"/>
  <c r="AH297" i="40"/>
  <c r="E292" i="40"/>
  <c r="AU306" i="40"/>
  <c r="O303" i="40"/>
  <c r="J306" i="40"/>
  <c r="AS287" i="40"/>
  <c r="AG304" i="40"/>
  <c r="U302" i="40"/>
  <c r="Z292" i="40"/>
  <c r="AC298" i="40"/>
  <c r="V300" i="40"/>
  <c r="AF303" i="40"/>
  <c r="E293" i="40"/>
  <c r="C294" i="40"/>
  <c r="O291" i="40"/>
  <c r="G292" i="40"/>
  <c r="AD293" i="40"/>
  <c r="AY301" i="40"/>
  <c r="E289" i="40"/>
  <c r="AW293" i="40"/>
  <c r="AP289" i="40"/>
  <c r="AS290" i="40"/>
  <c r="J297" i="40"/>
  <c r="V287" i="40"/>
  <c r="AM296" i="40"/>
  <c r="AJ304" i="40"/>
  <c r="AB283" i="40"/>
  <c r="BB283" i="40" s="1"/>
  <c r="AN283" i="40"/>
  <c r="O286" i="40"/>
  <c r="AU286" i="40"/>
  <c r="AC302" i="40"/>
  <c r="R294" i="40"/>
  <c r="AI291" i="40"/>
  <c r="AH301" i="40"/>
  <c r="U289" i="40"/>
  <c r="AI286" i="40"/>
  <c r="AQ295" i="40"/>
  <c r="D288" i="40"/>
  <c r="J304" i="40"/>
  <c r="AV300" i="40"/>
  <c r="AZ296" i="40"/>
  <c r="G295" i="40"/>
  <c r="M289" i="40"/>
  <c r="O290" i="40"/>
  <c r="J302" i="40"/>
  <c r="AK302" i="40"/>
  <c r="AH298" i="40"/>
  <c r="AY286" i="40"/>
  <c r="Z294" i="40"/>
  <c r="M292" i="40"/>
  <c r="U293" i="40"/>
  <c r="AH286" i="40"/>
  <c r="AR289" i="40"/>
  <c r="D289" i="40"/>
  <c r="BA301" i="40"/>
  <c r="AD294" i="40"/>
  <c r="AM300" i="40"/>
  <c r="N294" i="40"/>
  <c r="AI288" i="40"/>
  <c r="BA300" i="40"/>
  <c r="R293" i="40"/>
  <c r="AV303" i="40"/>
  <c r="AF298" i="40"/>
  <c r="M291" i="40"/>
  <c r="AS305" i="40"/>
  <c r="AG294" i="40"/>
  <c r="W296" i="40"/>
  <c r="I291" i="40"/>
  <c r="AU300" i="40"/>
  <c r="AN299" i="40"/>
  <c r="N285" i="40"/>
  <c r="R292" i="40"/>
  <c r="AN285" i="40"/>
  <c r="AC306" i="40"/>
  <c r="AJ284" i="40"/>
  <c r="H292" i="40"/>
  <c r="AQ306" i="40"/>
  <c r="AY295" i="40"/>
  <c r="T291" i="40"/>
  <c r="AO285" i="40"/>
  <c r="AS285" i="40"/>
  <c r="R303" i="40"/>
  <c r="Z289" i="40"/>
  <c r="S303" i="40"/>
  <c r="J300" i="40"/>
  <c r="AA306" i="40"/>
  <c r="AP283" i="40"/>
  <c r="AO302" i="40"/>
  <c r="J293" i="40"/>
  <c r="AH302" i="40"/>
  <c r="AF304" i="40"/>
  <c r="O292" i="40"/>
  <c r="AU292" i="40"/>
  <c r="AS298" i="40"/>
  <c r="T286" i="40"/>
  <c r="E285" i="40"/>
  <c r="AW302" i="40"/>
  <c r="AF294" i="40"/>
  <c r="X305" i="40"/>
  <c r="AK298" i="40"/>
  <c r="X290" i="40"/>
  <c r="T288" i="40"/>
  <c r="L286" i="40"/>
  <c r="F258" i="40"/>
  <c r="F285" i="40"/>
  <c r="Q305" i="40"/>
  <c r="N290" i="40"/>
  <c r="AY285" i="40"/>
  <c r="AP296" i="40"/>
  <c r="BA295" i="40"/>
  <c r="AE292" i="40"/>
  <c r="J290" i="40"/>
  <c r="J295" i="40"/>
  <c r="Z296" i="40"/>
  <c r="AZ289" i="40"/>
  <c r="X291" i="40"/>
  <c r="Z297" i="40"/>
  <c r="AW292" i="40"/>
  <c r="AG306" i="40"/>
  <c r="AR301" i="40"/>
  <c r="AL279" i="40"/>
  <c r="AS265" i="40"/>
  <c r="AD279" i="40"/>
  <c r="AX276" i="40"/>
  <c r="AI279" i="40"/>
  <c r="M279" i="40"/>
  <c r="V263" i="40"/>
  <c r="AA24" i="33"/>
  <c r="AM24" i="33" s="1"/>
  <c r="AZ277" i="40"/>
  <c r="AO24" i="33"/>
  <c r="E24" i="33" s="1"/>
  <c r="C24" i="12" s="1" a="1"/>
  <c r="C24" i="12" s="1"/>
  <c r="O24" i="12" s="1"/>
  <c r="AB24" i="33"/>
  <c r="AN24" i="33" s="1"/>
  <c r="AD259" i="40"/>
  <c r="AS279" i="40"/>
  <c r="V279" i="40"/>
  <c r="AA267" i="40"/>
  <c r="R279" i="40"/>
  <c r="N275" i="40"/>
  <c r="C268" i="40"/>
  <c r="AY276" i="40"/>
  <c r="W266" i="40"/>
  <c r="BA263" i="40"/>
  <c r="S268" i="40"/>
  <c r="X258" i="40"/>
  <c r="BA279" i="40"/>
  <c r="AB259" i="40"/>
  <c r="T279" i="40"/>
  <c r="AP279" i="40"/>
  <c r="R260" i="40"/>
  <c r="AD276" i="40"/>
  <c r="P273" i="40"/>
  <c r="AR279" i="40"/>
  <c r="AZ279" i="40"/>
  <c r="AQ270" i="40"/>
  <c r="AB274" i="40"/>
  <c r="O266" i="40"/>
  <c r="P272" i="40"/>
  <c r="AL272" i="40"/>
  <c r="AH278" i="40"/>
  <c r="W268" i="40"/>
  <c r="I279" i="40"/>
  <c r="J262" i="40"/>
  <c r="AF262" i="40"/>
  <c r="I273" i="40"/>
  <c r="S279" i="40"/>
  <c r="AB265" i="40"/>
  <c r="AG276" i="40"/>
  <c r="J269" i="40"/>
  <c r="AY275" i="40"/>
  <c r="AU262" i="40"/>
  <c r="AA10" i="12"/>
  <c r="AX278" i="40"/>
  <c r="AW260" i="40"/>
  <c r="AR276" i="40"/>
  <c r="AK279" i="40"/>
  <c r="Y279" i="40"/>
  <c r="AL273" i="40"/>
  <c r="F270" i="40"/>
  <c r="AV267" i="40"/>
  <c r="AC274" i="40"/>
  <c r="AO268" i="40"/>
  <c r="AW272" i="40"/>
  <c r="AE258" i="40"/>
  <c r="AY272" i="40"/>
  <c r="AH276" i="40"/>
  <c r="AT267" i="40"/>
  <c r="AI278" i="40"/>
  <c r="AF272" i="40"/>
  <c r="W265" i="40"/>
  <c r="AZ276" i="40"/>
  <c r="BF12" i="16"/>
  <c r="AJ271" i="40"/>
  <c r="N257" i="40"/>
  <c r="W271" i="40"/>
  <c r="AM279" i="40"/>
  <c r="R258" i="40"/>
  <c r="I258" i="40"/>
  <c r="AH260" i="40"/>
  <c r="AH279" i="40"/>
  <c r="X279" i="40"/>
  <c r="AM267" i="40"/>
  <c r="W261" i="40"/>
  <c r="Y271" i="40"/>
  <c r="N270" i="40"/>
  <c r="AR258" i="40"/>
  <c r="Y265" i="40"/>
  <c r="AN267" i="40"/>
  <c r="T270" i="40"/>
  <c r="X268" i="40"/>
  <c r="AA274" i="40"/>
  <c r="AX269" i="40"/>
  <c r="BA264" i="40"/>
  <c r="M270" i="40"/>
  <c r="U270" i="40"/>
  <c r="AW278" i="40"/>
  <c r="O260" i="40"/>
  <c r="I272" i="40"/>
  <c r="M260" i="40"/>
  <c r="AZ272" i="40"/>
  <c r="AN270" i="40"/>
  <c r="G263" i="40"/>
  <c r="AG259" i="40"/>
  <c r="AF261" i="40"/>
  <c r="AE269" i="40"/>
  <c r="AZ257" i="40"/>
  <c r="Y270" i="40"/>
  <c r="AY271" i="40"/>
  <c r="AE260" i="40"/>
  <c r="U261" i="40"/>
  <c r="C266" i="40"/>
  <c r="AY261" i="40"/>
  <c r="AJ260" i="40"/>
  <c r="J258" i="40"/>
  <c r="AQ266" i="40"/>
  <c r="I260" i="40"/>
  <c r="AG274" i="40"/>
  <c r="AD263" i="40"/>
  <c r="T260" i="40"/>
  <c r="P276" i="40"/>
  <c r="Y276" i="40"/>
  <c r="AX273" i="40"/>
  <c r="I265" i="40"/>
  <c r="AQ277" i="40"/>
  <c r="L257" i="40"/>
  <c r="AT261" i="40"/>
  <c r="AO257" i="40"/>
  <c r="AW271" i="40"/>
  <c r="AC270" i="40"/>
  <c r="Y257" i="40"/>
  <c r="M267" i="40"/>
  <c r="AY273" i="40"/>
  <c r="Y263" i="40"/>
  <c r="N269" i="40"/>
  <c r="K262" i="40"/>
  <c r="AA260" i="40"/>
  <c r="Y267" i="40"/>
  <c r="C270" i="40"/>
  <c r="AT258" i="40"/>
  <c r="P265" i="40"/>
  <c r="AG265" i="40"/>
  <c r="J261" i="40"/>
  <c r="AC262" i="40"/>
  <c r="Q263" i="40"/>
  <c r="X277" i="40"/>
  <c r="AD272" i="40"/>
  <c r="AI271" i="40"/>
  <c r="AX261" i="40"/>
  <c r="AU276" i="40"/>
  <c r="L264" i="40"/>
  <c r="AA271" i="40"/>
  <c r="AP261" i="40"/>
  <c r="AO270" i="40"/>
  <c r="AJ258" i="40"/>
  <c r="G264" i="40"/>
  <c r="AX271" i="40"/>
  <c r="AE268" i="40"/>
  <c r="AZ274" i="40"/>
  <c r="V278" i="40"/>
  <c r="AH269" i="40"/>
  <c r="AG261" i="40"/>
  <c r="Q273" i="40"/>
  <c r="AO276" i="40"/>
  <c r="AQ278" i="40"/>
  <c r="L270" i="40"/>
  <c r="AM270" i="40"/>
  <c r="AB264" i="40"/>
  <c r="Y273" i="40"/>
  <c r="Q272" i="40"/>
  <c r="W264" i="40"/>
  <c r="Z277" i="40"/>
  <c r="R271" i="40"/>
  <c r="E270" i="40"/>
  <c r="AP266" i="40"/>
  <c r="AF268" i="40"/>
  <c r="AJ267" i="40"/>
  <c r="AV277" i="40"/>
  <c r="AP268" i="40"/>
  <c r="AL277" i="40"/>
  <c r="M273" i="40"/>
  <c r="AB260" i="40"/>
  <c r="D260" i="40"/>
  <c r="AH272" i="40"/>
  <c r="X259" i="40"/>
  <c r="AE267" i="40"/>
  <c r="AL274" i="40"/>
  <c r="H262" i="40"/>
  <c r="AO271" i="40"/>
  <c r="AI263" i="40"/>
  <c r="K267" i="40"/>
  <c r="K257" i="40"/>
  <c r="L269" i="40"/>
  <c r="V261" i="40"/>
  <c r="AA262" i="40"/>
  <c r="Z276" i="40"/>
  <c r="K260" i="40"/>
  <c r="Q260" i="40"/>
  <c r="Q274" i="40"/>
  <c r="AS267" i="40"/>
  <c r="V272" i="40"/>
  <c r="AT264" i="40"/>
  <c r="C257" i="40"/>
  <c r="AN269" i="40"/>
  <c r="D268" i="40"/>
  <c r="AN259" i="40"/>
  <c r="X270" i="40"/>
  <c r="J271" i="40"/>
  <c r="V262" i="40"/>
  <c r="AL269" i="40"/>
  <c r="J276" i="40"/>
  <c r="AX268" i="40"/>
  <c r="AS259" i="40"/>
  <c r="H267" i="40"/>
  <c r="V259" i="40"/>
  <c r="AI262" i="40"/>
  <c r="AK260" i="40"/>
  <c r="AR277" i="40"/>
  <c r="AC265" i="40"/>
  <c r="AZ259" i="40"/>
  <c r="AI260" i="40"/>
  <c r="AP264" i="40"/>
  <c r="L260" i="40"/>
  <c r="AM274" i="40"/>
  <c r="AD268" i="40"/>
  <c r="AR260" i="40"/>
  <c r="AD271" i="40"/>
  <c r="AE263" i="40"/>
  <c r="AR263" i="40"/>
  <c r="F260" i="40"/>
  <c r="AL261" i="40"/>
  <c r="AW263" i="40"/>
  <c r="O273" i="40"/>
  <c r="AA261" i="40"/>
  <c r="AZ258" i="40"/>
  <c r="Q264" i="40"/>
  <c r="V271" i="40"/>
  <c r="O274" i="40"/>
  <c r="AL258" i="40"/>
  <c r="M269" i="40"/>
  <c r="AR271" i="40"/>
  <c r="C263" i="40"/>
  <c r="AV259" i="40"/>
  <c r="AB261" i="40"/>
  <c r="P259" i="40"/>
  <c r="Q271" i="40"/>
  <c r="H271" i="40"/>
  <c r="AK273" i="40"/>
  <c r="AF273" i="40"/>
  <c r="AB262" i="40"/>
  <c r="AZ260" i="40"/>
  <c r="AJ268" i="40"/>
  <c r="AU258" i="40"/>
  <c r="AD258" i="40"/>
  <c r="J256" i="40"/>
  <c r="AJ278" i="40"/>
  <c r="AC273" i="40"/>
  <c r="M275" i="40"/>
  <c r="G252" i="40" a="1"/>
  <c r="G252" i="40" s="1"/>
  <c r="AJ265" i="40"/>
  <c r="AC264" i="40"/>
  <c r="AC269" i="40"/>
  <c r="V264" i="40"/>
  <c r="AE246" i="40" a="1"/>
  <c r="AE246" i="40" s="1"/>
  <c r="H249" i="40" a="1"/>
  <c r="H249" i="40" s="1"/>
  <c r="N268" i="40"/>
  <c r="I262" i="40"/>
  <c r="AK263" i="40"/>
  <c r="AO262" i="40"/>
  <c r="U267" i="40"/>
  <c r="AN264" i="40"/>
  <c r="AZ273" i="40"/>
  <c r="AM276" i="40"/>
  <c r="I277" i="40"/>
  <c r="AN265" i="40"/>
  <c r="J272" i="40"/>
  <c r="AC268" i="40"/>
  <c r="R272" i="40"/>
  <c r="K276" i="40"/>
  <c r="AU270" i="40"/>
  <c r="AL266" i="40"/>
  <c r="AE248" i="40" a="1"/>
  <c r="AE248" i="40" s="1"/>
  <c r="K261" i="40"/>
  <c r="AO265" i="40"/>
  <c r="AK277" i="40"/>
  <c r="BA266" i="40"/>
  <c r="L248" i="40" a="1"/>
  <c r="L248" i="40" s="1"/>
  <c r="C252" i="40" a="1"/>
  <c r="C252" i="40" s="1"/>
  <c r="L246" i="40" a="1"/>
  <c r="L246" i="40" s="1"/>
  <c r="AV275" i="40"/>
  <c r="AA277" i="40"/>
  <c r="Y275" i="40"/>
  <c r="L251" i="40" a="1"/>
  <c r="L251" i="40" s="1"/>
  <c r="U276" i="40"/>
  <c r="M277" i="40"/>
  <c r="AI276" i="40"/>
  <c r="I261" i="40"/>
  <c r="AB268" i="40"/>
  <c r="L250" i="40" a="1"/>
  <c r="L250" i="40" s="1"/>
  <c r="L249" i="40" a="1"/>
  <c r="L249" i="40" s="1"/>
  <c r="D252" i="40" a="1"/>
  <c r="D252" i="40" s="1"/>
  <c r="AG266" i="40"/>
  <c r="AP267" i="40"/>
  <c r="L247" i="40" a="1"/>
  <c r="L247" i="40" s="1"/>
  <c r="R262" i="40"/>
  <c r="AI275" i="40"/>
  <c r="AX260" i="40"/>
  <c r="K265" i="40"/>
  <c r="L245" i="40" a="1"/>
  <c r="L245" i="40" s="1"/>
  <c r="F252" i="40" a="1"/>
  <c r="F252" i="40" s="1"/>
  <c r="K273" i="40"/>
  <c r="P260" i="40"/>
  <c r="AE251" i="40" a="1"/>
  <c r="AE251" i="40" s="1"/>
  <c r="C246" i="40" a="1"/>
  <c r="C246" i="40" s="1"/>
  <c r="W262" i="40"/>
  <c r="AE245" i="40" a="1"/>
  <c r="AE245" i="40" s="1"/>
  <c r="AE250" i="40" a="1"/>
  <c r="AE250" i="40" s="1"/>
  <c r="AE249" i="40" a="1"/>
  <c r="AE249" i="40" s="1"/>
  <c r="S260" i="40"/>
  <c r="R269" i="40"/>
  <c r="K258" i="40"/>
  <c r="AE247" i="40" a="1"/>
  <c r="AE247" i="40" s="1"/>
  <c r="W252" i="40" a="1"/>
  <c r="W252" i="40" s="1"/>
  <c r="E251" i="40" a="1"/>
  <c r="E251" i="40" s="1"/>
  <c r="E250" i="40" a="1"/>
  <c r="E250" i="40" s="1"/>
  <c r="E249" i="40" a="1"/>
  <c r="E249" i="40" s="1"/>
  <c r="E248" i="40" a="1"/>
  <c r="E248" i="40" s="1"/>
  <c r="E246" i="40" a="1"/>
  <c r="E246" i="40" s="1"/>
  <c r="E247" i="40" a="1"/>
  <c r="E247" i="40" s="1"/>
  <c r="H268" i="40"/>
  <c r="AT259" i="40"/>
  <c r="V270" i="40"/>
  <c r="AJ270" i="40"/>
  <c r="AY264" i="40"/>
  <c r="AW264" i="40"/>
  <c r="AR256" i="40"/>
  <c r="AJ261" i="40"/>
  <c r="G260" i="40"/>
  <c r="AO274" i="40"/>
  <c r="AS272" i="40"/>
  <c r="AW256" i="40"/>
  <c r="O272" i="40"/>
  <c r="AX264" i="40"/>
  <c r="Y266" i="40"/>
  <c r="AA264" i="40"/>
  <c r="Z272" i="40"/>
  <c r="M271" i="40"/>
  <c r="AI265" i="40"/>
  <c r="K274" i="40"/>
  <c r="T275" i="40"/>
  <c r="AL265" i="40"/>
  <c r="X275" i="40"/>
  <c r="AC259" i="40"/>
  <c r="F271" i="40"/>
  <c r="I268" i="40"/>
  <c r="K271" i="40"/>
  <c r="D263" i="40"/>
  <c r="E268" i="40"/>
  <c r="V274" i="40"/>
  <c r="O258" i="40"/>
  <c r="N274" i="40"/>
  <c r="AU271" i="40"/>
  <c r="U265" i="40"/>
  <c r="AQ276" i="40"/>
  <c r="C261" i="40"/>
  <c r="Q270" i="40"/>
  <c r="N278" i="40"/>
  <c r="T269" i="40"/>
  <c r="M263" i="40"/>
  <c r="C264" i="40"/>
  <c r="E260" i="40"/>
  <c r="W267" i="40"/>
  <c r="AE261" i="40"/>
  <c r="AK265" i="40"/>
  <c r="AN263" i="40"/>
  <c r="Q265" i="40"/>
  <c r="E256" i="40"/>
  <c r="H258" i="40"/>
  <c r="R274" i="40"/>
  <c r="Y262" i="40"/>
  <c r="Z261" i="40"/>
  <c r="AS276" i="40"/>
  <c r="K269" i="40"/>
  <c r="Y260" i="40"/>
  <c r="AM263" i="40"/>
  <c r="AQ265" i="40"/>
  <c r="BA270" i="40"/>
  <c r="AW270" i="40"/>
  <c r="E269" i="40"/>
  <c r="X274" i="40"/>
  <c r="Z273" i="40"/>
  <c r="AR266" i="40"/>
  <c r="AT260" i="40"/>
  <c r="S275" i="40"/>
  <c r="AW274" i="40"/>
  <c r="AS264" i="40"/>
  <c r="P262" i="40"/>
  <c r="AT256" i="40"/>
  <c r="AK269" i="40"/>
  <c r="X269" i="40"/>
  <c r="AA272" i="40"/>
  <c r="D257" i="40"/>
  <c r="AE266" i="40"/>
  <c r="X276" i="40"/>
  <c r="AA276" i="40"/>
  <c r="AH257" i="40"/>
  <c r="AY257" i="40"/>
  <c r="AD275" i="40"/>
  <c r="AI272" i="40"/>
  <c r="AQ274" i="40"/>
  <c r="S265" i="40"/>
  <c r="I276" i="40"/>
  <c r="AO273" i="40"/>
  <c r="U272" i="40"/>
  <c r="BB236" i="40"/>
  <c r="U14" i="39" s="1"/>
  <c r="AP265" i="40"/>
  <c r="M259" i="40"/>
  <c r="BA267" i="40"/>
  <c r="Y269" i="40"/>
  <c r="G270" i="40"/>
  <c r="AM261" i="40"/>
  <c r="AB257" i="40"/>
  <c r="I266" i="40"/>
  <c r="AG257" i="40"/>
  <c r="AV266" i="40"/>
  <c r="AE259" i="40"/>
  <c r="Q266" i="40"/>
  <c r="BB235" i="40"/>
  <c r="U13" i="39" s="1"/>
  <c r="AZ263" i="40"/>
  <c r="AP271" i="40"/>
  <c r="G271" i="40"/>
  <c r="AS269" i="40"/>
  <c r="U258" i="40"/>
  <c r="V267" i="40"/>
  <c r="X272" i="40"/>
  <c r="AY269" i="40"/>
  <c r="Q256" i="40"/>
  <c r="AQ257" i="40"/>
  <c r="AN276" i="40"/>
  <c r="V257" i="40"/>
  <c r="O257" i="40"/>
  <c r="F257" i="40"/>
  <c r="S269" i="40"/>
  <c r="AH262" i="40"/>
  <c r="AB271" i="40"/>
  <c r="V277" i="40"/>
  <c r="AT276" i="40"/>
  <c r="U278" i="40"/>
  <c r="W263" i="40"/>
  <c r="AA257" i="40"/>
  <c r="R256" i="40"/>
  <c r="BB238" i="40"/>
  <c r="U16" i="39" s="1"/>
  <c r="AV256" i="40"/>
  <c r="T257" i="40"/>
  <c r="J265" i="40"/>
  <c r="AS271" i="40"/>
  <c r="AL267" i="40"/>
  <c r="AX274" i="40"/>
  <c r="AC272" i="40"/>
  <c r="AX266" i="40"/>
  <c r="BA278" i="40"/>
  <c r="V265" i="40"/>
  <c r="I274" i="40"/>
  <c r="H263" i="40"/>
  <c r="AS257" i="40"/>
  <c r="Y268" i="40"/>
  <c r="L262" i="40"/>
  <c r="AF270" i="40"/>
  <c r="AB278" i="40"/>
  <c r="AN277" i="40"/>
  <c r="AX259" i="40"/>
  <c r="AX267" i="40"/>
  <c r="AY267" i="40"/>
  <c r="AA275" i="40"/>
  <c r="K259" i="40"/>
  <c r="AQ259" i="40"/>
  <c r="AT275" i="40"/>
  <c r="AG271" i="40"/>
  <c r="F267" i="40"/>
  <c r="O275" i="40"/>
  <c r="AQ271" i="40"/>
  <c r="AN262" i="40"/>
  <c r="AX262" i="40"/>
  <c r="AP274" i="40"/>
  <c r="AH268" i="40"/>
  <c r="AL278" i="40"/>
  <c r="T268" i="40"/>
  <c r="O267" i="40"/>
  <c r="AV263" i="40"/>
  <c r="AK259" i="40"/>
  <c r="AH263" i="40"/>
  <c r="AE256" i="40"/>
  <c r="AL257" i="40"/>
  <c r="H257" i="40"/>
  <c r="Q261" i="40"/>
  <c r="AW261" i="40"/>
  <c r="AS256" i="40"/>
  <c r="AG258" i="40"/>
  <c r="AI256" i="40"/>
  <c r="AT278" i="40"/>
  <c r="K278" i="40"/>
  <c r="AE264" i="40"/>
  <c r="AF263" i="40"/>
  <c r="J260" i="40"/>
  <c r="AR278" i="40"/>
  <c r="N266" i="40"/>
  <c r="S258" i="40"/>
  <c r="Q258" i="40"/>
  <c r="AK268" i="40"/>
  <c r="Y259" i="40"/>
  <c r="AL276" i="40"/>
  <c r="AH267" i="40"/>
  <c r="AG272" i="40"/>
  <c r="L265" i="40"/>
  <c r="AB273" i="40"/>
  <c r="AM258" i="40"/>
  <c r="AM265" i="40"/>
  <c r="T262" i="40"/>
  <c r="D265" i="40"/>
  <c r="AF266" i="40"/>
  <c r="AW277" i="40"/>
  <c r="AL262" i="40"/>
  <c r="P274" i="40"/>
  <c r="T267" i="40"/>
  <c r="E263" i="40"/>
  <c r="L268" i="40"/>
  <c r="F269" i="40"/>
  <c r="T274" i="40"/>
  <c r="AX272" i="40"/>
  <c r="AW273" i="40"/>
  <c r="AC263" i="40"/>
  <c r="I269" i="40"/>
  <c r="AV264" i="40"/>
  <c r="AO263" i="40"/>
  <c r="BB244" i="40"/>
  <c r="U22" i="39" s="1"/>
  <c r="BB241" i="40"/>
  <c r="U19" i="39" s="1"/>
  <c r="AA256" i="40"/>
  <c r="D256" i="40"/>
  <c r="BB233" i="40"/>
  <c r="U11" i="39" s="1"/>
  <c r="BB234" i="40"/>
  <c r="U12" i="39" s="1"/>
  <c r="AF257" i="40"/>
  <c r="AW257" i="40"/>
  <c r="V256" i="40"/>
  <c r="AZ256" i="40"/>
  <c r="S277" i="40"/>
  <c r="J267" i="40"/>
  <c r="M276" i="40"/>
  <c r="AF265" i="40"/>
  <c r="F261" i="40"/>
  <c r="AJ275" i="40"/>
  <c r="AC258" i="40"/>
  <c r="R275" i="40"/>
  <c r="AR275" i="40"/>
  <c r="AU266" i="40"/>
  <c r="V258" i="40"/>
  <c r="P277" i="40"/>
  <c r="W270" i="40"/>
  <c r="AG275" i="40"/>
  <c r="H259" i="40"/>
  <c r="AX270" i="40"/>
  <c r="BA258" i="40"/>
  <c r="P270" i="40"/>
  <c r="Q269" i="40"/>
  <c r="AY270" i="40"/>
  <c r="N259" i="40"/>
  <c r="P268" i="40"/>
  <c r="AD273" i="40"/>
  <c r="Q268" i="40"/>
  <c r="AN273" i="40"/>
  <c r="BA260" i="40"/>
  <c r="L261" i="40"/>
  <c r="AP276" i="40"/>
  <c r="K272" i="40"/>
  <c r="AV274" i="40"/>
  <c r="I270" i="40"/>
  <c r="AZ268" i="40"/>
  <c r="BA257" i="40"/>
  <c r="AU256" i="40"/>
  <c r="BB231" i="40"/>
  <c r="U9" i="39" s="1"/>
  <c r="AY256" i="40"/>
  <c r="U271" i="40"/>
  <c r="AL264" i="40"/>
  <c r="R277" i="40"/>
  <c r="AC257" i="40"/>
  <c r="AO272" i="40"/>
  <c r="AV258" i="40"/>
  <c r="AF275" i="40"/>
  <c r="N263" i="40"/>
  <c r="AM262" i="40"/>
  <c r="AR272" i="40"/>
  <c r="I263" i="40"/>
  <c r="AZ265" i="40"/>
  <c r="I271" i="40"/>
  <c r="AR273" i="40"/>
  <c r="AM269" i="40"/>
  <c r="Z260" i="40"/>
  <c r="N260" i="40"/>
  <c r="AR269" i="40"/>
  <c r="AP260" i="40"/>
  <c r="AP259" i="40"/>
  <c r="AS268" i="40"/>
  <c r="AU268" i="40"/>
  <c r="AV265" i="40"/>
  <c r="AA265" i="40"/>
  <c r="AR264" i="40"/>
  <c r="G259" i="40"/>
  <c r="AB270" i="40"/>
  <c r="AC261" i="40"/>
  <c r="X261" i="40"/>
  <c r="AU260" i="40"/>
  <c r="AT262" i="40"/>
  <c r="P263" i="40"/>
  <c r="AH277" i="40"/>
  <c r="AD278" i="40"/>
  <c r="P264" i="40"/>
  <c r="N276" i="40"/>
  <c r="AX263" i="40"/>
  <c r="P256" i="40"/>
  <c r="W257" i="40"/>
  <c r="AN257" i="40"/>
  <c r="T273" i="40"/>
  <c r="X264" i="40"/>
  <c r="Q259" i="40"/>
  <c r="W258" i="40"/>
  <c r="AM268" i="40"/>
  <c r="N273" i="40"/>
  <c r="P271" i="40"/>
  <c r="U273" i="40"/>
  <c r="AX275" i="40"/>
  <c r="V260" i="40"/>
  <c r="Z263" i="40"/>
  <c r="D259" i="40"/>
  <c r="BA256" i="40"/>
  <c r="AJ266" i="40"/>
  <c r="O269" i="40"/>
  <c r="AS262" i="40"/>
  <c r="AH261" i="40"/>
  <c r="AV270" i="40"/>
  <c r="AT269" i="40"/>
  <c r="AF264" i="40"/>
  <c r="BA265" i="40"/>
  <c r="O270" i="40"/>
  <c r="X266" i="40"/>
  <c r="AI274" i="40"/>
  <c r="AL268" i="40"/>
  <c r="AD265" i="40"/>
  <c r="AL259" i="40"/>
  <c r="S264" i="40"/>
  <c r="AM260" i="40"/>
  <c r="AQ261" i="40"/>
  <c r="AT271" i="40"/>
  <c r="H266" i="40"/>
  <c r="AJ259" i="40"/>
  <c r="AA268" i="40"/>
  <c r="D271" i="40"/>
  <c r="I259" i="40"/>
  <c r="AA269" i="40"/>
  <c r="AM266" i="40"/>
  <c r="AX258" i="40"/>
  <c r="E257" i="40"/>
  <c r="AD257" i="40"/>
  <c r="BB237" i="40"/>
  <c r="U15" i="39" s="1"/>
  <c r="AG256" i="40"/>
  <c r="AM257" i="40"/>
  <c r="O256" i="40"/>
  <c r="AH258" i="40"/>
  <c r="BA276" i="40"/>
  <c r="AF278" i="40"/>
  <c r="AO260" i="40"/>
  <c r="AI268" i="40"/>
  <c r="AD274" i="40"/>
  <c r="AY265" i="40"/>
  <c r="AM275" i="40"/>
  <c r="AN268" i="40"/>
  <c r="AG277" i="40"/>
  <c r="I256" i="40"/>
  <c r="T278" i="40"/>
  <c r="F264" i="40"/>
  <c r="F268" i="40"/>
  <c r="AS266" i="40"/>
  <c r="M268" i="40"/>
  <c r="L271" i="40"/>
  <c r="AQ269" i="40"/>
  <c r="O271" i="40"/>
  <c r="AU261" i="40"/>
  <c r="N262" i="40"/>
  <c r="AK258" i="40"/>
  <c r="AV268" i="40"/>
  <c r="AE262" i="40"/>
  <c r="P266" i="40"/>
  <c r="AD269" i="40"/>
  <c r="AX265" i="40"/>
  <c r="D267" i="40"/>
  <c r="AX277" i="40"/>
  <c r="AW269" i="40"/>
  <c r="T271" i="40"/>
  <c r="AU264" i="40"/>
  <c r="M274" i="40"/>
  <c r="K268" i="40"/>
  <c r="U264" i="40"/>
  <c r="V275" i="40"/>
  <c r="AA263" i="40"/>
  <c r="AI258" i="40"/>
  <c r="I257" i="40"/>
  <c r="T256" i="40"/>
  <c r="U256" i="40"/>
  <c r="AH256" i="40"/>
  <c r="F259" i="40"/>
  <c r="AB263" i="40"/>
  <c r="AK267" i="40"/>
  <c r="BB229" i="40"/>
  <c r="AD262" i="40"/>
  <c r="BB232" i="40"/>
  <c r="U10" i="39" s="1"/>
  <c r="AO277" i="40"/>
  <c r="AZ266" i="40"/>
  <c r="AF258" i="40"/>
  <c r="BA269" i="40"/>
  <c r="AT268" i="40"/>
  <c r="AG278" i="40"/>
  <c r="P275" i="40"/>
  <c r="AG270" i="40"/>
  <c r="AI273" i="40"/>
  <c r="AL270" i="40"/>
  <c r="F265" i="40"/>
  <c r="AN275" i="40"/>
  <c r="AC277" i="40"/>
  <c r="F263" i="40"/>
  <c r="E259" i="40"/>
  <c r="S261" i="40"/>
  <c r="R261" i="40"/>
  <c r="S273" i="40"/>
  <c r="AF259" i="40"/>
  <c r="Z275" i="40"/>
  <c r="AL275" i="40"/>
  <c r="AG273" i="40"/>
  <c r="P278" i="40"/>
  <c r="AO264" i="40"/>
  <c r="AI277" i="40"/>
  <c r="H270" i="40"/>
  <c r="AP273" i="40"/>
  <c r="AF269" i="40"/>
  <c r="X260" i="40"/>
  <c r="AA273" i="40"/>
  <c r="J257" i="40"/>
  <c r="L263" i="40"/>
  <c r="U257" i="40"/>
  <c r="AP257" i="40"/>
  <c r="AK272" i="40"/>
  <c r="AS275" i="40"/>
  <c r="AY260" i="40"/>
  <c r="R268" i="40"/>
  <c r="Z274" i="40"/>
  <c r="V266" i="40"/>
  <c r="AY274" i="40"/>
  <c r="R264" i="40"/>
  <c r="E264" i="40"/>
  <c r="Z256" i="40"/>
  <c r="AW262" i="40"/>
  <c r="AD277" i="40"/>
  <c r="L267" i="40"/>
  <c r="R270" i="40"/>
  <c r="F266" i="40"/>
  <c r="AJ269" i="40"/>
  <c r="AV261" i="40"/>
  <c r="AY263" i="40"/>
  <c r="AG268" i="40"/>
  <c r="AC266" i="40"/>
  <c r="AV260" i="40"/>
  <c r="AQ264" i="40"/>
  <c r="X271" i="40"/>
  <c r="Y264" i="40"/>
  <c r="U260" i="40"/>
  <c r="AU269" i="40"/>
  <c r="M266" i="40"/>
  <c r="AZ261" i="40"/>
  <c r="AC278" i="40"/>
  <c r="AD261" i="40"/>
  <c r="AB275" i="40"/>
  <c r="AT273" i="40"/>
  <c r="AA278" i="40"/>
  <c r="AM259" i="40"/>
  <c r="M257" i="40"/>
  <c r="AU257" i="40"/>
  <c r="X256" i="40"/>
  <c r="AE257" i="40"/>
  <c r="AT257" i="40"/>
  <c r="S256" i="40"/>
  <c r="G267" i="40"/>
  <c r="C256" i="40"/>
  <c r="G258" i="40"/>
  <c r="E261" i="40"/>
  <c r="AI269" i="40"/>
  <c r="R273" i="40"/>
  <c r="X257" i="40"/>
  <c r="AH264" i="40"/>
  <c r="AB276" i="40"/>
  <c r="AS273" i="40"/>
  <c r="AM273" i="40"/>
  <c r="AW276" i="40"/>
  <c r="U268" i="40"/>
  <c r="AI266" i="40"/>
  <c r="AV278" i="40"/>
  <c r="V276" i="40"/>
  <c r="AJ262" i="40"/>
  <c r="Y272" i="40"/>
  <c r="AB272" i="40"/>
  <c r="K277" i="40"/>
  <c r="S274" i="40"/>
  <c r="AN271" i="40"/>
  <c r="Z268" i="40"/>
  <c r="D270" i="40"/>
  <c r="AM277" i="40"/>
  <c r="G266" i="40"/>
  <c r="AK270" i="40"/>
  <c r="H261" i="40"/>
  <c r="T265" i="40"/>
  <c r="W260" i="40"/>
  <c r="I278" i="40"/>
  <c r="AG263" i="40"/>
  <c r="AO266" i="40"/>
  <c r="AQ262" i="40"/>
  <c r="G269" i="40"/>
  <c r="M261" i="40"/>
  <c r="AY277" i="40"/>
  <c r="AT279" i="40"/>
  <c r="Q257" i="40"/>
  <c r="K256" i="40"/>
  <c r="AV257" i="40"/>
  <c r="BB230" i="40"/>
  <c r="AH266" i="40"/>
  <c r="AS261" i="40"/>
  <c r="Z264" i="40"/>
  <c r="AP277" i="40"/>
  <c r="BA261" i="40"/>
  <c r="AR257" i="40"/>
  <c r="AP272" i="40"/>
  <c r="Y258" i="40"/>
  <c r="AB269" i="40"/>
  <c r="J274" i="40"/>
  <c r="T276" i="40"/>
  <c r="AN274" i="40"/>
  <c r="S266" i="40"/>
  <c r="AA270" i="40"/>
  <c r="D269" i="40"/>
  <c r="S270" i="40"/>
  <c r="AC267" i="40"/>
  <c r="N267" i="40"/>
  <c r="AO259" i="40"/>
  <c r="BA271" i="40"/>
  <c r="AY278" i="40"/>
  <c r="J264" i="40"/>
  <c r="AO278" i="40"/>
  <c r="M278" i="40"/>
  <c r="J278" i="40"/>
  <c r="AZ275" i="40"/>
  <c r="K263" i="40"/>
  <c r="Q267" i="40"/>
  <c r="AP258" i="40"/>
  <c r="T266" i="40"/>
  <c r="K266" i="40"/>
  <c r="AH265" i="40"/>
  <c r="AL263" i="40"/>
  <c r="AR268" i="40"/>
  <c r="AZ271" i="40"/>
  <c r="AL260" i="40"/>
  <c r="AD264" i="40"/>
  <c r="R278" i="40"/>
  <c r="M262" i="40"/>
  <c r="AC256" i="40"/>
  <c r="G256" i="40"/>
  <c r="BB242" i="40"/>
  <c r="U20" i="39" s="1"/>
  <c r="Y256" i="40"/>
  <c r="W256" i="40"/>
  <c r="AQ273" i="40"/>
  <c r="AX256" i="40"/>
  <c r="AS260" i="40"/>
  <c r="AS277" i="40"/>
  <c r="AR270" i="40"/>
  <c r="AG264" i="40"/>
  <c r="AU275" i="40"/>
  <c r="R263" i="40"/>
  <c r="I264" i="40"/>
  <c r="AJ276" i="40"/>
  <c r="Q262" i="40"/>
  <c r="AQ267" i="40"/>
  <c r="V269" i="40"/>
  <c r="AT270" i="40"/>
  <c r="AI261" i="40"/>
  <c r="U269" i="40"/>
  <c r="P261" i="40"/>
  <c r="D264" i="40"/>
  <c r="AQ260" i="40"/>
  <c r="M272" i="40"/>
  <c r="AE271" i="40"/>
  <c r="Y274" i="40"/>
  <c r="AS270" i="40"/>
  <c r="AW268" i="40"/>
  <c r="AF274" i="40"/>
  <c r="Z278" i="40"/>
  <c r="AW259" i="40"/>
  <c r="S278" i="40"/>
  <c r="T263" i="40"/>
  <c r="X267" i="40"/>
  <c r="P257" i="40"/>
  <c r="L256" i="40"/>
  <c r="G257" i="40"/>
  <c r="AX257" i="40"/>
  <c r="AT265" i="40"/>
  <c r="N277" i="40"/>
  <c r="AD270" i="40"/>
  <c r="AF260" i="40"/>
  <c r="T277" i="40"/>
  <c r="Y261" i="40"/>
  <c r="AK266" i="40"/>
  <c r="P269" i="40"/>
  <c r="P258" i="40"/>
  <c r="AZ267" i="40"/>
  <c r="AV272" i="40"/>
  <c r="AK274" i="40"/>
  <c r="U263" i="40"/>
  <c r="AJ274" i="40"/>
  <c r="AN266" i="40"/>
  <c r="AZ278" i="40"/>
  <c r="AQ272" i="40"/>
  <c r="H256" i="40"/>
  <c r="AK256" i="40"/>
  <c r="AD256" i="40"/>
  <c r="M256" i="40"/>
  <c r="D258" i="40"/>
  <c r="N256" i="40"/>
  <c r="F256" i="40"/>
  <c r="AG262" i="40"/>
  <c r="AM264" i="40"/>
  <c r="AR267" i="40"/>
  <c r="U277" i="40"/>
  <c r="Q278" i="40"/>
  <c r="AP269" i="40"/>
  <c r="AB277" i="40"/>
  <c r="U274" i="40"/>
  <c r="AA258" i="40"/>
  <c r="AJ263" i="40"/>
  <c r="BA275" i="40"/>
  <c r="Z257" i="40"/>
  <c r="AI257" i="40"/>
  <c r="AP278" i="40"/>
  <c r="AP275" i="40"/>
  <c r="AB267" i="40"/>
  <c r="Q275" i="40"/>
  <c r="AT266" i="40"/>
  <c r="AA266" i="40"/>
  <c r="AT277" i="40"/>
  <c r="J259" i="40"/>
  <c r="W259" i="40"/>
  <c r="AB258" i="40"/>
  <c r="O261" i="40"/>
  <c r="BA277" i="40"/>
  <c r="AS258" i="40"/>
  <c r="R276" i="40"/>
  <c r="AJ273" i="40"/>
  <c r="AG260" i="40"/>
  <c r="AN261" i="40"/>
  <c r="N272" i="40"/>
  <c r="AM272" i="40"/>
  <c r="AL271" i="40"/>
  <c r="I275" i="40"/>
  <c r="Z259" i="40"/>
  <c r="AI270" i="40"/>
  <c r="X265" i="40"/>
  <c r="H260" i="40"/>
  <c r="AR261" i="40"/>
  <c r="U259" i="40"/>
  <c r="K264" i="40"/>
  <c r="X262" i="40"/>
  <c r="AU273" i="40"/>
  <c r="AU278" i="40"/>
  <c r="T258" i="40"/>
  <c r="Z271" i="40"/>
  <c r="AO261" i="40"/>
  <c r="AA259" i="40"/>
  <c r="G262" i="40"/>
  <c r="N271" i="40"/>
  <c r="AZ270" i="40"/>
  <c r="AT272" i="40"/>
  <c r="AG269" i="40"/>
  <c r="AO267" i="40"/>
  <c r="BA259" i="40"/>
  <c r="AE270" i="40"/>
  <c r="AB266" i="40"/>
  <c r="AK261" i="40"/>
  <c r="BA262" i="40"/>
  <c r="AT263" i="40"/>
  <c r="D266" i="40"/>
  <c r="AR265" i="40"/>
  <c r="AY266" i="40"/>
  <c r="AU274" i="40"/>
  <c r="AN258" i="40"/>
  <c r="K270" i="40"/>
  <c r="S262" i="40"/>
  <c r="AS274" i="40"/>
  <c r="AK264" i="40"/>
  <c r="AH273" i="40"/>
  <c r="P267" i="40"/>
  <c r="AK276" i="40"/>
  <c r="Z258" i="40"/>
  <c r="O278" i="40"/>
  <c r="AU263" i="40"/>
  <c r="AI267" i="40"/>
  <c r="O277" i="40"/>
  <c r="X273" i="40"/>
  <c r="Q276" i="40"/>
  <c r="AM256" i="40"/>
  <c r="AK257" i="40"/>
  <c r="AK278" i="40"/>
  <c r="T259" i="40"/>
  <c r="AZ264" i="40"/>
  <c r="X263" i="40"/>
  <c r="AQ256" i="40"/>
  <c r="S271" i="40"/>
  <c r="AY258" i="40"/>
  <c r="T272" i="40"/>
  <c r="O264" i="40"/>
  <c r="S259" i="40"/>
  <c r="V268" i="40"/>
  <c r="AW267" i="40"/>
  <c r="AD260" i="40"/>
  <c r="AU277" i="40"/>
  <c r="H264" i="40"/>
  <c r="AQ275" i="40"/>
  <c r="F262" i="40"/>
  <c r="S267" i="40"/>
  <c r="AC276" i="40"/>
  <c r="M258" i="40"/>
  <c r="O268" i="40"/>
  <c r="AJ264" i="40"/>
  <c r="AV271" i="40"/>
  <c r="E271" i="40"/>
  <c r="S272" i="40"/>
  <c r="AY262" i="40"/>
  <c r="AW258" i="40"/>
  <c r="AJ272" i="40"/>
  <c r="AO269" i="40"/>
  <c r="AV269" i="40"/>
  <c r="BA272" i="40"/>
  <c r="Z262" i="40"/>
  <c r="E267" i="40"/>
  <c r="L258" i="40"/>
  <c r="S276" i="40"/>
  <c r="H269" i="40"/>
  <c r="J273" i="40"/>
  <c r="AN260" i="40"/>
  <c r="Y277" i="40"/>
  <c r="BB240" i="40"/>
  <c r="U18" i="39" s="1"/>
  <c r="R257" i="40"/>
  <c r="AO256" i="40"/>
  <c r="S257" i="40"/>
  <c r="BB243" i="40"/>
  <c r="U21" i="39" s="1"/>
  <c r="AL256" i="40"/>
  <c r="AF256" i="40"/>
  <c r="AJ256" i="40"/>
  <c r="BB239" i="40"/>
  <c r="U17" i="39" s="1"/>
  <c r="C260" i="40"/>
  <c r="C265" i="40"/>
  <c r="C271" i="40"/>
  <c r="C258" i="40"/>
  <c r="C259" i="40"/>
  <c r="C262" i="40"/>
  <c r="C269" i="40"/>
  <c r="C267" i="40"/>
  <c r="BB249" i="40"/>
  <c r="BB156" i="40"/>
  <c r="BB155" i="40"/>
  <c r="BB163" i="40"/>
  <c r="BB162" i="40"/>
  <c r="AE117" i="40"/>
  <c r="AE198" i="40"/>
  <c r="AE225" i="40" s="1" a="1"/>
  <c r="AE225" i="40" s="1"/>
  <c r="C144" i="40"/>
  <c r="C171" i="40" s="1"/>
  <c r="BB158" i="40"/>
  <c r="D144" i="40"/>
  <c r="D171" i="40" s="1"/>
  <c r="BB157" i="40"/>
  <c r="F144" i="40"/>
  <c r="F171" i="40" s="1"/>
  <c r="E117" i="40"/>
  <c r="E198" i="40"/>
  <c r="E225" i="40" s="1" a="1"/>
  <c r="E225" i="40" s="1"/>
  <c r="BB151" i="40"/>
  <c r="L117" i="40"/>
  <c r="L198" i="40"/>
  <c r="L225" i="40" s="1" a="1"/>
  <c r="L225" i="40" s="1"/>
  <c r="W144" i="40"/>
  <c r="W171" i="40" s="1"/>
  <c r="G144" i="40"/>
  <c r="G171" i="40" s="1"/>
  <c r="BB150" i="40"/>
  <c r="BB160" i="40"/>
  <c r="BB179" i="40"/>
  <c r="BB180" i="40"/>
  <c r="BB188" i="40"/>
  <c r="BB190" i="40"/>
  <c r="BB186" i="40"/>
  <c r="BB185" i="40"/>
  <c r="C140" i="40"/>
  <c r="C167" i="40" s="1"/>
  <c r="C302" i="40" s="1"/>
  <c r="C141" i="40"/>
  <c r="C168" i="40" s="1"/>
  <c r="C303" i="40" s="1"/>
  <c r="F142" i="40"/>
  <c r="F169" i="40" s="1"/>
  <c r="F304" i="40" s="1"/>
  <c r="W139" i="40"/>
  <c r="W166" i="40" s="1"/>
  <c r="W301" i="40" s="1"/>
  <c r="W141" i="40"/>
  <c r="W168" i="40" s="1"/>
  <c r="W303" i="40" s="1"/>
  <c r="W138" i="40"/>
  <c r="C138" i="40"/>
  <c r="C165" i="40" s="1"/>
  <c r="BB153" i="40"/>
  <c r="BB154" i="40"/>
  <c r="BB161" i="40"/>
  <c r="BB178" i="40"/>
  <c r="BB189" i="40"/>
  <c r="W142" i="40"/>
  <c r="F139" i="40"/>
  <c r="G140" i="40"/>
  <c r="G167" i="40" s="1"/>
  <c r="G302" i="40" s="1"/>
  <c r="E137" i="40"/>
  <c r="E164" i="40" s="1"/>
  <c r="E299" i="40" s="1"/>
  <c r="D139" i="40"/>
  <c r="D166" i="40" s="1"/>
  <c r="D301" i="40" s="1"/>
  <c r="G139" i="40"/>
  <c r="G166" i="40" s="1"/>
  <c r="G301" i="40" s="1"/>
  <c r="G142" i="40"/>
  <c r="BB152" i="40"/>
  <c r="BB182" i="40"/>
  <c r="BB187" i="40"/>
  <c r="BB184" i="40"/>
  <c r="BB177" i="40"/>
  <c r="BB181" i="40"/>
  <c r="G141" i="40"/>
  <c r="W140" i="40"/>
  <c r="C139" i="40"/>
  <c r="C142" i="40"/>
  <c r="F141" i="40"/>
  <c r="F168" i="40" s="1"/>
  <c r="F303" i="40" s="1"/>
  <c r="C137" i="40"/>
  <c r="F140" i="40"/>
  <c r="F138" i="40"/>
  <c r="F165" i="40" s="1"/>
  <c r="F300" i="40" s="1"/>
  <c r="BB159" i="40"/>
  <c r="AT166" i="40"/>
  <c r="AT301" i="40" s="1"/>
  <c r="BB183" i="40"/>
  <c r="D137" i="40"/>
  <c r="G137" i="40"/>
  <c r="D138" i="40"/>
  <c r="D165" i="40" s="1"/>
  <c r="D300" i="40" s="1"/>
  <c r="W137" i="40"/>
  <c r="W164" i="40" s="1"/>
  <c r="W299" i="40" s="1"/>
  <c r="G138" i="40"/>
  <c r="G165" i="40" s="1"/>
  <c r="G300" i="40" s="1"/>
  <c r="D140" i="40"/>
  <c r="D167" i="40" s="1"/>
  <c r="D302" i="40" s="1"/>
  <c r="F137" i="40"/>
  <c r="F164" i="40" s="1"/>
  <c r="F299" i="40" s="1"/>
  <c r="D141" i="40"/>
  <c r="D168" i="40" s="1"/>
  <c r="D303" i="40" s="1"/>
  <c r="D142" i="40"/>
  <c r="F143" i="40"/>
  <c r="F170" i="40" s="1"/>
  <c r="F305" i="40" s="1"/>
  <c r="D143" i="40"/>
  <c r="C143" i="40"/>
  <c r="C170" i="40" s="1"/>
  <c r="C305" i="40" s="1"/>
  <c r="W143" i="40"/>
  <c r="G143" i="40"/>
  <c r="E89" i="40"/>
  <c r="E116" i="40"/>
  <c r="L85" i="40"/>
  <c r="L112" i="40"/>
  <c r="AE88" i="40"/>
  <c r="AE115" i="40"/>
  <c r="E86" i="40"/>
  <c r="E113" i="40"/>
  <c r="E87" i="40"/>
  <c r="E114" i="40"/>
  <c r="L87" i="40"/>
  <c r="L114" i="40"/>
  <c r="L83" i="40"/>
  <c r="L110" i="40"/>
  <c r="L89" i="40"/>
  <c r="L116" i="40"/>
  <c r="AE86" i="40"/>
  <c r="AE113" i="40"/>
  <c r="E84" i="40"/>
  <c r="E111" i="40"/>
  <c r="AE84" i="40"/>
  <c r="AE111" i="40"/>
  <c r="L88" i="40"/>
  <c r="L115" i="40"/>
  <c r="AE89" i="40"/>
  <c r="AE116" i="40"/>
  <c r="H87" i="40"/>
  <c r="H114" i="40"/>
  <c r="L86" i="40"/>
  <c r="L113" i="40"/>
  <c r="AE87" i="40"/>
  <c r="AE114" i="40"/>
  <c r="E85" i="40"/>
  <c r="E112" i="40"/>
  <c r="AE83" i="40"/>
  <c r="AE110" i="40"/>
  <c r="E88" i="40"/>
  <c r="E115" i="40"/>
  <c r="L84" i="40"/>
  <c r="L111" i="40"/>
  <c r="AE85" i="40"/>
  <c r="AE112" i="40"/>
  <c r="AE90" i="40"/>
  <c r="E90" i="40"/>
  <c r="L90" i="40"/>
  <c r="I23" i="12"/>
  <c r="O23" i="12"/>
  <c r="L15" i="22"/>
  <c r="F15" i="22"/>
  <c r="I15" i="22" s="1"/>
  <c r="L15" i="44"/>
  <c r="L23" i="12"/>
  <c r="F23" i="12"/>
  <c r="R30" i="40"/>
  <c r="R25" i="40"/>
  <c r="R29" i="40"/>
  <c r="R24" i="40"/>
  <c r="R26" i="40"/>
  <c r="R28" i="40"/>
  <c r="AI30" i="33"/>
  <c r="AI25" i="33"/>
  <c r="AI29" i="33"/>
  <c r="AI26" i="33"/>
  <c r="AI28" i="33"/>
  <c r="H197" i="40"/>
  <c r="H224" i="40" s="1" a="1"/>
  <c r="H224" i="40" s="1"/>
  <c r="H196" i="40"/>
  <c r="H223" i="40" s="1" a="1"/>
  <c r="H223" i="40" s="1"/>
  <c r="H193" i="40"/>
  <c r="H220" i="40" s="1" a="1"/>
  <c r="H220" i="40" s="1"/>
  <c r="H191" i="40"/>
  <c r="H218" i="40" s="1" a="1"/>
  <c r="H218" i="40" s="1"/>
  <c r="BB218" i="40" s="1"/>
  <c r="R20" i="12"/>
  <c r="U20" i="12"/>
  <c r="F26" i="33"/>
  <c r="F25" i="33"/>
  <c r="F23" i="33"/>
  <c r="C23" i="24" s="1" a="1"/>
  <c r="C23" i="24" s="1"/>
  <c r="F24" i="33"/>
  <c r="C24" i="24" s="1" a="1"/>
  <c r="C24" i="24" s="1"/>
  <c r="F30" i="33"/>
  <c r="F27" i="33"/>
  <c r="F28" i="33"/>
  <c r="F29" i="33"/>
  <c r="E27" i="40"/>
  <c r="C27" i="40"/>
  <c r="U22" i="12"/>
  <c r="R11" i="12"/>
  <c r="U11" i="12"/>
  <c r="R22" i="12"/>
  <c r="R10" i="12"/>
  <c r="X10" i="12"/>
  <c r="U10" i="12"/>
  <c r="R16" i="12"/>
  <c r="R14" i="12"/>
  <c r="U14" i="12"/>
  <c r="R13" i="12"/>
  <c r="U13" i="12"/>
  <c r="R12" i="12"/>
  <c r="U12" i="12"/>
  <c r="U19" i="12"/>
  <c r="R19" i="12"/>
  <c r="U15" i="12"/>
  <c r="R18" i="12"/>
  <c r="U16" i="12"/>
  <c r="U18" i="12"/>
  <c r="U17" i="12"/>
  <c r="R17" i="12"/>
  <c r="R15" i="12"/>
  <c r="G306" i="40" l="1"/>
  <c r="F306" i="40"/>
  <c r="C300" i="40"/>
  <c r="C306" i="40"/>
  <c r="D306" i="40"/>
  <c r="W306" i="40"/>
  <c r="BH12" i="16"/>
  <c r="X12" i="12" s="1"/>
  <c r="BG12" i="16"/>
  <c r="AI24" i="33"/>
  <c r="AI31" i="33" s="1"/>
  <c r="F24" i="12"/>
  <c r="I24" i="12"/>
  <c r="L24" i="12"/>
  <c r="AD10" i="12"/>
  <c r="AG10" i="12" s="1"/>
  <c r="AA12" i="12"/>
  <c r="AD11" i="12"/>
  <c r="AG11" i="12" s="1"/>
  <c r="R13" i="39"/>
  <c r="R9" i="39"/>
  <c r="R17" i="39"/>
  <c r="R16" i="39"/>
  <c r="R18" i="39"/>
  <c r="BF13" i="16"/>
  <c r="R19" i="39"/>
  <c r="R22" i="39"/>
  <c r="R14" i="39"/>
  <c r="R20" i="39"/>
  <c r="R15" i="39"/>
  <c r="R21" i="39"/>
  <c r="R12" i="39"/>
  <c r="R10" i="39"/>
  <c r="R11" i="39"/>
  <c r="BB305" i="40"/>
  <c r="H251" i="40" a="1"/>
  <c r="H251" i="40" s="1"/>
  <c r="AE252" i="40" a="1"/>
  <c r="AE252" i="40" s="1"/>
  <c r="H247" i="40" a="1"/>
  <c r="H247" i="40" s="1"/>
  <c r="H245" i="40" a="1"/>
  <c r="H245" i="40" s="1"/>
  <c r="BB245" i="40" s="1"/>
  <c r="U23" i="39" s="1"/>
  <c r="L252" i="40" a="1"/>
  <c r="L252" i="40" s="1"/>
  <c r="H250" i="40" a="1"/>
  <c r="H250" i="40" s="1"/>
  <c r="E252" i="40" a="1"/>
  <c r="E252" i="40" s="1"/>
  <c r="BB267" i="40"/>
  <c r="BB268" i="40"/>
  <c r="BB294" i="40"/>
  <c r="AA18" i="39" s="1"/>
  <c r="BB287" i="40"/>
  <c r="AA11" i="39" s="1"/>
  <c r="BB260" i="40"/>
  <c r="BB269" i="40"/>
  <c r="BB288" i="40"/>
  <c r="AA12" i="39" s="1"/>
  <c r="BB291" i="40"/>
  <c r="AA15" i="39" s="1"/>
  <c r="BB270" i="40"/>
  <c r="BB263" i="40"/>
  <c r="BB284" i="40"/>
  <c r="BB258" i="40"/>
  <c r="BB296" i="40"/>
  <c r="AA20" i="39" s="1"/>
  <c r="BB286" i="40"/>
  <c r="AA10" i="39" s="1"/>
  <c r="BB292" i="40"/>
  <c r="AA16" i="39" s="1"/>
  <c r="BB259" i="40"/>
  <c r="BB289" i="40"/>
  <c r="AA13" i="39" s="1"/>
  <c r="BB293" i="40"/>
  <c r="AA17" i="39" s="1"/>
  <c r="BB297" i="40"/>
  <c r="AA21" i="39" s="1"/>
  <c r="BB290" i="40"/>
  <c r="AA14" i="39" s="1"/>
  <c r="BB265" i="40"/>
  <c r="BB295" i="40"/>
  <c r="AA19" i="39" s="1"/>
  <c r="BB266" i="40"/>
  <c r="BB261" i="40"/>
  <c r="BB262" i="40"/>
  <c r="BB264" i="40"/>
  <c r="BB257" i="40"/>
  <c r="BB271" i="40"/>
  <c r="E272" i="40"/>
  <c r="AT274" i="40"/>
  <c r="G275" i="40"/>
  <c r="G279" i="40"/>
  <c r="F276" i="40"/>
  <c r="D274" i="40"/>
  <c r="BB256" i="40"/>
  <c r="F278" i="40"/>
  <c r="W276" i="40"/>
  <c r="F279" i="40"/>
  <c r="BB285" i="40"/>
  <c r="AA9" i="39" s="1"/>
  <c r="D276" i="40"/>
  <c r="W274" i="40"/>
  <c r="F272" i="40"/>
  <c r="F277" i="40"/>
  <c r="D275" i="40"/>
  <c r="W272" i="40"/>
  <c r="D273" i="40"/>
  <c r="G273" i="40"/>
  <c r="G274" i="40"/>
  <c r="BB306" i="40"/>
  <c r="C276" i="40"/>
  <c r="C275" i="40"/>
  <c r="BB275" i="40" s="1"/>
  <c r="BB302" i="40"/>
  <c r="C278" i="40"/>
  <c r="BB278" i="40" s="1"/>
  <c r="C273" i="40"/>
  <c r="W279" i="40"/>
  <c r="D279" i="40"/>
  <c r="C279" i="40"/>
  <c r="BB279" i="40" s="1"/>
  <c r="BB251" i="40"/>
  <c r="BB250" i="40"/>
  <c r="BB247" i="40"/>
  <c r="L144" i="40"/>
  <c r="L171" i="40" s="1"/>
  <c r="E144" i="40"/>
  <c r="E171" i="40" s="1"/>
  <c r="H113" i="40"/>
  <c r="BB113" i="40" s="1"/>
  <c r="H194" i="40"/>
  <c r="H221" i="40" s="1" a="1"/>
  <c r="H221" i="40" s="1"/>
  <c r="AE144" i="40"/>
  <c r="AE171" i="40" s="1"/>
  <c r="H111" i="40"/>
  <c r="H192" i="40"/>
  <c r="H219" i="40" s="1" a="1"/>
  <c r="H219" i="40" s="1"/>
  <c r="BB219" i="40" s="1"/>
  <c r="H117" i="40"/>
  <c r="BB117" i="40" s="1"/>
  <c r="H198" i="40"/>
  <c r="H225" i="40" s="1" a="1"/>
  <c r="H225" i="40" s="1"/>
  <c r="W167" i="40"/>
  <c r="W302" i="40" s="1"/>
  <c r="W170" i="40"/>
  <c r="W305" i="40" s="1"/>
  <c r="AE137" i="40"/>
  <c r="H141" i="40"/>
  <c r="E138" i="40"/>
  <c r="E165" i="40" s="1"/>
  <c r="E300" i="40" s="1"/>
  <c r="L141" i="40"/>
  <c r="L168" i="40" s="1"/>
  <c r="L303" i="40" s="1"/>
  <c r="L139" i="40"/>
  <c r="L166" i="40" s="1"/>
  <c r="L301" i="40" s="1"/>
  <c r="W165" i="40"/>
  <c r="W300" i="40" s="1"/>
  <c r="G164" i="40"/>
  <c r="G299" i="40" s="1"/>
  <c r="F167" i="40"/>
  <c r="F302" i="40" s="1"/>
  <c r="D170" i="40"/>
  <c r="D305" i="40" s="1"/>
  <c r="F166" i="40"/>
  <c r="F301" i="40" s="1"/>
  <c r="E139" i="40"/>
  <c r="E166" i="40" s="1"/>
  <c r="E301" i="40" s="1"/>
  <c r="AE140" i="40"/>
  <c r="AE167" i="40" s="1"/>
  <c r="AE302" i="40" s="1"/>
  <c r="E141" i="40"/>
  <c r="D169" i="40"/>
  <c r="D304" i="40" s="1"/>
  <c r="D164" i="40"/>
  <c r="D299" i="40" s="1"/>
  <c r="C164" i="40"/>
  <c r="C299" i="40" s="1"/>
  <c r="C166" i="40"/>
  <c r="C301" i="40" s="1"/>
  <c r="G169" i="40"/>
  <c r="G304" i="40" s="1"/>
  <c r="W169" i="40"/>
  <c r="W304" i="40" s="1"/>
  <c r="C169" i="40"/>
  <c r="C304" i="40" s="1"/>
  <c r="G168" i="40"/>
  <c r="G303" i="40" s="1"/>
  <c r="G170" i="40"/>
  <c r="G305" i="40" s="1"/>
  <c r="E142" i="40"/>
  <c r="E169" i="40" s="1"/>
  <c r="E304" i="40" s="1"/>
  <c r="L140" i="40"/>
  <c r="AE138" i="40"/>
  <c r="L137" i="40"/>
  <c r="L164" i="40" s="1"/>
  <c r="L299" i="40" s="1"/>
  <c r="AE142" i="40"/>
  <c r="AE139" i="40"/>
  <c r="AE166" i="40" s="1"/>
  <c r="AE301" i="40" s="1"/>
  <c r="AE143" i="40"/>
  <c r="AE170" i="40" s="1"/>
  <c r="AE305" i="40" s="1"/>
  <c r="E143" i="40"/>
  <c r="L138" i="40"/>
  <c r="AE141" i="40"/>
  <c r="L142" i="40"/>
  <c r="L143" i="40"/>
  <c r="E140" i="40"/>
  <c r="BB87" i="40"/>
  <c r="H116" i="40"/>
  <c r="H85" i="40"/>
  <c r="H112" i="40"/>
  <c r="H115" i="40"/>
  <c r="H83" i="40"/>
  <c r="H110" i="40"/>
  <c r="E28" i="40"/>
  <c r="H88" i="40"/>
  <c r="C24" i="40"/>
  <c r="H84" i="40"/>
  <c r="C30" i="40"/>
  <c r="H90" i="40"/>
  <c r="C29" i="40"/>
  <c r="H89" i="40"/>
  <c r="BB109" i="40"/>
  <c r="E26" i="40"/>
  <c r="H86" i="40"/>
  <c r="AL24" i="33"/>
  <c r="L24" i="24"/>
  <c r="F24" i="24"/>
  <c r="I24" i="24" s="1"/>
  <c r="C25" i="40"/>
  <c r="C23" i="40"/>
  <c r="I15" i="44"/>
  <c r="U23" i="12"/>
  <c r="R23" i="12"/>
  <c r="L23" i="24"/>
  <c r="F23" i="24"/>
  <c r="I23" i="24" s="1"/>
  <c r="R31" i="40"/>
  <c r="C26" i="40"/>
  <c r="C28" i="40"/>
  <c r="E29" i="40"/>
  <c r="E30" i="40"/>
  <c r="E25" i="40"/>
  <c r="E24" i="40"/>
  <c r="E23" i="40"/>
  <c r="F27" i="40"/>
  <c r="G29" i="33"/>
  <c r="G24" i="33"/>
  <c r="C24" i="8" s="1" a="1"/>
  <c r="C24" i="8" s="1"/>
  <c r="G23" i="33"/>
  <c r="C23" i="8" s="1" a="1"/>
  <c r="C23" i="8" s="1"/>
  <c r="G28" i="33"/>
  <c r="G27" i="33"/>
  <c r="G25" i="33"/>
  <c r="G26" i="33"/>
  <c r="G30" i="33"/>
  <c r="AE306" i="40" l="1"/>
  <c r="E306" i="40"/>
  <c r="L306" i="40"/>
  <c r="BH13" i="16"/>
  <c r="BG13" i="16"/>
  <c r="AA13" i="12" s="1"/>
  <c r="C3" i="42"/>
  <c r="U24" i="12"/>
  <c r="R24" i="12"/>
  <c r="AD12" i="12"/>
  <c r="AG12" i="12" s="1"/>
  <c r="BF14" i="16"/>
  <c r="X13" i="12"/>
  <c r="H246" i="40" a="1"/>
  <c r="H246" i="40" s="1"/>
  <c r="BB246" i="40" s="1"/>
  <c r="U24" i="39" s="1"/>
  <c r="H252" i="40" a="1"/>
  <c r="H252" i="40" s="1"/>
  <c r="H248" i="40" a="1"/>
  <c r="H248" i="40" s="1"/>
  <c r="BB85" i="40"/>
  <c r="AE275" i="40"/>
  <c r="E274" i="40"/>
  <c r="D278" i="40"/>
  <c r="AE274" i="40"/>
  <c r="F275" i="40"/>
  <c r="L279" i="40"/>
  <c r="D277" i="40"/>
  <c r="G272" i="40"/>
  <c r="W273" i="40"/>
  <c r="D272" i="40"/>
  <c r="AE278" i="40"/>
  <c r="F273" i="40"/>
  <c r="L274" i="40"/>
  <c r="E277" i="40"/>
  <c r="L276" i="40"/>
  <c r="G278" i="40"/>
  <c r="E273" i="40"/>
  <c r="AE279" i="40"/>
  <c r="L272" i="40"/>
  <c r="G276" i="40"/>
  <c r="W277" i="40"/>
  <c r="W278" i="40"/>
  <c r="F274" i="40"/>
  <c r="G277" i="40"/>
  <c r="W275" i="40"/>
  <c r="C277" i="40"/>
  <c r="BB277" i="40" s="1"/>
  <c r="BB304" i="40"/>
  <c r="BB303" i="40"/>
  <c r="C274" i="40"/>
  <c r="BB274" i="40" s="1"/>
  <c r="BB301" i="40"/>
  <c r="C272" i="40"/>
  <c r="BB276" i="40"/>
  <c r="E279" i="40"/>
  <c r="BB248" i="40"/>
  <c r="BB252" i="40"/>
  <c r="BB141" i="40"/>
  <c r="L165" i="40"/>
  <c r="L300" i="40" s="1"/>
  <c r="AE165" i="40"/>
  <c r="AE300" i="40" s="1"/>
  <c r="AE168" i="40"/>
  <c r="AE303" i="40" s="1"/>
  <c r="L170" i="40"/>
  <c r="L305" i="40" s="1"/>
  <c r="E170" i="40"/>
  <c r="E305" i="40" s="1"/>
  <c r="H168" i="40"/>
  <c r="H303" i="40" s="1"/>
  <c r="L167" i="40"/>
  <c r="L302" i="40" s="1"/>
  <c r="L169" i="40"/>
  <c r="L304" i="40" s="1"/>
  <c r="E167" i="40"/>
  <c r="E302" i="40" s="1"/>
  <c r="E168" i="40"/>
  <c r="E303" i="40" s="1"/>
  <c r="AE169" i="40"/>
  <c r="AE304" i="40" s="1"/>
  <c r="AE164" i="40"/>
  <c r="AE299" i="40" s="1"/>
  <c r="H140" i="40"/>
  <c r="BB140" i="40" s="1"/>
  <c r="H138" i="40"/>
  <c r="BB138" i="40" s="1"/>
  <c r="H142" i="40"/>
  <c r="H144" i="40"/>
  <c r="H139" i="40"/>
  <c r="H166" i="40" s="1"/>
  <c r="H301" i="40" s="1"/>
  <c r="H143" i="40"/>
  <c r="H137" i="40"/>
  <c r="H164" i="40" s="1"/>
  <c r="H299" i="40" s="1"/>
  <c r="BB111" i="40"/>
  <c r="BB83" i="40"/>
  <c r="F30" i="40"/>
  <c r="F29" i="40"/>
  <c r="BB114" i="40"/>
  <c r="BB88" i="40"/>
  <c r="BB116" i="40"/>
  <c r="BB90" i="40"/>
  <c r="BB112" i="40"/>
  <c r="BB86" i="40"/>
  <c r="BB110" i="40"/>
  <c r="BB84" i="40"/>
  <c r="BB115" i="40"/>
  <c r="BB89" i="40"/>
  <c r="F26" i="40"/>
  <c r="F28" i="40"/>
  <c r="F24" i="40"/>
  <c r="I24" i="39" s="1"/>
  <c r="F24" i="39"/>
  <c r="F25" i="40"/>
  <c r="L24" i="8"/>
  <c r="F24" i="8"/>
  <c r="I24" i="8" s="1"/>
  <c r="F23" i="40"/>
  <c r="I23" i="39" s="1"/>
  <c r="F23" i="39"/>
  <c r="L23" i="8"/>
  <c r="F23" i="8"/>
  <c r="I23" i="8" s="1"/>
  <c r="H26" i="33"/>
  <c r="J26" i="33"/>
  <c r="J23" i="33"/>
  <c r="C23" i="30" s="1" a="1"/>
  <c r="C23" i="30" s="1"/>
  <c r="F23" i="30" s="1"/>
  <c r="H23" i="33"/>
  <c r="J30" i="33"/>
  <c r="H30" i="33"/>
  <c r="H25" i="33"/>
  <c r="J25" i="33"/>
  <c r="H24" i="33"/>
  <c r="C24" i="22" s="1" a="1"/>
  <c r="C24" i="22" s="1"/>
  <c r="J24" i="33"/>
  <c r="C24" i="30" s="1" a="1"/>
  <c r="C24" i="30" s="1"/>
  <c r="J29" i="33"/>
  <c r="H29" i="33"/>
  <c r="H28" i="33"/>
  <c r="J28" i="33"/>
  <c r="J27" i="33"/>
  <c r="H27" i="33"/>
  <c r="BH14" i="16" l="1"/>
  <c r="BG14" i="16"/>
  <c r="AA14" i="12" s="1"/>
  <c r="X14" i="12"/>
  <c r="AD13" i="12"/>
  <c r="AG13" i="12" s="1"/>
  <c r="BF15" i="16"/>
  <c r="BB298" i="40"/>
  <c r="AA22" i="39" s="1"/>
  <c r="L275" i="40"/>
  <c r="H276" i="40"/>
  <c r="L278" i="40"/>
  <c r="AE276" i="40"/>
  <c r="H272" i="40"/>
  <c r="AE272" i="40"/>
  <c r="AE273" i="40"/>
  <c r="L273" i="40"/>
  <c r="H274" i="40"/>
  <c r="AE277" i="40"/>
  <c r="E276" i="40"/>
  <c r="E278" i="40"/>
  <c r="E275" i="40"/>
  <c r="L277" i="40"/>
  <c r="BB168" i="40"/>
  <c r="BB193" i="40"/>
  <c r="BB137" i="40"/>
  <c r="BB143" i="40"/>
  <c r="H170" i="40"/>
  <c r="H305" i="40" s="1"/>
  <c r="BB164" i="40"/>
  <c r="BB191" i="40"/>
  <c r="H165" i="40"/>
  <c r="H167" i="40"/>
  <c r="H302" i="40" s="1"/>
  <c r="BB166" i="40"/>
  <c r="BB195" i="40"/>
  <c r="BB198" i="40"/>
  <c r="H171" i="40"/>
  <c r="H306" i="40" s="1"/>
  <c r="BB142" i="40"/>
  <c r="H169" i="40"/>
  <c r="H304" i="40" s="1"/>
  <c r="BB139" i="40"/>
  <c r="BB144" i="40"/>
  <c r="L24" i="39"/>
  <c r="L24" i="30"/>
  <c r="F24" i="30"/>
  <c r="I24" i="30" s="1"/>
  <c r="L24" i="22"/>
  <c r="F24" i="22"/>
  <c r="I24" i="22" s="1"/>
  <c r="C23" i="22" a="1"/>
  <c r="C23" i="22" s="1"/>
  <c r="F23" i="22" s="1"/>
  <c r="I23" i="22" s="1"/>
  <c r="C23" i="44" a="1"/>
  <c r="C23" i="44" s="1"/>
  <c r="F23" i="44" s="1"/>
  <c r="L23" i="39"/>
  <c r="L23" i="30"/>
  <c r="I23" i="30"/>
  <c r="D23" i="33"/>
  <c r="C23" i="13" s="1" a="1"/>
  <c r="C23" i="13" s="1"/>
  <c r="D24" i="33"/>
  <c r="C24" i="13" s="1" a="1"/>
  <c r="C24" i="13" s="1"/>
  <c r="D30" i="33"/>
  <c r="D28" i="33"/>
  <c r="D29" i="33"/>
  <c r="D25" i="33"/>
  <c r="D26" i="33"/>
  <c r="D27" i="33"/>
  <c r="C30" i="33"/>
  <c r="C25" i="33"/>
  <c r="C29" i="33"/>
  <c r="C26" i="33"/>
  <c r="C27" i="33"/>
  <c r="C24" i="33"/>
  <c r="G24" i="40" s="1" a="1"/>
  <c r="G24" i="40" s="1"/>
  <c r="B27" i="33"/>
  <c r="D27" i="40" s="1"/>
  <c r="B29" i="33"/>
  <c r="D29" i="40" s="1"/>
  <c r="C23" i="33"/>
  <c r="B23" i="33"/>
  <c r="B28" i="33"/>
  <c r="D28" i="40" s="1"/>
  <c r="C28" i="33"/>
  <c r="B25" i="33"/>
  <c r="D25" i="40" s="1"/>
  <c r="B30" i="33"/>
  <c r="D30" i="40" s="1"/>
  <c r="B24" i="33"/>
  <c r="B26" i="33"/>
  <c r="D26" i="40" s="1"/>
  <c r="B14" i="33"/>
  <c r="B15" i="33"/>
  <c r="D20" i="33"/>
  <c r="B8" i="33"/>
  <c r="C20" i="33"/>
  <c r="B20" i="33"/>
  <c r="B22" i="33"/>
  <c r="B10" i="33"/>
  <c r="D14" i="33"/>
  <c r="D15" i="33"/>
  <c r="B13" i="33"/>
  <c r="C13" i="33"/>
  <c r="D10" i="33"/>
  <c r="B18" i="33"/>
  <c r="D11" i="33"/>
  <c r="D21" i="33"/>
  <c r="D22" i="33"/>
  <c r="C22" i="13" s="1" a="1"/>
  <c r="C22" i="13" s="1"/>
  <c r="D12" i="33"/>
  <c r="D16" i="33"/>
  <c r="B9" i="33"/>
  <c r="C11" i="33"/>
  <c r="C14" i="33"/>
  <c r="B16" i="33"/>
  <c r="C17" i="33"/>
  <c r="B7" i="33"/>
  <c r="D19" i="33"/>
  <c r="C19" i="13" s="1" a="1"/>
  <c r="C19" i="13" s="1"/>
  <c r="C22" i="33"/>
  <c r="B11" i="33"/>
  <c r="D18" i="33"/>
  <c r="C19" i="33"/>
  <c r="C10" i="33"/>
  <c r="B12" i="33"/>
  <c r="C8" i="33"/>
  <c r="B19" i="33"/>
  <c r="D17" i="33"/>
  <c r="C21" i="33"/>
  <c r="C15" i="33"/>
  <c r="G15" i="40" s="1" a="1"/>
  <c r="G15" i="40" s="1"/>
  <c r="C16" i="33"/>
  <c r="B21" i="33"/>
  <c r="C12" i="33"/>
  <c r="D9" i="33"/>
  <c r="D8" i="33"/>
  <c r="B17" i="33"/>
  <c r="C18" i="33"/>
  <c r="D13" i="33"/>
  <c r="C9" i="33"/>
  <c r="BB299" i="40" l="1"/>
  <c r="AA23" i="39" s="1"/>
  <c r="H300" i="40"/>
  <c r="BG15" i="16"/>
  <c r="AA15" i="12" s="1"/>
  <c r="BH15" i="16"/>
  <c r="X15" i="12" s="1"/>
  <c r="D14" i="40"/>
  <c r="C14" i="39" s="1"/>
  <c r="D17" i="40"/>
  <c r="C17" i="39" s="1"/>
  <c r="D23" i="40"/>
  <c r="C23" i="39" s="1"/>
  <c r="D22" i="40"/>
  <c r="C22" i="39" s="1"/>
  <c r="D11" i="40"/>
  <c r="C11" i="39" s="1"/>
  <c r="C8" i="39"/>
  <c r="D20" i="40"/>
  <c r="C20" i="39" s="1"/>
  <c r="D21" i="40"/>
  <c r="C21" i="39" s="1"/>
  <c r="D10" i="40"/>
  <c r="C10" i="39" s="1"/>
  <c r="D9" i="40"/>
  <c r="C9" i="39" s="1"/>
  <c r="D7" i="40"/>
  <c r="C7" i="39" s="1"/>
  <c r="D15" i="40"/>
  <c r="C15" i="39" s="1"/>
  <c r="D24" i="40"/>
  <c r="C24" i="39" s="1"/>
  <c r="D19" i="40"/>
  <c r="C19" i="39" s="1"/>
  <c r="D18" i="40"/>
  <c r="C18" i="39" s="1"/>
  <c r="D16" i="40"/>
  <c r="C16" i="39" s="1"/>
  <c r="D12" i="40"/>
  <c r="C12" i="39" s="1"/>
  <c r="D13" i="40"/>
  <c r="C13" i="39" s="1"/>
  <c r="C23" i="2" a="1"/>
  <c r="C23" i="2" s="1"/>
  <c r="L23" i="2" s="1"/>
  <c r="AD14" i="12"/>
  <c r="AG14" i="12" s="1"/>
  <c r="R23" i="39"/>
  <c r="BF16" i="16"/>
  <c r="BB272" i="40"/>
  <c r="BB165" i="40"/>
  <c r="BB169" i="40"/>
  <c r="H277" i="40"/>
  <c r="BB170" i="40"/>
  <c r="H278" i="40"/>
  <c r="BB171" i="40"/>
  <c r="H279" i="40"/>
  <c r="BB167" i="40"/>
  <c r="H275" i="40"/>
  <c r="BB192" i="40"/>
  <c r="H273" i="40"/>
  <c r="BB196" i="40"/>
  <c r="BB194" i="40"/>
  <c r="BB197" i="40"/>
  <c r="G16" i="40" a="1"/>
  <c r="G16" i="40" s="1"/>
  <c r="G14" i="40" a="1"/>
  <c r="G14" i="40" s="1"/>
  <c r="G11" i="40" a="1"/>
  <c r="G11" i="40" s="1"/>
  <c r="G18" i="40" a="1"/>
  <c r="G18" i="40" s="1"/>
  <c r="G29" i="40" a="1"/>
  <c r="G29" i="40" s="1"/>
  <c r="G25" i="40" a="1"/>
  <c r="G25" i="40" s="1"/>
  <c r="G20" i="40" a="1"/>
  <c r="G20" i="40" s="1"/>
  <c r="G22" i="40" a="1"/>
  <c r="G22" i="40" s="1"/>
  <c r="G23" i="40" a="1"/>
  <c r="G23" i="40" s="1"/>
  <c r="G12" i="40" a="1"/>
  <c r="G12" i="40" s="1"/>
  <c r="G9" i="40" a="1"/>
  <c r="G9" i="40" s="1"/>
  <c r="AG9" i="39" s="1"/>
  <c r="G19" i="40" a="1"/>
  <c r="G19" i="40" s="1"/>
  <c r="C24" i="7" a="1"/>
  <c r="C24" i="7" s="1"/>
  <c r="I24" i="7" s="1"/>
  <c r="G27" i="40" a="1"/>
  <c r="G27" i="40" s="1"/>
  <c r="G21" i="40" a="1"/>
  <c r="G21" i="40" s="1"/>
  <c r="G13" i="40" a="1"/>
  <c r="G13" i="40" s="1"/>
  <c r="G10" i="40" a="1"/>
  <c r="G10" i="40" s="1"/>
  <c r="AG10" i="39" s="1"/>
  <c r="C24" i="2" a="1"/>
  <c r="C24" i="2" s="1"/>
  <c r="F24" i="2" s="1"/>
  <c r="F24" i="13"/>
  <c r="L24" i="13"/>
  <c r="O24" i="13"/>
  <c r="I24" i="13"/>
  <c r="L23" i="22"/>
  <c r="G30" i="40" a="1"/>
  <c r="G30" i="40" s="1"/>
  <c r="G28" i="40" a="1"/>
  <c r="G28" i="40" s="1"/>
  <c r="G26" i="40" a="1"/>
  <c r="G26" i="40" s="1"/>
  <c r="C17" i="7" a="1"/>
  <c r="C17" i="7" s="1"/>
  <c r="L17" i="7" s="1"/>
  <c r="G17" i="40" a="1"/>
  <c r="G17" i="40" s="1"/>
  <c r="L22" i="13"/>
  <c r="I22" i="13"/>
  <c r="O22" i="13"/>
  <c r="I23" i="13"/>
  <c r="O23" i="13"/>
  <c r="L19" i="13"/>
  <c r="O19" i="13"/>
  <c r="I19" i="13"/>
  <c r="L23" i="44"/>
  <c r="L23" i="13"/>
  <c r="F23" i="13"/>
  <c r="C23" i="7" a="1"/>
  <c r="C23" i="7" s="1"/>
  <c r="K26" i="33"/>
  <c r="K29" i="33"/>
  <c r="K24" i="33"/>
  <c r="K27" i="33"/>
  <c r="K30" i="33"/>
  <c r="K25" i="33"/>
  <c r="C9" i="2" a="1"/>
  <c r="C9" i="2" s="1"/>
  <c r="L9" i="2" s="1"/>
  <c r="C17" i="2" a="1"/>
  <c r="C17" i="2" s="1"/>
  <c r="L17" i="2" s="1"/>
  <c r="K28" i="33"/>
  <c r="C16" i="2" a="1"/>
  <c r="C16" i="2" s="1"/>
  <c r="L16" i="2" s="1"/>
  <c r="C18" i="2" a="1"/>
  <c r="C18" i="2" s="1"/>
  <c r="L18" i="2" s="1"/>
  <c r="C15" i="2" a="1"/>
  <c r="C15" i="2" s="1"/>
  <c r="L15" i="2" s="1"/>
  <c r="K23" i="33"/>
  <c r="C14" i="2" a="1"/>
  <c r="C14" i="2" s="1"/>
  <c r="L14" i="2" s="1"/>
  <c r="C7" i="2" a="1"/>
  <c r="C7" i="2" s="1"/>
  <c r="L7" i="2" s="1"/>
  <c r="I7" i="42" s="1" a="1"/>
  <c r="I7" i="42" s="1"/>
  <c r="C18" i="7" a="1"/>
  <c r="C18" i="7" s="1"/>
  <c r="C12" i="13" a="1"/>
  <c r="C12" i="13" s="1"/>
  <c r="K21" i="33"/>
  <c r="K15" i="33"/>
  <c r="C10" i="13" a="1"/>
  <c r="C10" i="13" s="1"/>
  <c r="C13" i="2" a="1"/>
  <c r="C13" i="2" s="1"/>
  <c r="L13" i="2" s="1"/>
  <c r="C21" i="13" a="1"/>
  <c r="C21" i="13" s="1"/>
  <c r="C9" i="7" a="1"/>
  <c r="C9" i="7" s="1"/>
  <c r="C16" i="13" a="1"/>
  <c r="C16" i="13" s="1"/>
  <c r="K17" i="33"/>
  <c r="C19" i="7" a="1"/>
  <c r="C19" i="7" s="1"/>
  <c r="K10" i="33"/>
  <c r="C13" i="7" a="1"/>
  <c r="C13" i="7" s="1"/>
  <c r="C8" i="7" a="1"/>
  <c r="C8" i="7" s="1"/>
  <c r="C10" i="7" a="1"/>
  <c r="C10" i="7" s="1"/>
  <c r="C11" i="7" a="1"/>
  <c r="C11" i="7" s="1"/>
  <c r="C15" i="13" a="1"/>
  <c r="C15" i="13" s="1"/>
  <c r="C13" i="13" a="1"/>
  <c r="C13" i="13" s="1"/>
  <c r="C17" i="13" a="1"/>
  <c r="C17" i="13" s="1"/>
  <c r="C20" i="7" a="1"/>
  <c r="C20" i="7" s="1"/>
  <c r="C18" i="13" a="1"/>
  <c r="C18" i="13" s="1"/>
  <c r="C14" i="13" a="1"/>
  <c r="C14" i="13" s="1"/>
  <c r="F19" i="13"/>
  <c r="K18" i="33"/>
  <c r="C15" i="7" a="1"/>
  <c r="C15" i="7" s="1"/>
  <c r="K12" i="33"/>
  <c r="K16" i="33"/>
  <c r="C12" i="2" a="1"/>
  <c r="C12" i="2" s="1"/>
  <c r="L12" i="2" s="1"/>
  <c r="K13" i="33"/>
  <c r="C9" i="13" a="1"/>
  <c r="C9" i="13" s="1"/>
  <c r="C21" i="7" a="1"/>
  <c r="C21" i="7" s="1"/>
  <c r="K19" i="33"/>
  <c r="C19" i="2" a="1"/>
  <c r="C19" i="2" s="1"/>
  <c r="L19" i="2" s="1"/>
  <c r="K7" i="33"/>
  <c r="C11" i="13" a="1"/>
  <c r="C11" i="13" s="1"/>
  <c r="C10" i="2" a="1"/>
  <c r="C10" i="2" s="1"/>
  <c r="L10" i="2" s="1"/>
  <c r="K11" i="33"/>
  <c r="C11" i="2" a="1"/>
  <c r="C11" i="2" s="1"/>
  <c r="L11" i="2" s="1"/>
  <c r="C14" i="7" a="1"/>
  <c r="C14" i="7" s="1"/>
  <c r="K22" i="33"/>
  <c r="C22" i="2" a="1"/>
  <c r="C22" i="2" s="1"/>
  <c r="L22" i="2" s="1"/>
  <c r="C21" i="2" a="1"/>
  <c r="C21" i="2" s="1"/>
  <c r="L21" i="2" s="1"/>
  <c r="K20" i="33"/>
  <c r="C20" i="2" a="1"/>
  <c r="C20" i="2" s="1"/>
  <c r="L20" i="2" s="1"/>
  <c r="C8" i="13" a="1"/>
  <c r="C8" i="13" s="1"/>
  <c r="C12" i="7" a="1"/>
  <c r="C12" i="7" s="1"/>
  <c r="C16" i="7" a="1"/>
  <c r="C16" i="7" s="1"/>
  <c r="C22" i="7" a="1"/>
  <c r="C22" i="7" s="1"/>
  <c r="K9" i="33"/>
  <c r="F22" i="13"/>
  <c r="K8" i="33"/>
  <c r="C8" i="2" a="1"/>
  <c r="C8" i="2" s="1"/>
  <c r="L8" i="2" s="1"/>
  <c r="C20" i="13" a="1"/>
  <c r="C20" i="13" s="1"/>
  <c r="K14" i="33"/>
  <c r="BG16" i="16" l="1"/>
  <c r="AA16" i="12" s="1"/>
  <c r="BH16" i="16"/>
  <c r="C7" i="42" a="1"/>
  <c r="C7" i="42" s="1"/>
  <c r="C24" i="42" a="1"/>
  <c r="C24" i="42" s="1"/>
  <c r="C17" i="42" a="1"/>
  <c r="C17" i="42" s="1"/>
  <c r="C14" i="42" a="1"/>
  <c r="C14" i="42" s="1"/>
  <c r="C16" i="42" a="1"/>
  <c r="C16" i="42" s="1"/>
  <c r="C15" i="42" a="1"/>
  <c r="C15" i="42" s="1"/>
  <c r="C22" i="42" a="1"/>
  <c r="C22" i="42" s="1"/>
  <c r="C18" i="42" a="1"/>
  <c r="C18" i="42" s="1"/>
  <c r="C20" i="42" a="1"/>
  <c r="C20" i="42" s="1"/>
  <c r="C11" i="42" a="1"/>
  <c r="C11" i="42" s="1"/>
  <c r="C21" i="42" a="1"/>
  <c r="C21" i="42" s="1"/>
  <c r="C10" i="42" a="1"/>
  <c r="C10" i="42" s="1"/>
  <c r="C8" i="42" a="1"/>
  <c r="C8" i="42" s="1"/>
  <c r="C13" i="42" a="1"/>
  <c r="C13" i="42" s="1"/>
  <c r="F23" i="2"/>
  <c r="I23" i="2" s="1"/>
  <c r="C9" i="42" a="1"/>
  <c r="C9" i="42" s="1"/>
  <c r="C23" i="42" a="1"/>
  <c r="C23" i="42" s="1"/>
  <c r="C19" i="42" a="1"/>
  <c r="C19" i="42" s="1"/>
  <c r="X16" i="12"/>
  <c r="AD15" i="12"/>
  <c r="AG15" i="12" s="1"/>
  <c r="BF17" i="16"/>
  <c r="R24" i="39"/>
  <c r="X24" i="39" s="1"/>
  <c r="L24" i="7"/>
  <c r="F24" i="7"/>
  <c r="BB300" i="40"/>
  <c r="AA24" i="39" s="1"/>
  <c r="BB273" i="40"/>
  <c r="O24" i="7"/>
  <c r="O14" i="39"/>
  <c r="O19" i="39"/>
  <c r="O21" i="39"/>
  <c r="O16" i="39"/>
  <c r="O20" i="39"/>
  <c r="O22" i="39"/>
  <c r="L24" i="2"/>
  <c r="O17" i="39"/>
  <c r="U24" i="13"/>
  <c r="R24" i="13"/>
  <c r="O24" i="39"/>
  <c r="I24" i="2"/>
  <c r="F17" i="7"/>
  <c r="I17" i="7"/>
  <c r="O17" i="7"/>
  <c r="L16" i="7"/>
  <c r="O16" i="7"/>
  <c r="I16" i="7"/>
  <c r="L12" i="7"/>
  <c r="O12" i="7"/>
  <c r="AA12" i="7" s="1"/>
  <c r="I12" i="7"/>
  <c r="L21" i="7"/>
  <c r="O21" i="7"/>
  <c r="I21" i="7"/>
  <c r="O15" i="13"/>
  <c r="AA15" i="13" s="1"/>
  <c r="I15" i="13"/>
  <c r="X15" i="13" s="1"/>
  <c r="O12" i="13"/>
  <c r="AA12" i="13" s="1"/>
  <c r="I12" i="13"/>
  <c r="X12" i="13" s="1"/>
  <c r="O10" i="13"/>
  <c r="AA10" i="13" s="1"/>
  <c r="I10" i="13"/>
  <c r="X10" i="13" s="1"/>
  <c r="L20" i="13"/>
  <c r="O20" i="13"/>
  <c r="I20" i="13"/>
  <c r="L14" i="7"/>
  <c r="O14" i="7"/>
  <c r="AA14" i="7" s="1"/>
  <c r="I14" i="7"/>
  <c r="O19" i="7"/>
  <c r="I19" i="7"/>
  <c r="O11" i="7"/>
  <c r="AA11" i="7" s="1"/>
  <c r="I11" i="7"/>
  <c r="L9" i="13"/>
  <c r="O9" i="13"/>
  <c r="AA9" i="13" s="1"/>
  <c r="I9" i="13"/>
  <c r="L10" i="7"/>
  <c r="O10" i="7"/>
  <c r="AA10" i="7" s="1"/>
  <c r="I10" i="7"/>
  <c r="X10" i="7" s="1"/>
  <c r="O16" i="13"/>
  <c r="I16" i="13"/>
  <c r="L18" i="7"/>
  <c r="O18" i="7"/>
  <c r="I18" i="7"/>
  <c r="L17" i="13"/>
  <c r="O17" i="13"/>
  <c r="I17" i="13"/>
  <c r="F13" i="13"/>
  <c r="O13" i="13"/>
  <c r="AA13" i="13" s="1"/>
  <c r="I13" i="13"/>
  <c r="X13" i="13" s="1"/>
  <c r="L8" i="13"/>
  <c r="O8" i="13"/>
  <c r="AA8" i="13" s="1"/>
  <c r="I8" i="13"/>
  <c r="O14" i="13"/>
  <c r="AA14" i="13" s="1"/>
  <c r="I14" i="13"/>
  <c r="X14" i="13" s="1"/>
  <c r="O9" i="7"/>
  <c r="AA9" i="7" s="1"/>
  <c r="I9" i="7"/>
  <c r="X9" i="7" s="1"/>
  <c r="L11" i="13"/>
  <c r="O11" i="13"/>
  <c r="AA11" i="13" s="1"/>
  <c r="I11" i="13"/>
  <c r="L15" i="7"/>
  <c r="I15" i="7"/>
  <c r="O15" i="7"/>
  <c r="AA15" i="7" s="1"/>
  <c r="O18" i="13"/>
  <c r="I18" i="13"/>
  <c r="I8" i="7"/>
  <c r="X8" i="7" s="1"/>
  <c r="O8" i="7"/>
  <c r="AA8" i="7" s="1"/>
  <c r="O21" i="13"/>
  <c r="I21" i="13"/>
  <c r="L22" i="7"/>
  <c r="O22" i="7"/>
  <c r="I22" i="7"/>
  <c r="O20" i="7"/>
  <c r="I20" i="7"/>
  <c r="L13" i="7"/>
  <c r="I13" i="7"/>
  <c r="X13" i="7" s="1"/>
  <c r="O13" i="7"/>
  <c r="AA13" i="7" s="1"/>
  <c r="O23" i="7"/>
  <c r="I23" i="7"/>
  <c r="I23" i="44"/>
  <c r="U23" i="13"/>
  <c r="R23" i="13"/>
  <c r="O23" i="39"/>
  <c r="L23" i="7"/>
  <c r="F23" i="7"/>
  <c r="O10" i="39"/>
  <c r="O15" i="39"/>
  <c r="O13" i="39"/>
  <c r="O9" i="39"/>
  <c r="O11" i="39"/>
  <c r="O18" i="39"/>
  <c r="F9" i="2"/>
  <c r="F16" i="2"/>
  <c r="F14" i="2"/>
  <c r="F18" i="2"/>
  <c r="F17" i="2"/>
  <c r="F7" i="2"/>
  <c r="E7" i="42" s="1" a="1"/>
  <c r="E7" i="42" s="1"/>
  <c r="F7" i="42" s="1"/>
  <c r="F15" i="2"/>
  <c r="F12" i="13"/>
  <c r="AG11" i="39"/>
  <c r="AG12" i="39"/>
  <c r="AG15" i="39"/>
  <c r="AG13" i="39"/>
  <c r="AG14" i="39"/>
  <c r="L10" i="13"/>
  <c r="F18" i="13"/>
  <c r="L18" i="13"/>
  <c r="F8" i="7"/>
  <c r="L8" i="7"/>
  <c r="F21" i="13"/>
  <c r="L21" i="13"/>
  <c r="L20" i="7"/>
  <c r="F10" i="13"/>
  <c r="L15" i="13"/>
  <c r="L11" i="7"/>
  <c r="L13" i="13"/>
  <c r="L16" i="13"/>
  <c r="L12" i="13"/>
  <c r="L19" i="7"/>
  <c r="F14" i="13"/>
  <c r="L14" i="13"/>
  <c r="F9" i="7"/>
  <c r="L9" i="7"/>
  <c r="F17" i="13"/>
  <c r="F18" i="7"/>
  <c r="F15" i="13"/>
  <c r="F13" i="7"/>
  <c r="F11" i="7"/>
  <c r="R19" i="13"/>
  <c r="F16" i="13"/>
  <c r="F13" i="2"/>
  <c r="F19" i="7"/>
  <c r="F20" i="7"/>
  <c r="F10" i="7"/>
  <c r="F22" i="7"/>
  <c r="F14" i="7"/>
  <c r="F10" i="2"/>
  <c r="F11" i="13"/>
  <c r="F9" i="13"/>
  <c r="F20" i="2"/>
  <c r="F22" i="2"/>
  <c r="L16" i="33"/>
  <c r="L28" i="33"/>
  <c r="L11" i="33"/>
  <c r="L30" i="33"/>
  <c r="L15" i="33"/>
  <c r="L27" i="33"/>
  <c r="L23" i="33"/>
  <c r="L7" i="33"/>
  <c r="L13" i="33"/>
  <c r="L25" i="33"/>
  <c r="L12" i="33"/>
  <c r="L20" i="33"/>
  <c r="L26" i="33"/>
  <c r="L19" i="33"/>
  <c r="L14" i="33"/>
  <c r="L22" i="33"/>
  <c r="L8" i="33"/>
  <c r="L18" i="33"/>
  <c r="L29" i="33"/>
  <c r="L9" i="33"/>
  <c r="L17" i="33"/>
  <c r="L24" i="33"/>
  <c r="L10" i="33"/>
  <c r="L21" i="33"/>
  <c r="F12" i="2"/>
  <c r="F12" i="7"/>
  <c r="F19" i="2"/>
  <c r="F8" i="13"/>
  <c r="F15" i="7"/>
  <c r="F20" i="13"/>
  <c r="F16" i="7"/>
  <c r="F21" i="2"/>
  <c r="U22" i="13"/>
  <c r="F8" i="2"/>
  <c r="F11" i="2"/>
  <c r="F21" i="7"/>
  <c r="U19" i="13"/>
  <c r="R22" i="13"/>
  <c r="BH17" i="16" l="1"/>
  <c r="BG17" i="16"/>
  <c r="AA17" i="13" s="1"/>
  <c r="X17" i="13"/>
  <c r="AA16" i="7"/>
  <c r="AG16" i="39"/>
  <c r="AA16" i="13"/>
  <c r="O12" i="39"/>
  <c r="C12" i="42" a="1"/>
  <c r="C12" i="42" s="1"/>
  <c r="D14" i="42" s="1"/>
  <c r="AD16" i="12"/>
  <c r="AG16" i="12" s="1"/>
  <c r="BF18" i="16"/>
  <c r="X16" i="13"/>
  <c r="AD10" i="39"/>
  <c r="AJ10" i="39" s="1"/>
  <c r="AM10" i="39" s="1"/>
  <c r="X10" i="39"/>
  <c r="AD9" i="39"/>
  <c r="AJ9" i="39" s="1"/>
  <c r="AM9" i="39" s="1"/>
  <c r="X18" i="39"/>
  <c r="X21" i="39"/>
  <c r="R24" i="7"/>
  <c r="E24" i="42" s="1" a="1"/>
  <c r="E24" i="42" s="1"/>
  <c r="U24" i="7"/>
  <c r="G24" i="42" s="1" a="1"/>
  <c r="G24" i="42" s="1"/>
  <c r="X23" i="39"/>
  <c r="U17" i="7"/>
  <c r="R17" i="7"/>
  <c r="AD15" i="13"/>
  <c r="AG15" i="13" s="1"/>
  <c r="I13" i="2"/>
  <c r="I15" i="2"/>
  <c r="I9" i="2"/>
  <c r="I17" i="2"/>
  <c r="I16" i="2"/>
  <c r="I18" i="2"/>
  <c r="I14" i="2"/>
  <c r="U23" i="7"/>
  <c r="G23" i="42" s="1" a="1"/>
  <c r="G23" i="42" s="1"/>
  <c r="R23" i="7"/>
  <c r="AD9" i="7"/>
  <c r="AG9" i="7" s="1"/>
  <c r="R15" i="13"/>
  <c r="I7" i="2"/>
  <c r="G7" i="42" s="1" a="1"/>
  <c r="G7" i="42" s="1"/>
  <c r="H11" i="42" s="1"/>
  <c r="AD12" i="13"/>
  <c r="AG12" i="13" s="1"/>
  <c r="U15" i="13"/>
  <c r="U12" i="13"/>
  <c r="X17" i="39"/>
  <c r="U10" i="13"/>
  <c r="U9" i="7"/>
  <c r="U18" i="7"/>
  <c r="U16" i="13"/>
  <c r="R12" i="13"/>
  <c r="U21" i="13"/>
  <c r="R21" i="13"/>
  <c r="AD8" i="7"/>
  <c r="AG8" i="7" s="1"/>
  <c r="R8" i="7"/>
  <c r="U8" i="7"/>
  <c r="AD13" i="13"/>
  <c r="AG13" i="13" s="1"/>
  <c r="R9" i="7"/>
  <c r="U13" i="7"/>
  <c r="R13" i="7"/>
  <c r="R10" i="13"/>
  <c r="AD10" i="13"/>
  <c r="AG10" i="13" s="1"/>
  <c r="R18" i="7"/>
  <c r="AD13" i="7"/>
  <c r="AG13" i="7" s="1"/>
  <c r="U17" i="13"/>
  <c r="R19" i="7"/>
  <c r="U13" i="13"/>
  <c r="R16" i="13"/>
  <c r="R18" i="13"/>
  <c r="U18" i="13"/>
  <c r="R13" i="13"/>
  <c r="X9" i="39"/>
  <c r="U20" i="7"/>
  <c r="U19" i="7"/>
  <c r="R11" i="7"/>
  <c r="X11" i="7"/>
  <c r="AD11" i="7" s="1"/>
  <c r="AG11" i="7" s="1"/>
  <c r="U11" i="7"/>
  <c r="AD10" i="7"/>
  <c r="AG10" i="7" s="1"/>
  <c r="R20" i="13"/>
  <c r="R22" i="7"/>
  <c r="U22" i="7"/>
  <c r="U21" i="7"/>
  <c r="U20" i="13"/>
  <c r="R20" i="7"/>
  <c r="R17" i="13"/>
  <c r="AD14" i="13"/>
  <c r="AG14" i="13" s="1"/>
  <c r="R14" i="13"/>
  <c r="R14" i="7"/>
  <c r="U14" i="13"/>
  <c r="R10" i="7"/>
  <c r="R8" i="13"/>
  <c r="U10" i="7"/>
  <c r="X22" i="39"/>
  <c r="R16" i="7"/>
  <c r="I12" i="2"/>
  <c r="X9" i="13"/>
  <c r="AD9" i="13" s="1"/>
  <c r="AG9" i="13" s="1"/>
  <c r="U9" i="13"/>
  <c r="I22" i="2"/>
  <c r="X16" i="7"/>
  <c r="U16" i="7"/>
  <c r="R15" i="7"/>
  <c r="J7" i="42"/>
  <c r="D9" i="42"/>
  <c r="D7" i="42"/>
  <c r="D10" i="42"/>
  <c r="D11" i="42"/>
  <c r="D8" i="42"/>
  <c r="AD16" i="39"/>
  <c r="X16" i="39"/>
  <c r="I20" i="2"/>
  <c r="AD15" i="39"/>
  <c r="AJ15" i="39" s="1"/>
  <c r="AM15" i="39" s="1"/>
  <c r="X15" i="39"/>
  <c r="I21" i="2"/>
  <c r="X8" i="13"/>
  <c r="AD8" i="13" s="1"/>
  <c r="AG8" i="13" s="1"/>
  <c r="U8" i="13"/>
  <c r="U12" i="7"/>
  <c r="X12" i="7"/>
  <c r="AD12" i="7" s="1"/>
  <c r="AG12" i="7" s="1"/>
  <c r="X20" i="39"/>
  <c r="X19" i="39"/>
  <c r="U14" i="7"/>
  <c r="X14" i="7"/>
  <c r="AD14" i="7" s="1"/>
  <c r="AG14" i="7" s="1"/>
  <c r="AD13" i="39"/>
  <c r="AJ13" i="39" s="1"/>
  <c r="AM13" i="39" s="1"/>
  <c r="X13" i="39"/>
  <c r="X12" i="39"/>
  <c r="AD12" i="39"/>
  <c r="AJ12" i="39" s="1"/>
  <c r="I11" i="2"/>
  <c r="R12" i="7"/>
  <c r="U15" i="7"/>
  <c r="X15" i="7"/>
  <c r="AD15" i="7" s="1"/>
  <c r="AG15" i="7" s="1"/>
  <c r="R21" i="7"/>
  <c r="AD14" i="39"/>
  <c r="AJ14" i="39" s="1"/>
  <c r="AM14" i="39" s="1"/>
  <c r="X14" i="39"/>
  <c r="I8" i="2"/>
  <c r="I19" i="2"/>
  <c r="AD11" i="39"/>
  <c r="AJ11" i="39" s="1"/>
  <c r="AM11" i="39" s="1"/>
  <c r="X11" i="39"/>
  <c r="R9" i="13"/>
  <c r="R11" i="13"/>
  <c r="I10" i="2"/>
  <c r="X11" i="13"/>
  <c r="AD11" i="13" s="1"/>
  <c r="AG11" i="13" s="1"/>
  <c r="U11" i="13"/>
  <c r="BG18" i="16" l="1"/>
  <c r="BH18" i="16"/>
  <c r="D24" i="42"/>
  <c r="D12" i="42"/>
  <c r="AD16" i="7"/>
  <c r="AG16" i="7" s="1"/>
  <c r="AJ16" i="39"/>
  <c r="AM16" i="39" s="1"/>
  <c r="D21" i="42"/>
  <c r="G16" i="42" a="1"/>
  <c r="G16" i="42" s="1"/>
  <c r="AD16" i="13"/>
  <c r="AG16" i="13" s="1"/>
  <c r="D17" i="42"/>
  <c r="E12" i="42" a="1"/>
  <c r="E12" i="42" s="1"/>
  <c r="E13" i="42" a="1"/>
  <c r="E13" i="42" s="1"/>
  <c r="D16" i="42"/>
  <c r="E8" i="42" a="1"/>
  <c r="E8" i="42" s="1"/>
  <c r="D23" i="42"/>
  <c r="G22" i="42" a="1"/>
  <c r="G22" i="42" s="1"/>
  <c r="AM12" i="39"/>
  <c r="I12" i="42" s="1" a="1"/>
  <c r="I12" i="42" s="1"/>
  <c r="E21" i="42" a="1"/>
  <c r="E21" i="42" s="1"/>
  <c r="G18" i="42" a="1"/>
  <c r="G18" i="42" s="1"/>
  <c r="I13" i="42" a="1"/>
  <c r="I13" i="42" s="1"/>
  <c r="G21" i="42" a="1"/>
  <c r="G21" i="42" s="1"/>
  <c r="E20" i="42" a="1"/>
  <c r="E20" i="42" s="1"/>
  <c r="G19" i="42" a="1"/>
  <c r="G19" i="42" s="1"/>
  <c r="G12" i="42" a="1"/>
  <c r="G12" i="42" s="1"/>
  <c r="E18" i="42" a="1"/>
  <c r="E18" i="42" s="1"/>
  <c r="G14" i="42" a="1"/>
  <c r="G14" i="42" s="1"/>
  <c r="I15" i="42" a="1"/>
  <c r="I15" i="42" s="1"/>
  <c r="G11" i="42" a="1"/>
  <c r="G11" i="42" s="1"/>
  <c r="E11" i="42" a="1"/>
  <c r="E11" i="42" s="1"/>
  <c r="E15" i="42" a="1"/>
  <c r="E15" i="42" s="1"/>
  <c r="G9" i="42" a="1"/>
  <c r="G9" i="42" s="1"/>
  <c r="E17" i="42" a="1"/>
  <c r="E17" i="42" s="1"/>
  <c r="G17" i="42" a="1"/>
  <c r="G17" i="42" s="1"/>
  <c r="E23" i="42" a="1"/>
  <c r="E23" i="42" s="1"/>
  <c r="E19" i="42" a="1"/>
  <c r="E19" i="42" s="1"/>
  <c r="I9" i="42" a="1"/>
  <c r="I9" i="42" s="1"/>
  <c r="I11" i="42" a="1"/>
  <c r="I11" i="42" s="1"/>
  <c r="G13" i="42" a="1"/>
  <c r="G13" i="42" s="1"/>
  <c r="E10" i="42" a="1"/>
  <c r="E10" i="42" s="1"/>
  <c r="I10" i="42" a="1"/>
  <c r="I10" i="42" s="1"/>
  <c r="I8" i="42" a="1"/>
  <c r="I8" i="42" s="1"/>
  <c r="G8" i="42" a="1"/>
  <c r="G8" i="42" s="1"/>
  <c r="H8" i="42" s="1"/>
  <c r="E16" i="42" a="1"/>
  <c r="E16" i="42" s="1"/>
  <c r="G20" i="42" a="1"/>
  <c r="G20" i="42" s="1"/>
  <c r="E9" i="42" a="1"/>
  <c r="E9" i="42" s="1"/>
  <c r="G15" i="42" a="1"/>
  <c r="G15" i="42" s="1"/>
  <c r="I14" i="42" a="1"/>
  <c r="I14" i="42" s="1"/>
  <c r="E22" i="42" a="1"/>
  <c r="E22" i="42" s="1"/>
  <c r="G10" i="42" a="1"/>
  <c r="G10" i="42" s="1"/>
  <c r="E14" i="42" a="1"/>
  <c r="E14" i="42" s="1"/>
  <c r="D18" i="42"/>
  <c r="D15" i="42"/>
  <c r="D22" i="42"/>
  <c r="D19" i="42"/>
  <c r="D13" i="42"/>
  <c r="D20" i="42"/>
  <c r="AA17" i="7"/>
  <c r="AD17" i="13"/>
  <c r="AG17" i="13" s="1"/>
  <c r="AA17" i="12"/>
  <c r="AG17" i="39"/>
  <c r="X17" i="12"/>
  <c r="AD17" i="39"/>
  <c r="X17" i="7"/>
  <c r="BF19" i="16"/>
  <c r="H7" i="42"/>
  <c r="BH19" i="16" l="1"/>
  <c r="BG19" i="16"/>
  <c r="I16" i="42" a="1"/>
  <c r="I16" i="42" s="1"/>
  <c r="J16" i="42" s="1"/>
  <c r="AD17" i="7"/>
  <c r="AG17" i="7" s="1"/>
  <c r="AJ17" i="39"/>
  <c r="AM17" i="39" s="1"/>
  <c r="AA18" i="12"/>
  <c r="AG18" i="39"/>
  <c r="AA18" i="7"/>
  <c r="AA18" i="13"/>
  <c r="BF20" i="16"/>
  <c r="X18" i="12"/>
  <c r="AD18" i="39"/>
  <c r="X18" i="7"/>
  <c r="X18" i="13"/>
  <c r="AD17" i="12"/>
  <c r="AG17" i="12" s="1"/>
  <c r="H24" i="42"/>
  <c r="F24" i="42"/>
  <c r="F8" i="42"/>
  <c r="F23" i="42"/>
  <c r="J8" i="42"/>
  <c r="H23" i="42"/>
  <c r="J9" i="42"/>
  <c r="J10" i="42"/>
  <c r="F21" i="42"/>
  <c r="J12" i="42"/>
  <c r="J13" i="42"/>
  <c r="J14" i="42"/>
  <c r="H17" i="42"/>
  <c r="H9" i="42"/>
  <c r="H13" i="42"/>
  <c r="H14" i="42"/>
  <c r="H21" i="42"/>
  <c r="H22" i="42"/>
  <c r="H18" i="42"/>
  <c r="F10" i="42"/>
  <c r="F12" i="42"/>
  <c r="F9" i="42"/>
  <c r="F11" i="42"/>
  <c r="F15" i="42"/>
  <c r="F16" i="42"/>
  <c r="F19" i="42"/>
  <c r="F18" i="42"/>
  <c r="F22" i="42"/>
  <c r="F13" i="42"/>
  <c r="H10" i="42"/>
  <c r="H15" i="42"/>
  <c r="F14" i="42"/>
  <c r="H12" i="42"/>
  <c r="J15" i="42"/>
  <c r="F20" i="42"/>
  <c r="H16" i="42"/>
  <c r="H19" i="42"/>
  <c r="J11" i="42"/>
  <c r="H20" i="42"/>
  <c r="F17" i="42"/>
  <c r="BH20" i="16" l="1"/>
  <c r="BG20" i="16"/>
  <c r="I17" i="42" a="1"/>
  <c r="I17" i="42" s="1"/>
  <c r="J17" i="42" s="1"/>
  <c r="AD18" i="7"/>
  <c r="AG18" i="7" s="1"/>
  <c r="AJ18" i="39"/>
  <c r="AM18" i="39" s="1"/>
  <c r="AD18" i="12"/>
  <c r="AG18" i="12" s="1"/>
  <c r="X19" i="12"/>
  <c r="X19" i="13"/>
  <c r="AD19" i="39"/>
  <c r="X19" i="7"/>
  <c r="AA19" i="12"/>
  <c r="AA19" i="13"/>
  <c r="AG19" i="39"/>
  <c r="AA19" i="7"/>
  <c r="BF21" i="16"/>
  <c r="AD18" i="13"/>
  <c r="AG18" i="13" s="1"/>
  <c r="BG21" i="16" l="1"/>
  <c r="BH21" i="16"/>
  <c r="I18" i="42" a="1"/>
  <c r="I18" i="42" s="1"/>
  <c r="J18" i="42" s="1"/>
  <c r="AD19" i="13"/>
  <c r="AG19" i="13" s="1"/>
  <c r="AD19" i="7"/>
  <c r="AG19" i="7" s="1"/>
  <c r="X20" i="12"/>
  <c r="AD20" i="39"/>
  <c r="X20" i="7"/>
  <c r="X20" i="13"/>
  <c r="AA20" i="12"/>
  <c r="AG20" i="39"/>
  <c r="AA20" i="7"/>
  <c r="AA20" i="13"/>
  <c r="BF22" i="16"/>
  <c r="AJ19" i="39"/>
  <c r="AM19" i="39" s="1"/>
  <c r="AD19" i="12"/>
  <c r="AG19" i="12" s="1"/>
  <c r="BG22" i="16" l="1"/>
  <c r="BH22" i="16"/>
  <c r="I19" i="42" a="1"/>
  <c r="I19" i="42" s="1"/>
  <c r="J19" i="42" s="1"/>
  <c r="AD20" i="13"/>
  <c r="AG20" i="13" s="1"/>
  <c r="AJ20" i="39"/>
  <c r="AM20" i="39" s="1"/>
  <c r="AD20" i="7"/>
  <c r="AG20" i="7" s="1"/>
  <c r="X21" i="12"/>
  <c r="AD21" i="39"/>
  <c r="X21" i="13"/>
  <c r="X21" i="7"/>
  <c r="AA21" i="12"/>
  <c r="AG21" i="39"/>
  <c r="AA21" i="13"/>
  <c r="AA21" i="7"/>
  <c r="BF23" i="16"/>
  <c r="AD20" i="12"/>
  <c r="AG20" i="12" s="1"/>
  <c r="BG23" i="16" l="1"/>
  <c r="BH23" i="16"/>
  <c r="I20" i="42" a="1"/>
  <c r="I20" i="42" s="1"/>
  <c r="J20" i="42" s="1"/>
  <c r="AD21" i="13"/>
  <c r="AG21" i="13" s="1"/>
  <c r="AJ21" i="39"/>
  <c r="AM21" i="39" s="1"/>
  <c r="AD21" i="12"/>
  <c r="AG21" i="12" s="1"/>
  <c r="AD21" i="7"/>
  <c r="AG21" i="7" s="1"/>
  <c r="AA22" i="12"/>
  <c r="AA22" i="13"/>
  <c r="AG22" i="39"/>
  <c r="AA22" i="7"/>
  <c r="BF24" i="16"/>
  <c r="X22" i="12"/>
  <c r="X22" i="13"/>
  <c r="X22" i="7"/>
  <c r="AD22" i="39"/>
  <c r="BH24" i="16" l="1"/>
  <c r="BG24" i="16"/>
  <c r="I21" i="42" a="1"/>
  <c r="I21" i="42" s="1"/>
  <c r="J21" i="42" s="1"/>
  <c r="AJ22" i="39"/>
  <c r="AM22" i="39" s="1"/>
  <c r="AD22" i="12"/>
  <c r="AG22" i="12" s="1"/>
  <c r="X23" i="12"/>
  <c r="X23" i="13"/>
  <c r="X23" i="7"/>
  <c r="AD23" i="39"/>
  <c r="AA23" i="12"/>
  <c r="AG23" i="39"/>
  <c r="AA23" i="13"/>
  <c r="AA23" i="7"/>
  <c r="BF25" i="16"/>
  <c r="AD22" i="7"/>
  <c r="AG22" i="7" s="1"/>
  <c r="AD22" i="13"/>
  <c r="AG22" i="13" s="1"/>
  <c r="BG25" i="16" l="1"/>
  <c r="BH25" i="16"/>
  <c r="I22" i="42" a="1"/>
  <c r="I22" i="42" s="1"/>
  <c r="J22" i="42" s="1"/>
  <c r="AD23" i="7"/>
  <c r="AG23" i="7" s="1"/>
  <c r="AD23" i="13"/>
  <c r="AG23" i="13" s="1"/>
  <c r="AD23" i="12"/>
  <c r="AG23" i="12" s="1"/>
  <c r="X24" i="12"/>
  <c r="X24" i="7"/>
  <c r="X24" i="13"/>
  <c r="AD24" i="39"/>
  <c r="AJ23" i="39"/>
  <c r="AM23" i="39" s="1"/>
  <c r="AA24" i="12"/>
  <c r="AA24" i="13"/>
  <c r="AG24" i="39"/>
  <c r="AA24" i="7"/>
  <c r="BF26" i="16"/>
  <c r="BG26" i="16" l="1"/>
  <c r="BH26" i="16"/>
  <c r="I23" i="42" a="1"/>
  <c r="I23" i="42" s="1"/>
  <c r="J23" i="42" s="1"/>
  <c r="AD24" i="7"/>
  <c r="AG24" i="7" s="1"/>
  <c r="AD24" i="12"/>
  <c r="AG24" i="12" s="1"/>
  <c r="AD24" i="13"/>
  <c r="AG24" i="13" s="1"/>
  <c r="AJ24" i="39"/>
  <c r="AM24" i="39" s="1"/>
  <c r="BF27" i="16"/>
  <c r="BH27" i="16" l="1"/>
  <c r="BG27" i="16"/>
  <c r="I24" i="42" a="1"/>
  <c r="I24" i="42" s="1"/>
  <c r="J24" i="42" s="1"/>
  <c r="BF28" i="16"/>
  <c r="BH28" i="16" l="1"/>
  <c r="BG28" i="16"/>
  <c r="BF29" i="16"/>
  <c r="BH29" i="16" l="1"/>
  <c r="BG29" i="16"/>
  <c r="BF30" i="16"/>
  <c r="BH30" i="16" l="1"/>
  <c r="BG30"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tc={94DFF18F-D620-473F-BFA5-A671316B8F73}</author>
  </authors>
  <commentList>
    <comment ref="N5" authorId="0" shapeId="0" xr:uid="{94DFF18F-D620-473F-BFA5-A671316B8F73}">
      <text>
        <t>[Threaded comment]
Your version of Excel allows you to read this threaded comment; however, any edits to it will get removed if the file is opened in a newer version of Excel. Learn more: https://go.microsoft.com/fwlink/?linkid=870924
Comment:
    Need to update table in summary workbook for this.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tc={306C5D96-9609-4225-A9E0-58A7215D9E71}</author>
    <author>tc={13D59412-CD6A-4444-9751-DB9D38A4D88A}</author>
    <author>tc={23AF1706-BF85-4528-B8BF-E01CD023CD56}</author>
    <author>tc={195B0022-A243-4321-901C-A219DB4FAEFE}</author>
    <author>tc={9D4512B5-24E1-4E59-B6CA-EF0F829DFDC6}</author>
    <author>tc={127953BB-9DB2-4D28-9581-3A8E1AD646DF}</author>
    <author>tc={A996DA6A-59E5-4E7D-B530-1156F47FFA99}</author>
  </authors>
  <commentList>
    <comment ref="A1" authorId="0" shapeId="0" xr:uid="{306C5D96-9609-4225-A9E0-58A7215D9E71}">
      <text>
        <t xml:space="preserve">[Threaded comment]
Your version of Excel allows you to read this threaded comment; however, any edits to it will get removed if the file is opened in a newer version of Excel. Learn more: https://go.microsoft.com/fwlink/?linkid=870924
Comment:
    Where is this data pulled from?
Reply:
    Pull from eGrid. Need to download for each year that’s available.
Reply:
    States are pasted incorrectly due to a difference in alphabetizing in eGRID data (state abbreviation) vs. workbook (state name). There are also inconsistencies in the years 2023-2025, 2014-2015, and 2007-2008, and all national averages, from the values I see from eGRID
</t>
      </text>
    </comment>
    <comment ref="A4" authorId="1" shapeId="0" xr:uid="{13D59412-CD6A-4444-9751-DB9D38A4D88A}">
      <text>
        <t>[Threaded comment]
Your version of Excel allows you to read this threaded comment; however, any edits to it will get removed if the file is opened in a newer version of Excel. Learn more: https://go.microsoft.com/fwlink/?linkid=870924
Comment:
    No State level CO2e breakdown for 2008, 2007 used.</t>
      </text>
    </comment>
    <comment ref="A7" authorId="2" shapeId="0" xr:uid="{23AF1706-BF85-4528-B8BF-E01CD023CD56}">
      <text>
        <t>[Threaded comment]
Your version of Excel allows you to read this threaded comment; however, any edits to it will get removed if the file is opened in a newer version of Excel. Learn more: https://go.microsoft.com/fwlink/?linkid=870924
Comment:
    No egrid data for 2011, 2010 used.</t>
      </text>
    </comment>
    <comment ref="A9" authorId="3" shapeId="0" xr:uid="{195B0022-A243-4321-901C-A219DB4FAEFE}">
      <text>
        <t>[Threaded comment]
Your version of Excel allows you to read this threaded comment; however, any edits to it will get removed if the file is opened in a newer version of Excel. Learn more: https://go.microsoft.com/fwlink/?linkid=870924
Comment:
    No egrid data for 2013, 2012 used.</t>
      </text>
    </comment>
    <comment ref="A11" authorId="4" shapeId="0" xr:uid="{9D4512B5-24E1-4E59-B6CA-EF0F829DFDC6}">
      <text>
        <t>[Threaded comment]
Your version of Excel allows you to read this threaded comment; however, any edits to it will get removed if the file is opened in a newer version of Excel. Learn more: https://go.microsoft.com/fwlink/?linkid=870924
Comment:
    No egrid data for 2015, 2014 used.</t>
      </text>
    </comment>
    <comment ref="A13" authorId="5" shapeId="0" xr:uid="{127953BB-9DB2-4D28-9581-3A8E1AD646DF}">
      <text>
        <t>[Threaded comment]
Your version of Excel allows you to read this threaded comment; however, any edits to it will get removed if the file is opened in a newer version of Excel. Learn more: https://go.microsoft.com/fwlink/?linkid=870924
Comment:
    No egrid data for 2017, 2016 used.</t>
      </text>
    </comment>
    <comment ref="A20" authorId="6" shapeId="0" xr:uid="{A996DA6A-59E5-4E7D-B530-1156F47FFA99}">
      <text>
        <t>[Threaded comment]
Your version of Excel allows you to read this threaded comment; however, any edits to it will get removed if the file is opened in a newer version of Excel. Learn more: https://go.microsoft.com/fwlink/?linkid=870924
Comment:
    No 2024 or 2025 egrid data yet, 2023 used.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Schein, Jonah</author>
    <author>user23</author>
    <author>tc={1672A1F4-C620-44E4-812A-8CF590199BA4}</author>
    <author>tc={108A28B4-8A5E-44E9-96BA-50F911BF9D9F}</author>
    <author>tc={37970B11-CBFE-4A0A-96FE-22C7D582581B}</author>
  </authors>
  <commentList>
    <comment ref="G4" authorId="0" shapeId="0" xr:uid="{A4EF4046-46A7-46A5-A898-E0A45D399B5B}">
      <text>
        <r>
          <rPr>
            <b/>
            <sz val="9"/>
            <color indexed="81"/>
            <rFont val="Tahoma"/>
            <family val="2"/>
          </rPr>
          <t>Schein, Jonah:</t>
        </r>
        <r>
          <rPr>
            <sz val="9"/>
            <color indexed="81"/>
            <rFont val="Tahoma"/>
            <family val="2"/>
          </rPr>
          <t xml:space="preserve">
Updated from summary workbook "Annual Data" sheet column U. Table can be updated in its entirety as projections are used.</t>
        </r>
      </text>
    </comment>
    <comment ref="J4" authorId="0" shapeId="0" xr:uid="{EE4A7014-BDDD-46F5-B8A1-37A05D8F13FC}">
      <text>
        <r>
          <rPr>
            <b/>
            <sz val="9"/>
            <color indexed="81"/>
            <rFont val="Tahoma"/>
            <family val="2"/>
          </rPr>
          <t>Schein, Jonah:</t>
        </r>
        <r>
          <rPr>
            <sz val="9"/>
            <color indexed="81"/>
            <rFont val="Tahoma"/>
            <family val="2"/>
          </rPr>
          <t xml:space="preserve">
Summary workbook "DHW EF" columns Z:AA. Can be updated through 2030 as projections are used.</t>
        </r>
      </text>
    </comment>
    <comment ref="N4" authorId="0" shapeId="0" xr:uid="{9673082F-6774-4A13-AC54-A98430CE2EBE}">
      <text>
        <r>
          <rPr>
            <b/>
            <sz val="9"/>
            <color indexed="81"/>
            <rFont val="Tahoma"/>
            <family val="2"/>
          </rPr>
          <t>Pickering, Robert:</t>
        </r>
        <r>
          <rPr>
            <sz val="9"/>
            <color indexed="81"/>
            <rFont val="Tahoma"/>
            <family val="2"/>
          </rPr>
          <t xml:space="preserve">
Summary workbook "DHW EF" columns AB:AC. Can be updated through 2030 as projections are used.</t>
        </r>
      </text>
    </comment>
    <comment ref="V4" authorId="0" shapeId="0" xr:uid="{E6DB6DF9-4757-4171-A02C-C21A7CB4B90F}">
      <text>
        <r>
          <rPr>
            <b/>
            <sz val="9"/>
            <color indexed="81"/>
            <rFont val="Tahoma"/>
            <family val="2"/>
          </rPr>
          <t>Schein, Jonah:</t>
        </r>
        <r>
          <rPr>
            <sz val="9"/>
            <color indexed="81"/>
            <rFont val="Tahoma"/>
            <family val="2"/>
          </rPr>
          <t xml:space="preserve">
Update from NWS models.</t>
        </r>
      </text>
    </comment>
    <comment ref="Z4" authorId="0" shapeId="0" xr:uid="{0E9386E5-3DCB-407D-A542-14BEF45B1BED}">
      <text>
        <r>
          <rPr>
            <b/>
            <sz val="9"/>
            <color indexed="81"/>
            <rFont val="Tahoma"/>
            <family val="2"/>
          </rPr>
          <t>Schein, Jonah:</t>
        </r>
        <r>
          <rPr>
            <sz val="9"/>
            <color indexed="81"/>
            <rFont val="Tahoma"/>
            <family val="2"/>
          </rPr>
          <t xml:space="preserve">
Update from NWS Summary.</t>
        </r>
      </text>
    </comment>
    <comment ref="AR4" authorId="0" shapeId="0" xr:uid="{86603942-18F0-4BD0-B59E-1F3F81A75742}">
      <text>
        <r>
          <rPr>
            <b/>
            <sz val="9"/>
            <color indexed="81"/>
            <rFont val="Tahoma"/>
            <family val="2"/>
          </rPr>
          <t>Schein, Jonah:</t>
        </r>
        <r>
          <rPr>
            <sz val="9"/>
            <color indexed="81"/>
            <rFont val="Tahoma"/>
            <family val="2"/>
          </rPr>
          <t xml:space="preserve">
Do not update here. These cells will update automatically based on other inputs and information in the workbook.</t>
        </r>
      </text>
    </comment>
    <comment ref="AV4" authorId="0" shapeId="0" xr:uid="{E312A710-1AFA-420F-8970-CD9166139867}">
      <text>
        <r>
          <rPr>
            <b/>
            <sz val="9"/>
            <color indexed="81"/>
            <rFont val="Tahoma"/>
            <family val="2"/>
          </rPr>
          <t>Schein, Jonah:</t>
        </r>
        <r>
          <rPr>
            <sz val="9"/>
            <color indexed="81"/>
            <rFont val="Tahoma"/>
            <family val="2"/>
          </rPr>
          <t xml:space="preserve">
Do not update here. These cells will update automatically based on other inputs and information in the workbook.</t>
        </r>
      </text>
    </comment>
    <comment ref="BA4" authorId="0" shapeId="0" xr:uid="{48E27BDE-7F36-4E3A-A851-A1EF87F63AFD}">
      <text>
        <r>
          <rPr>
            <b/>
            <sz val="9"/>
            <color indexed="81"/>
            <rFont val="Tahoma"/>
            <family val="2"/>
          </rPr>
          <t>Schein, Jonah:</t>
        </r>
        <r>
          <rPr>
            <sz val="9"/>
            <color indexed="81"/>
            <rFont val="Tahoma"/>
            <family val="2"/>
          </rPr>
          <t xml:space="preserve">
Do not update here.</t>
        </r>
      </text>
    </comment>
    <comment ref="AE5" authorId="0" shapeId="0" xr:uid="{85633D3A-5D51-449D-BD50-590A87979826}">
      <text>
        <r>
          <rPr>
            <b/>
            <sz val="9"/>
            <color indexed="81"/>
            <rFont val="Tahoma"/>
            <family val="2"/>
          </rPr>
          <t>Schein, Jonah:</t>
        </r>
        <r>
          <rPr>
            <sz val="9"/>
            <color indexed="81"/>
            <rFont val="Tahoma"/>
            <family val="2"/>
          </rPr>
          <t xml:space="preserve">
From NWS-R "Stock" worksheet columns H:J. Table can be replaced in total each year as revisions to past years is common and projections are done.</t>
        </r>
      </text>
    </comment>
    <comment ref="AJ5" authorId="0" shapeId="0" xr:uid="{EDAFA8D9-0B0D-409C-9365-EABFAB7EB986}">
      <text>
        <r>
          <rPr>
            <b/>
            <sz val="9"/>
            <color indexed="81"/>
            <rFont val="Tahoma"/>
            <family val="2"/>
          </rPr>
          <t>Schein, Jonah:</t>
        </r>
        <r>
          <rPr>
            <sz val="9"/>
            <color indexed="81"/>
            <rFont val="Tahoma"/>
            <family val="2"/>
          </rPr>
          <t xml:space="preserve">
Update from DHW EF worksheet. Can be updated through 2030 as projections are used.</t>
        </r>
      </text>
    </comment>
    <comment ref="AN5" authorId="0" shapeId="0" xr:uid="{D575C0AE-D958-44F1-ACD6-EE9F28866FF0}">
      <text>
        <r>
          <rPr>
            <b/>
            <sz val="9"/>
            <color indexed="81"/>
            <rFont val="Tahoma"/>
            <family val="2"/>
          </rPr>
          <t>Schein, Jonah:</t>
        </r>
        <r>
          <rPr>
            <sz val="9"/>
            <color indexed="81"/>
            <rFont val="Tahoma"/>
            <family val="2"/>
          </rPr>
          <t xml:space="preserve">
Do not update here. These cells will updated automatically based on other inputs and infomration in the workbook.</t>
        </r>
      </text>
    </comment>
    <comment ref="BF5" authorId="0" shapeId="0" xr:uid="{F44427AF-0127-4914-B7AB-B0599FFA04FC}">
      <text>
        <r>
          <rPr>
            <b/>
            <sz val="9"/>
            <color indexed="81"/>
            <rFont val="Tahoma"/>
            <family val="2"/>
          </rPr>
          <t>Schein, Jonah:</t>
        </r>
        <r>
          <rPr>
            <sz val="9"/>
            <color indexed="81"/>
            <rFont val="Tahoma"/>
            <family val="2"/>
          </rPr>
          <t xml:space="preserve">
Schein, Jonah:
Do not update here. These cells will update automatically based on other inputs and information in the workbook.</t>
        </r>
      </text>
    </comment>
    <comment ref="D6" authorId="0" shapeId="0" xr:uid="{D87C6DA7-478C-4F9C-8F1D-19FE68BD5535}">
      <text>
        <r>
          <rPr>
            <b/>
            <sz val="9"/>
            <color indexed="81"/>
            <rFont val="Tahoma"/>
            <family val="2"/>
          </rPr>
          <t>Schein, Jonah:</t>
        </r>
        <r>
          <rPr>
            <sz val="9"/>
            <color indexed="81"/>
            <rFont val="Tahoma"/>
            <family val="2"/>
          </rPr>
          <t xml:space="preserve">
Update 5/12/2022 through 2011 due to changes in AHS presentation.</t>
        </r>
      </text>
    </comment>
    <comment ref="S6" authorId="1" shapeId="0" xr:uid="{358C265B-871B-43F8-9157-4BC2AAC5054B}">
      <text>
        <r>
          <rPr>
            <b/>
            <sz val="9"/>
            <color indexed="81"/>
            <rFont val="Tahoma"/>
            <family val="2"/>
          </rPr>
          <t xml:space="preserve">https://www.eia.gov/dnav/ng/ng_pri_sum_a_EPG0_PRS_DMcf_m.htm
1. Select "View History" for US (top row) &amp; Date range (e.g. 1973-2021)
2. Select "Annual" (not "Monthly")
3. Select "Download" &amp; "Download Data"
</t>
        </r>
      </text>
    </comment>
    <comment ref="T6" authorId="1" shapeId="0" xr:uid="{78EB9B21-B087-4230-B096-6CAF3E8831F4}">
      <text>
        <r>
          <rPr>
            <b/>
            <sz val="9"/>
            <color indexed="81"/>
            <rFont val="Tahoma"/>
            <family val="2"/>
          </rPr>
          <t>https://www.eia.gov/electricity/data/browser/#/topic/7?agg=0,1&amp;geo=vvvvvvvvvvvvo&amp;endsec=vg&amp;linechart=ELEC.PRICE.TX-ALL.A~ELEC.PRICE.TX-RES.A~ELEC.PRICE.TX-COM.A~ELEC.PRICE.TX-IND.A&amp;columnchart=ELEC.PRICE.TX-ALL.A~ELEC.PRICE.TX-RES.A~ELEC.PRICE.TX-COM.A~ELEC.PRICE.TX-IND.A&amp;map=ELEC.PRICE.US-ALL.A&amp;freq=A&amp;ctype=linechart&amp;ltype=pin&amp;rtype=s&amp;pin=&amp;rse=0&amp;maptype=0
1. Scroll down page to "Average retail price of electricity (cents per kilowatt-hour)"
2. Choose US -&gt; All sectors -&gt; Residential by clicking on graph sign at page middle (selection will become darker blue)
3. Select Annual &amp; Download
4. Select Table (CSV)
5. Column C indicates which row corresponds to Residential 
6. Change units from cents per kWh to $ per kWh</t>
        </r>
      </text>
    </comment>
    <comment ref="H7" authorId="2" shapeId="0" xr:uid="{1672A1F4-C620-44E4-812A-8CF590199BA4}">
      <text>
        <t>[Threaded comment]
Your version of Excel allows you to read this threaded comment; however, any edits to it will get removed if the file is opened in a newer version of Excel. Learn more: https://go.microsoft.com/fwlink/?linkid=870924
Comment:
    need to expand GDP index to 2007</t>
      </text>
    </comment>
    <comment ref="BG7" authorId="3" shapeId="0" xr:uid="{108A28B4-8A5E-44E9-96BA-50F911BF9D9F}">
      <text>
        <t>[Threaded comment]
Your version of Excel allows you to read this threaded comment; however, any edits to it will get removed if the file is opened in a newer version of Excel. Learn more: https://go.microsoft.com/fwlink/?linkid=870924
Comment:
    Consider extending 2nd XLOOKUP formula range through row 30 on Utility Cost page, so we don’t have to update the formula year to year. 
Reply:
    Done</t>
      </text>
    </comment>
    <comment ref="BH7" authorId="4" shapeId="0" xr:uid="{37970B11-CBFE-4A0A-96FE-22C7D582581B}">
      <text>
        <t>[Threaded comment]
Your version of Excel allows you to read this threaded comment; however, any edits to it will get removed if the file is opened in a newer version of Excel. Learn more: https://go.microsoft.com/fwlink/?linkid=870924
Comment:
    Consider extending 2nd XLOOKUP formula range through row 30 on Utility Cost page, so we don’t have to update the formula year to year. 
Reply:
    Done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tc={59AD64FD-CE65-445C-91CE-70B28DB59FF4}</author>
    <author>tc={E1D35163-FE96-488D-BC2A-56957FFD3306}</author>
  </authors>
  <commentList>
    <comment ref="A5" authorId="0" shapeId="0" xr:uid="{59AD64FD-CE65-445C-91CE-70B28DB59FF4}">
      <text>
        <t>[Threaded comment]
Your version of Excel allows you to read this threaded comment; however, any edits to it will get removed if the file is opened in a newer version of Excel. Learn more: https://go.microsoft.com/fwlink/?linkid=870924
Comment:
    Where is this data from? Specifically 2007-2019?</t>
      </text>
    </comment>
    <comment ref="AI5" authorId="1" shapeId="0" xr:uid="{E1D35163-FE96-488D-BC2A-56957FFD3306}">
      <text>
        <t>[Threaded comment]
Your version of Excel allows you to read this threaded comment; however, any edits to it will get removed if the file is opened in a newer version of Excel. Learn more: https://go.microsoft.com/fwlink/?linkid=870924
Comment:
    What are the units of “Loaded Water Heater” (used in this equation)?
Reply:
    It’s Loaded Water Heater Efficiency (the full title was hidden), so it’s a percentage/unitless.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tc={4861EFF5-AB96-451D-BF57-E200C8D5194E}</author>
    <author>tc={25FA5E6E-E9F4-4932-812B-48E96A1C7D49}</author>
    <author>tc={496F4C37-4B56-4C03-848E-BB7A66C286B5}</author>
    <author>tc={9D9F7289-D839-45FF-8243-FBBED8B70677}</author>
    <author>tc={E301A009-5C63-4AA6-B235-F52C47DA2466}</author>
    <author>tc={4D90F64B-EE45-481A-A635-EA6E8B66FAF2}</author>
    <author>tc={92DFDD36-B594-43BA-B379-AF276425BB3D}</author>
  </authors>
  <commentList>
    <comment ref="A1" authorId="0" shapeId="0" xr:uid="{4861EFF5-AB96-451D-BF57-E200C8D5194E}">
      <text>
        <t>[Threaded comment]
Your version of Excel allows you to read this threaded comment; however, any edits to it will get removed if the file is opened in a newer version of Excel. Learn more: https://go.microsoft.com/fwlink/?linkid=870924
Comment:
    This page converts data on the lbs_mWh tab to tons/kWh. All raw data is entered on the previous sheet in lbs/mWh.</t>
      </text>
    </comment>
    <comment ref="A4" authorId="1" shapeId="0" xr:uid="{25FA5E6E-E9F4-4932-812B-48E96A1C7D49}">
      <text>
        <t>[Threaded comment]
Your version of Excel allows you to read this threaded comment; however, any edits to it will get removed if the file is opened in a newer version of Excel. Learn more: https://go.microsoft.com/fwlink/?linkid=870924
Comment:
    No State level CO2e breakdown for 2008, 2007 used.</t>
      </text>
    </comment>
    <comment ref="A7" authorId="2" shapeId="0" xr:uid="{496F4C37-4B56-4C03-848E-BB7A66C286B5}">
      <text>
        <t>[Threaded comment]
Your version of Excel allows you to read this threaded comment; however, any edits to it will get removed if the file is opened in a newer version of Excel. Learn more: https://go.microsoft.com/fwlink/?linkid=870924
Comment:
    No egrid data for 2011, 2010 used.</t>
      </text>
    </comment>
    <comment ref="A9" authorId="3" shapeId="0" xr:uid="{9D9F7289-D839-45FF-8243-FBBED8B70677}">
      <text>
        <t>[Threaded comment]
Your version of Excel allows you to read this threaded comment; however, any edits to it will get removed if the file is opened in a newer version of Excel. Learn more: https://go.microsoft.com/fwlink/?linkid=870924
Comment:
    No egrid data for 2013, 2012 used.</t>
      </text>
    </comment>
    <comment ref="A11" authorId="4" shapeId="0" xr:uid="{E301A009-5C63-4AA6-B235-F52C47DA2466}">
      <text>
        <t>[Threaded comment]
Your version of Excel allows you to read this threaded comment; however, any edits to it will get removed if the file is opened in a newer version of Excel. Learn more: https://go.microsoft.com/fwlink/?linkid=870924
Comment:
    No egrid data for 2015, 2014 used.</t>
      </text>
    </comment>
    <comment ref="A13" authorId="5" shapeId="0" xr:uid="{4D90F64B-EE45-481A-A635-EA6E8B66FAF2}">
      <text>
        <t>[Threaded comment]
Your version of Excel allows you to read this threaded comment; however, any edits to it will get removed if the file is opened in a newer version of Excel. Learn more: https://go.microsoft.com/fwlink/?linkid=870924
Comment:
    No egrid data for 2017, 2016 used.</t>
      </text>
    </comment>
    <comment ref="A20" authorId="6" shapeId="0" xr:uid="{92DFDD36-B594-43BA-B379-AF276425BB3D}">
      <text>
        <t>[Threaded comment]
Your version of Excel allows you to read this threaded comment; however, any edits to it will get removed if the file is opened in a newer version of Excel. Learn more: https://go.microsoft.com/fwlink/?linkid=870924
Comment:
    No 2024 or 2025 egrid data yet, 2023 used.</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 23</author>
    <author>lbnl</author>
    <author>Robert Pickering</author>
  </authors>
  <commentList>
    <comment ref="B4" authorId="0" shapeId="0" xr:uid="{00000000-0006-0000-0E00-000001000000}">
      <text>
        <r>
          <rPr>
            <sz val="9"/>
            <color rgb="FF000000"/>
            <rFont val="Tahoma"/>
            <family val="2"/>
          </rPr>
          <t>update for 2024 (</t>
        </r>
        <r>
          <rPr>
            <b/>
            <sz val="9"/>
            <color rgb="FF000000"/>
            <rFont val="Tahoma"/>
            <family val="2"/>
          </rPr>
          <t>2/7/2025</t>
        </r>
        <r>
          <rPr>
            <sz val="9"/>
            <color rgb="FF000000"/>
            <rFont val="Tahoma"/>
            <family val="2"/>
          </rPr>
          <t>) for consistency with 2023 Accomplishments Report; previous value was 0.000709
update for 2020 (</t>
        </r>
        <r>
          <rPr>
            <b/>
            <sz val="9"/>
            <color rgb="FF000000"/>
            <rFont val="Tahoma"/>
            <family val="2"/>
          </rPr>
          <t>5/19/2021</t>
        </r>
        <r>
          <rPr>
            <sz val="9"/>
            <color rgb="FF000000"/>
            <rFont val="Tahoma"/>
            <family val="2"/>
          </rPr>
          <t>) per https://www.epa.gov/energy/greenhouse-gases-equivalencies-calculator-calculations-and-references; previous value was 0.000707
no update for 2019 (</t>
        </r>
        <r>
          <rPr>
            <b/>
            <sz val="9"/>
            <color rgb="FF000000"/>
            <rFont val="Tahoma"/>
            <family val="2"/>
          </rPr>
          <t>4/3/2020</t>
        </r>
        <r>
          <rPr>
            <sz val="9"/>
            <color rgb="FF000000"/>
            <rFont val="Tahoma"/>
            <family val="2"/>
          </rPr>
          <t xml:space="preserve">)
updated </t>
        </r>
        <r>
          <rPr>
            <b/>
            <sz val="9"/>
            <color rgb="FF000000"/>
            <rFont val="Tahoma"/>
            <family val="2"/>
          </rPr>
          <t>3/25/2019</t>
        </r>
        <r>
          <rPr>
            <sz val="9"/>
            <color rgb="FF000000"/>
            <rFont val="Tahoma"/>
            <family val="2"/>
          </rPr>
          <t xml:space="preserve"> per https://www.epa.gov/energy/greenhouse-gas-equivalencies-calculator-revision-history
was 0.000744 in 2018 version
was 0.000689551 in 2017 version</t>
        </r>
      </text>
    </comment>
    <comment ref="B5" authorId="1" shapeId="0" xr:uid="{00000000-0006-0000-0E00-000002000000}">
      <text>
        <r>
          <rPr>
            <sz val="9"/>
            <color rgb="FF000000"/>
            <rFont val="Calibri"/>
            <family val="2"/>
          </rPr>
          <t xml:space="preserve">https://www.epa.gov/energy/greenhouse-gas-equivalencies-calculator-revision-history
</t>
        </r>
        <r>
          <rPr>
            <sz val="9"/>
            <color rgb="FF000000"/>
            <rFont val="Calibri"/>
            <family val="2"/>
          </rPr>
          <t xml:space="preserve">
</t>
        </r>
        <r>
          <rPr>
            <sz val="9"/>
            <color rgb="FF000000"/>
            <rFont val="Calibri"/>
            <family val="2"/>
          </rPr>
          <t xml:space="preserve">No update to 2020 version, 0.0053 metric tons CO2/therm (4/14/2021)
</t>
        </r>
        <r>
          <rPr>
            <sz val="9"/>
            <color rgb="FF000000"/>
            <rFont val="Calibri"/>
            <family val="2"/>
          </rPr>
          <t xml:space="preserve">Updated 4/3/2020 with 0.0053
</t>
        </r>
        <r>
          <rPr>
            <sz val="9"/>
            <color rgb="FF000000"/>
            <rFont val="Calibri"/>
            <family val="2"/>
          </rPr>
          <t xml:space="preserve">2019 version: 0.00531 metric tons CO2/Mcf
</t>
        </r>
        <r>
          <rPr>
            <sz val="9"/>
            <color rgb="FF000000"/>
            <rFont val="Calibri"/>
            <family val="2"/>
          </rPr>
          <t xml:space="preserve">2018 version: 0.005302 metric tons CO2/Mcf
</t>
        </r>
        <r>
          <rPr>
            <sz val="9"/>
            <color rgb="FF000000"/>
            <rFont val="Calibri"/>
            <family val="2"/>
          </rPr>
          <t xml:space="preserve">Updated: 3/25/2019
</t>
        </r>
      </text>
    </comment>
    <comment ref="B12" authorId="2" shapeId="0" xr:uid="{6AF873C7-C610-4D52-99C1-8EC8EA2C25AB}">
      <text>
        <r>
          <rPr>
            <b/>
            <sz val="9"/>
            <color indexed="81"/>
            <rFont val="Tahoma"/>
            <family val="2"/>
          </rPr>
          <t>Robert Pickering:</t>
        </r>
        <r>
          <rPr>
            <sz val="9"/>
            <color indexed="81"/>
            <rFont val="Tahoma"/>
            <family val="2"/>
          </rPr>
          <t xml:space="preserve">
Cell related to residential hot water use not used. See Annual Data tab for hot water inputs.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<sst xmlns="http://schemas.openxmlformats.org/spreadsheetml/2006/main" count="1048" uniqueCount="420">
  <si>
    <t>WaterSense Partner Savings Calculator</t>
  </si>
  <si>
    <t>This tool is designed to help WaterSense partners estimate their savings contributions from participating in the WaterSense program.</t>
  </si>
  <si>
    <t>Please select your partner type from the options below, then visit the corresponding worksheet to enter your information.</t>
  </si>
  <si>
    <t>Partner Name:</t>
  </si>
  <si>
    <t>Partner Type:</t>
  </si>
  <si>
    <t>Year:</t>
  </si>
  <si>
    <t>To use state values for embedded carbon, select the appropriate state below.</t>
  </si>
  <si>
    <t>State:</t>
  </si>
  <si>
    <t>Residential Electricity</t>
  </si>
  <si>
    <t>Residential Gas</t>
  </si>
  <si>
    <t>WaterSense Labeled Products Shipped per Year</t>
  </si>
  <si>
    <t>Year</t>
  </si>
  <si>
    <t>Tank-Type Toilets</t>
  </si>
  <si>
    <t>Lavatory Faucets</t>
  </si>
  <si>
    <t>Lavatory Faucet Aerators</t>
  </si>
  <si>
    <t>Showerheads</t>
  </si>
  <si>
    <t>Flushometer-Valve Toilets*</t>
  </si>
  <si>
    <t>Urinals*</t>
  </si>
  <si>
    <t>Weather-Based Irrigation Controllers</t>
  </si>
  <si>
    <t>Soil Moisture-Based Irrigation Controllers</t>
  </si>
  <si>
    <t>Spray Sprinkler Bodies</t>
  </si>
  <si>
    <t>Legend:</t>
  </si>
  <si>
    <t>Labeled Products Not Available</t>
  </si>
  <si>
    <t>Labeled Products Shipped</t>
  </si>
  <si>
    <t>* For flushometer valve products (toilets and urinals), WaterSense recommends counting only valves and systems where valves and fixtures are shipped together.</t>
  </si>
  <si>
    <t>To prevent double-counting, you can exclude shipments of stand-alone fixtures.</t>
  </si>
  <si>
    <t>WaterSense Labeled Products Sold per Year</t>
  </si>
  <si>
    <t>Labeled Products Sold</t>
  </si>
  <si>
    <t>* For flushometer valve products (toilets and urinals), WaterSense recommends counting only valves and systems where valves and fixtures are sold together.</t>
  </si>
  <si>
    <t>To prevent double-counting, you can exclude sales of stand-alone fixtures.</t>
  </si>
  <si>
    <t>WaterSense Labeled Products in Homes</t>
  </si>
  <si>
    <t>WaterSense Labeled Homes Built in Each State</t>
  </si>
  <si>
    <t>Number of homes without the whole-house certification but with all WaterSense labeled plumbing products (toilets, lavatory faucets, and showerheads)</t>
  </si>
  <si>
    <t>Note: The baseline water use for homes is most significantly impacted by occupancy, size of the landscape, and climate.</t>
  </si>
  <si>
    <t>Program not available</t>
  </si>
  <si>
    <t>Savings for WaterSense labeled homes are estimated using composite national average for homes. This includes an occupancy of 2.6 people and a landscape size of 5,826 square feet.</t>
  </si>
  <si>
    <t>Homes built</t>
  </si>
  <si>
    <t>Climate adjustments are applied using an average net reference evapotranspiration that is population weighted for each state.</t>
  </si>
  <si>
    <t>Individual markets or prevailing building practices may differ from national averages considerably.</t>
  </si>
  <si>
    <t>WaterSense Labeled Products/Homes Incentivized per Year</t>
  </si>
  <si>
    <r>
      <t>Homes</t>
    </r>
    <r>
      <rPr>
        <b/>
        <vertAlign val="superscript"/>
        <sz val="11"/>
        <color theme="1"/>
        <rFont val="Arial"/>
        <family val="2"/>
      </rPr>
      <t>†</t>
    </r>
  </si>
  <si>
    <t>Label Not Available</t>
  </si>
  <si>
    <t>Labeled Products/Homes Incentivized</t>
  </si>
  <si>
    <t>Residential</t>
  </si>
  <si>
    <t>Commercial</t>
  </si>
  <si>
    <t>Water
$/kgal (combined water and wastewater)</t>
  </si>
  <si>
    <t>Electricity
($/kWh)</t>
  </si>
  <si>
    <t>Natural Gas
($/mcf)</t>
  </si>
  <si>
    <t>Table 1. Water Savings</t>
  </si>
  <si>
    <t>Table 2. Total Energy Savings Converted to kWh</t>
  </si>
  <si>
    <r>
      <t>Table 3. Combined Greenhouse Gas Savings in CO</t>
    </r>
    <r>
      <rPr>
        <b/>
        <vertAlign val="subscript"/>
        <sz val="11"/>
        <rFont val="Arial"/>
        <family val="2"/>
      </rPr>
      <t>2</t>
    </r>
    <r>
      <rPr>
        <b/>
        <sz val="11"/>
        <rFont val="Arial"/>
        <family val="2"/>
      </rPr>
      <t xml:space="preserve"> equivalents</t>
    </r>
  </si>
  <si>
    <t>Table 4. Total Utility Bill Savings (water, wastewater, electric, and natural gas) in current year USD</t>
  </si>
  <si>
    <t>gallons</t>
  </si>
  <si>
    <t>kilowatt-hrs</t>
  </si>
  <si>
    <t>metric tons</t>
  </si>
  <si>
    <t>Annual</t>
  </si>
  <si>
    <t>Cumulative</t>
  </si>
  <si>
    <t>Water, energy, carbon dioxide, and utility cost savings estimates for WaterSense labeled products in this tool are prepared using the overall approach of WaterSense's</t>
  </si>
  <si>
    <t>National Water Savings (NWS) model. Savings represent the impact on consumers or users of WaterSense labeled products. They do not account for embedded or lifecycle</t>
  </si>
  <si>
    <t>impacts.</t>
  </si>
  <si>
    <t>A detailed paper</t>
  </si>
  <si>
    <t>on the NWS approach is available.</t>
  </si>
  <si>
    <t>Estimates for WaterSense labeled homes follow the approach outlined in the</t>
  </si>
  <si>
    <t>supporting statement for WaterSense labeled homes.</t>
  </si>
  <si>
    <t>Savings for WaterSense labeled homes are estimated using composite national average for homes. This includes an occupancy of 2.6 people and a landscape of</t>
  </si>
  <si>
    <t>5,826 square feet. These values represent a composite average for homes based on national data, but individual market and builders number can vary substantially.</t>
  </si>
  <si>
    <t>They also use population weighted average reference evapotranspiration to adjust for differing climates and outdoor water use in each state.</t>
  </si>
  <si>
    <t>The calculations in this tool have been simplified to support ease of use and typically are updated one year behind the calendar year.</t>
  </si>
  <si>
    <t>All dollar values are discounted to present year U.S. dollars.</t>
  </si>
  <si>
    <t>More information on data used in these estimates can also be found at</t>
  </si>
  <si>
    <t>www.epa.gov/watersense/data-and-information-used-watersense</t>
  </si>
  <si>
    <t>Color coding:</t>
  </si>
  <si>
    <t>Update annually. Instructions are within.</t>
  </si>
  <si>
    <t>Calculation tabs. Generally run automatically but should be checked.</t>
  </si>
  <si>
    <t>Background data. Generally doesn't change or updates automatically, but should be checked for accuracy/timeliness.</t>
  </si>
  <si>
    <t>Survival Probability (from models)</t>
  </si>
  <si>
    <t>Savings (gal)</t>
  </si>
  <si>
    <t>Calculated gal/product (from Summary file, current year value is copied from previous year)</t>
  </si>
  <si>
    <t>Shipments (entered)</t>
  </si>
  <si>
    <t>Stock Accounting</t>
  </si>
  <si>
    <t>Toilet</t>
  </si>
  <si>
    <t>Faucet</t>
  </si>
  <si>
    <t>Faucet Aerator</t>
  </si>
  <si>
    <t>Showerhead</t>
  </si>
  <si>
    <t>Toilet2</t>
  </si>
  <si>
    <t>Urinal</t>
  </si>
  <si>
    <t>WBICs</t>
  </si>
  <si>
    <t>SMSs</t>
  </si>
  <si>
    <t>SSBs</t>
  </si>
  <si>
    <t>Toilets</t>
  </si>
  <si>
    <t>Faucets</t>
  </si>
  <si>
    <t>Faucet Aerators</t>
  </si>
  <si>
    <t>FV Toilets</t>
  </si>
  <si>
    <t>Urinals</t>
  </si>
  <si>
    <t>Totals (annual)</t>
  </si>
  <si>
    <t>Totals (cumulative)</t>
  </si>
  <si>
    <t>Total</t>
  </si>
  <si>
    <t>Column1</t>
  </si>
  <si>
    <t/>
  </si>
  <si>
    <t>lbs/mWh</t>
  </si>
  <si>
    <t>State Average lbs/mWh</t>
  </si>
  <si>
    <t>National Average</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</si>
  <si>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</si>
  <si>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</si>
  <si>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</si>
  <si>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</si>
  <si>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</si>
  <si>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</si>
  <si>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</si>
  <si>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</si>
  <si>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</si>
  <si>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</si>
  <si>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</si>
  <si>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</si>
  <si>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</si>
  <si>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</si>
  <si>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</si>
  <si>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</si>
  <si>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</si>
  <si>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</si>
  <si>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</si>
  <si>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</si>
  <si>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</si>
  <si>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</si>
  <si>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</si>
  <si>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</si>
  <si>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</si>
  <si>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</si>
  <si>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</si>
  <si>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</si>
  <si>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</si>
  <si>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</si>
  <si>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</si>
  <si>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</si>
  <si>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</si>
  <si>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</si>
  <si>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</si>
  <si>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</si>
  <si>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</si>
  <si>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</si>
  <si>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</si>
  <si>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</si>
  <si>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</si>
  <si>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</si>
  <si>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</si>
  <si>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</si>
  <si>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</si>
  <si>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</si>
  <si>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</si>
  <si>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</si>
  <si>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</si>
  <si>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</si>
  <si>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</si>
  <si>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 From the U.S. Census American Housing Survey (released every other year)</t>
  </si>
  <si>
    <r>
      <t xml:space="preserve">** Use AHS Summary Tables </t>
    </r>
    <r>
      <rPr>
        <sz val="10"/>
        <color theme="1"/>
        <rFont val="Arial"/>
        <family val="2"/>
      </rPr>
      <t>https://www.census.gov/programs-surveys/ahs/data/interactive/ahstablecreator.html?s_areas=00000&amp;s_year=2019&amp;s_tablename=TABLE1&amp;s_bygroup1=1&amp;s_bygroup2=1&amp;s_filtergroup1=1&amp;s_filtergroup2=1
"Select Area: National", "Select a Table: Heating, Air Conditioning, and Appliance"</t>
    </r>
  </si>
  <si>
    <t>*** Should be updated based on availability of data. New data should not impact previous years</t>
  </si>
  <si>
    <t>Should be updated with new data for each year see comments in cells C7:D7.</t>
  </si>
  <si>
    <t>Using</t>
  </si>
  <si>
    <t>data.</t>
  </si>
  <si>
    <t>**** No projection is done for off years. Latest available data is 2023.
*****Gas should include piped and bottled.</t>
  </si>
  <si>
    <t>*Should be updated with new data for each year from https://www.govinfo.gov/app/collection/budget/2021/BUDGET-2021-TAB</t>
  </si>
  <si>
    <t>**Previous year data should not be changed.</t>
  </si>
  <si>
    <t>Cost of Water</t>
  </si>
  <si>
    <t>Embedded CO2e</t>
  </si>
  <si>
    <t>Residential Water Heating Method (based on occupied houses)</t>
  </si>
  <si>
    <t>GDP Chained Price Index</t>
    <phoneticPr fontId="43" type="noConversion"/>
  </si>
  <si>
    <t>Energy/Gallon Heated (residential)</t>
  </si>
  <si>
    <t>Percent of Water That is Hot (residential)</t>
  </si>
  <si>
    <t>Residential Cost of Energy (nominal $)</t>
  </si>
  <si>
    <t>$/1kgal water &amp; wastewater</t>
  </si>
  <si>
    <t>* lbs/mWh should be updated with the non-baseload output emission rates from https://www.epa.gov/egrid/detailed-data
** tons/mcf does not change year over year</t>
  </si>
  <si>
    <t>Average # per House  New Construction</t>
  </si>
  <si>
    <t>Loaded Water Heater Efficiency</t>
  </si>
  <si>
    <t>Total Houses Using Electricity or Natural Gas</t>
  </si>
  <si>
    <t>Number of houses using electricity</t>
  </si>
  <si>
    <t>Number of houses using natural gas</t>
  </si>
  <si>
    <t>Year</t>
    <phoneticPr fontId="43" type="noConversion"/>
  </si>
  <si>
    <t>GDP Chained Price Index (FY2023)</t>
  </si>
  <si>
    <t>mcf/gal</t>
  </si>
  <si>
    <t>kWh/gal</t>
  </si>
  <si>
    <t>perc_hot_water_faucet</t>
  </si>
  <si>
    <t>perc_hot_water_shower</t>
  </si>
  <si>
    <t>Price of natural gas (Mcf)</t>
  </si>
  <si>
    <t>Price of electricity (kWh)</t>
  </si>
  <si>
    <t>metric tons/kWh</t>
  </si>
  <si>
    <t>metric tons/therm</t>
  </si>
  <si>
    <t>Toilets/house</t>
  </si>
  <si>
    <t>Faucets/house</t>
  </si>
  <si>
    <t>Bathing Unit/house</t>
  </si>
  <si>
    <t>Gas</t>
  </si>
  <si>
    <t>Electric</t>
  </si>
  <si>
    <t>% Faucet Hot</t>
  </si>
  <si>
    <t>% Showerheads Hot</t>
  </si>
  <si>
    <t>T_rise</t>
  </si>
  <si>
    <t>National</t>
  </si>
  <si>
    <t>Annual Inputs:</t>
  </si>
  <si>
    <t>Table 2. Annual Indoor Savings</t>
  </si>
  <si>
    <t>Table 3. Annual Outdoor Savings</t>
  </si>
  <si>
    <t>Table 4. Embedded Electricity Annual Savings</t>
  </si>
  <si>
    <t>Table 5. Dollars Savings from Saved Water</t>
  </si>
  <si>
    <t>Table 6. Electricity Saved from Hot Water Savings</t>
  </si>
  <si>
    <t>Table 7. Natural Gas Saved from Hot Water Savings</t>
  </si>
  <si>
    <t>Table 8. Combined Energy Savings Converted to Uniform Units (kWh)</t>
  </si>
  <si>
    <t>Table 9. Carbon Dioxide Savings</t>
  </si>
  <si>
    <t>Table 10. Dollars Savings from Avoided Hot Water (Electric Heating)</t>
  </si>
  <si>
    <t>Table 11. Dollars Savings from Avoided Hot Water (Gas Heating)</t>
  </si>
  <si>
    <t>Table 12. Combined Dollars Saved from Avoided Hot Water (Electric &amp; Gas Heating)</t>
  </si>
  <si>
    <t>Table 13. Total Dollars Saved (Water, Wastewater, Electric &amp; Gas Heating)</t>
  </si>
  <si>
    <t>Table 1. WaterSense Annual Savings*</t>
  </si>
  <si>
    <t>Gallons</t>
  </si>
  <si>
    <t>kilowatt-hours</t>
  </si>
  <si>
    <t>Mcf of natural gas</t>
  </si>
  <si>
    <t>Energy  (kilowatt-hrs)</t>
  </si>
  <si>
    <t>Carbon Dioxide (metric tons)</t>
  </si>
  <si>
    <t>Labeled Homes</t>
  </si>
  <si>
    <t>Product totals (number of products) from non WSLHs with WS products</t>
  </si>
  <si>
    <t>Product totals (number of products) from WSLHs</t>
  </si>
  <si>
    <t>Stock Gallons Saved from Labeled Homes</t>
  </si>
  <si>
    <t>Stock Gallons Saved from WaterSense Labeled Products (not in WSLHs)</t>
  </si>
  <si>
    <t>WSLH Stock Indoor Savings</t>
  </si>
  <si>
    <t>WSLH Stock Outdoor Savings</t>
  </si>
  <si>
    <t>Stock Hot Water Saved</t>
  </si>
  <si>
    <t>Total Labeled Homes</t>
  </si>
  <si>
    <t>Total Products Installed</t>
  </si>
  <si>
    <t>Gallons Saved/WSLH/Year</t>
  </si>
  <si>
    <t>State</t>
  </si>
  <si>
    <t>Region</t>
  </si>
  <si>
    <t>Savings/Home</t>
  </si>
  <si>
    <t>Error Check</t>
  </si>
  <si>
    <t>WSLH Stock</t>
  </si>
  <si>
    <t>Table 1. WaterSense Annual Savings* (Gallons)</t>
  </si>
  <si>
    <t>Table 2. Annual Indoor Savings (Gallons)</t>
  </si>
  <si>
    <t>Table 3. Annual Outdoor Savings (Gallons)</t>
  </si>
  <si>
    <t>Table 4. Embedded Electricity Annual Savings (kWh)</t>
  </si>
  <si>
    <t>Table 6. Electricity Saved from Hot Water Savings (kWh)</t>
  </si>
  <si>
    <t>Table 7. Natural Gas Saved from Hot Water Savings (mcf)</t>
  </si>
  <si>
    <t>Annual Outputs:</t>
  </si>
  <si>
    <t>Table 2. Embedded Electricity Annual Savings</t>
  </si>
  <si>
    <t>Table 3. Carbon Dioxide Savings</t>
  </si>
  <si>
    <t>Table 4. Dollars Savings from Saved Water</t>
  </si>
  <si>
    <t>Table 1. WaterSense Annual Savings* 
(*as provided by the National Water Savings analysis model)</t>
  </si>
  <si>
    <t>Table 3. Electricity Saved from Hot Water Savings</t>
  </si>
  <si>
    <t>Table 5. Natural Gas Saved from Hot Water Savings</t>
  </si>
  <si>
    <t>Table 6. Combined Energy Savings Converted to Uniform Units (kWh)</t>
  </si>
  <si>
    <t>Table 7. Carbon Dioxide Savings</t>
  </si>
  <si>
    <t>Table 8. Dollars Savings from Avoided Hot Water (Electric Heating)</t>
  </si>
  <si>
    <t>Table 9. Dollars Savings from Avoided Hot Water (Gas Heating)</t>
  </si>
  <si>
    <t>Table 10. Combined Dollars Saved from Avoided Hot Water (Electric &amp; Gas Heating)</t>
  </si>
  <si>
    <t>Table 11. Total Dollars Saved (Water, Wastewater, Electric &amp; Gas Heating)</t>
  </si>
  <si>
    <t>Table 1. WaterSense Annual Savings*
*as provided by the National Water Savings analysis model</t>
  </si>
  <si>
    <t xml:space="preserve">Faucets </t>
  </si>
  <si>
    <t>Faucet Accessories</t>
  </si>
  <si>
    <t xml:space="preserve">Faucet Accessories </t>
  </si>
  <si>
    <t xml:space="preserve">Showerheads </t>
  </si>
  <si>
    <t>National Average tons/kWh</t>
  </si>
  <si>
    <t>State Average tons/kWh</t>
  </si>
  <si>
    <t>US</t>
  </si>
  <si>
    <t>Alaska</t>
  </si>
  <si>
    <t>Alabama</t>
  </si>
  <si>
    <t>Arkansas</t>
  </si>
  <si>
    <t>Arizona</t>
  </si>
  <si>
    <t>California</t>
  </si>
  <si>
    <t>Colorado</t>
  </si>
  <si>
    <t>Connecticut</t>
  </si>
  <si>
    <t>District of Columbia</t>
  </si>
  <si>
    <t>Delaware</t>
  </si>
  <si>
    <t>Florida</t>
  </si>
  <si>
    <t>Georgia</t>
  </si>
  <si>
    <t>Hawaii</t>
  </si>
  <si>
    <t>Iowa</t>
  </si>
  <si>
    <t>Idaho</t>
  </si>
  <si>
    <t>Illinois</t>
  </si>
  <si>
    <t>Indiana</t>
  </si>
  <si>
    <t>Kansas</t>
  </si>
  <si>
    <t>Kentucky</t>
  </si>
  <si>
    <t>Louisiana</t>
  </si>
  <si>
    <t>Massachusetts</t>
  </si>
  <si>
    <t>Maryland</t>
  </si>
  <si>
    <t>Maine</t>
  </si>
  <si>
    <t>Michigan</t>
  </si>
  <si>
    <t>Minnesota</t>
  </si>
  <si>
    <t>Missouri</t>
  </si>
  <si>
    <t>Mississippi</t>
  </si>
  <si>
    <t>Montana</t>
  </si>
  <si>
    <t>North Carolina</t>
  </si>
  <si>
    <t>North Dakota</t>
  </si>
  <si>
    <t>Nebraska</t>
  </si>
  <si>
    <t>New Hampshire</t>
  </si>
  <si>
    <t>New Jersey</t>
  </si>
  <si>
    <t>New Mexico</t>
  </si>
  <si>
    <t>Nevada</t>
  </si>
  <si>
    <t>New York</t>
  </si>
  <si>
    <t>Ohio</t>
  </si>
  <si>
    <t>Oklahoma</t>
  </si>
  <si>
    <t>Oregon</t>
  </si>
  <si>
    <t>Pennsylvania</t>
  </si>
  <si>
    <t>Rhode Island</t>
  </si>
  <si>
    <t>South Carolina</t>
  </si>
  <si>
    <t>South Dakota</t>
  </si>
  <si>
    <t>Tennessee</t>
  </si>
  <si>
    <t>Texas</t>
  </si>
  <si>
    <t>Utah</t>
  </si>
  <si>
    <t>Virginia</t>
  </si>
  <si>
    <t>Vermont</t>
  </si>
  <si>
    <t>Washington</t>
  </si>
  <si>
    <t>Wisconsin</t>
  </si>
  <si>
    <t>West Virginia</t>
  </si>
  <si>
    <t>Wyoming</t>
  </si>
  <si>
    <t>Numbers based on analysis/equivalencies that change frequently. Check for latest data each year.</t>
  </si>
  <si>
    <t>Value</t>
  </si>
  <si>
    <t>Unit/Assumption</t>
  </si>
  <si>
    <t>Source</t>
  </si>
  <si>
    <t>Link</t>
  </si>
  <si>
    <t>Drinking Water</t>
  </si>
  <si>
    <t>metric tons of CO2 per kWh of electricity generated</t>
  </si>
  <si>
    <t>U.S. EPA</t>
  </si>
  <si>
    <t>https://www.epa.gov/energy/greenhouse-gases-equivalencies-calculator-calculations-and-references</t>
  </si>
  <si>
    <t>System Type</t>
  </si>
  <si>
    <t>kWh/MG</t>
  </si>
  <si>
    <t>Estimated
Population Served</t>
  </si>
  <si>
    <t>gpcd</t>
  </si>
  <si>
    <t>kWh/day</t>
  </si>
  <si>
    <t>Gallons/Day</t>
  </si>
  <si>
    <t>KWh/Day</t>
  </si>
  <si>
    <t>metric tons of CO2 per therm of natural gas</t>
  </si>
  <si>
    <t>https://www.epa.gov/energy/greenhouse-gases-equivalencies-calculator-calculations-and-references</t>
    <phoneticPr fontId="43" type="noConversion"/>
  </si>
  <si>
    <r>
      <rPr>
        <sz val="10"/>
        <rFont val="Arial"/>
        <family val="34"/>
      </rPr>
      <t>Community</t>
    </r>
  </si>
  <si>
    <r>
      <rPr>
        <sz val="10"/>
        <rFont val="Arial"/>
        <family val="34"/>
      </rPr>
      <t>Surface</t>
    </r>
  </si>
  <si>
    <r>
      <rPr>
        <sz val="10"/>
        <rFont val="Arial"/>
        <family val="34"/>
      </rPr>
      <t>Groundwater</t>
    </r>
  </si>
  <si>
    <r>
      <rPr>
        <sz val="10"/>
        <rFont val="Arial"/>
        <family val="34"/>
      </rPr>
      <t>Desalination</t>
    </r>
  </si>
  <si>
    <t>Numbers based on field studies, analysis or other equivalencies (may change based on best available data)</t>
  </si>
  <si>
    <r>
      <rPr>
        <sz val="10"/>
        <rFont val="Arial"/>
        <family val="34"/>
      </rPr>
      <t xml:space="preserve">Non
</t>
    </r>
    <r>
      <rPr>
        <sz val="10"/>
        <rFont val="Arial"/>
        <family val="34"/>
      </rPr>
      <t>Community</t>
    </r>
  </si>
  <si>
    <t>kWh/gallon used to convey potable water (includes pumping raw water, filtration/treatment, and distribution)</t>
  </si>
  <si>
    <t>EPRI, 2013. Electricity Use and Management in the Municipal Water Supply and Wastewater Industries, Electric Power Research Institute, Palo Alto, California, November 2013 Report 3002001433.</t>
  </si>
  <si>
    <r>
      <rPr>
        <b/>
        <sz val="10"/>
        <rFont val="Arial"/>
        <family val="34"/>
      </rPr>
      <t>Total per day</t>
    </r>
  </si>
  <si>
    <t>(gallons/day)</t>
  </si>
  <si>
    <t>(kWh/day)</t>
  </si>
  <si>
    <t>kWh/gallon used to treat waste water (average of various treatment types and sizes)</t>
  </si>
  <si>
    <r>
      <rPr>
        <b/>
        <sz val="10"/>
        <rFont val="Arial"/>
        <family val="34"/>
      </rPr>
      <t>Total per year</t>
    </r>
  </si>
  <si>
    <r>
      <rPr>
        <b/>
        <sz val="10"/>
        <rFont val="Arial"/>
        <family val="34"/>
      </rPr>
      <t>39.2 TWh</t>
    </r>
    <r>
      <rPr>
        <b/>
        <sz val="7"/>
        <rFont val="Arial"/>
        <family val="34"/>
      </rPr>
      <t>b</t>
    </r>
  </si>
  <si>
    <t>(gallons/year)</t>
  </si>
  <si>
    <t>(kWh/year)</t>
  </si>
  <si>
    <t>percentage of shower water use that is hot water</t>
  </si>
  <si>
    <t>NWS analysis of DHW</t>
  </si>
  <si>
    <t>percentage of faucet water use that is hot water</t>
  </si>
  <si>
    <t>Average set point of residential water heaters</t>
  </si>
  <si>
    <t>ANSI 301</t>
  </si>
  <si>
    <t>Average inlet water temperature</t>
  </si>
  <si>
    <t>(kWh/gallon of drinking water)</t>
  </si>
  <si>
    <t>1996 Numbers:</t>
  </si>
  <si>
    <t>% increase</t>
  </si>
  <si>
    <t>Estimated temperature rise for residential water heaters.</t>
  </si>
  <si>
    <t>LBNL report, 2020. Estimating the Hot Water Portion of Residential Bathroom Faucet &amp; Showerhead Water Use</t>
  </si>
  <si>
    <t>Wastewater</t>
  </si>
  <si>
    <t>kwh/gal drinking water</t>
  </si>
  <si>
    <t>Assumed temperature rise for commercial water heaters.</t>
  </si>
  <si>
    <t>DOE commercial clotheswasher rule making.</t>
  </si>
  <si>
    <t>http://www1.eere.energy.gov/buildings/appliance_standards/rulemaking.aspx/ruleid/56</t>
  </si>
  <si>
    <t>% assumed efficiency for commercial electric storage water heaters</t>
  </si>
  <si>
    <t>DOE 2014 commercial clotheswasher rule making.</t>
  </si>
  <si>
    <t>% assumed efficiency for commercial natural gas storage water heaters</t>
  </si>
  <si>
    <r>
      <rPr>
        <sz val="10"/>
        <rFont val="Arial"/>
        <family val="34"/>
      </rPr>
      <t>Less than secondary</t>
    </r>
  </si>
  <si>
    <t>Numbers/Calculations used for conversions (will not change)</t>
  </si>
  <si>
    <t>Unit</t>
  </si>
  <si>
    <r>
      <rPr>
        <sz val="10"/>
        <rFont val="Arial"/>
        <family val="34"/>
      </rPr>
      <t>Secondary</t>
    </r>
  </si>
  <si>
    <t>BTUs per therm energy</t>
  </si>
  <si>
    <t>Online Conversions</t>
  </si>
  <si>
    <t>www.onlineconversion.com</t>
  </si>
  <si>
    <r>
      <rPr>
        <sz val="10"/>
        <rFont val="Arial"/>
        <family val="34"/>
      </rPr>
      <t xml:space="preserve">Greater than
</t>
    </r>
    <r>
      <rPr>
        <sz val="10"/>
        <rFont val="Arial"/>
        <family val="34"/>
      </rPr>
      <t>Secondary</t>
    </r>
  </si>
  <si>
    <t>therms per Mcf of natural gas</t>
  </si>
  <si>
    <t>http://www.onlineconversion.com/energy.htm</t>
  </si>
  <si>
    <r>
      <rPr>
        <sz val="10"/>
        <rFont val="Arial"/>
        <family val="34"/>
      </rPr>
      <t>No Discharge</t>
    </r>
  </si>
  <si>
    <t>gallons per cubic foot</t>
  </si>
  <si>
    <r>
      <rPr>
        <sz val="10"/>
        <rFont val="Arial"/>
        <family val="34"/>
      </rPr>
      <t xml:space="preserve">Pumping Reuse
</t>
    </r>
    <r>
      <rPr>
        <sz val="10"/>
        <rFont val="Arial"/>
        <family val="34"/>
      </rPr>
      <t>Water</t>
    </r>
  </si>
  <si>
    <r>
      <rPr>
        <sz val="10"/>
        <rFont val="Arial"/>
        <family val="34"/>
      </rPr>
      <t>3,500</t>
    </r>
    <r>
      <rPr>
        <sz val="7"/>
        <rFont val="Arial"/>
        <family val="34"/>
      </rPr>
      <t>a</t>
    </r>
  </si>
  <si>
    <t>gallons per cubic meter</t>
  </si>
  <si>
    <t>http://www.onlineconversion.com/volume.htm</t>
  </si>
  <si>
    <r>
      <rPr>
        <sz val="10"/>
        <rFont val="Arial"/>
        <family val="34"/>
      </rPr>
      <t>Partial</t>
    </r>
  </si>
  <si>
    <t>kWh per therm</t>
  </si>
  <si>
    <t>(million gallons/day)</t>
  </si>
  <si>
    <t>Weight of one gallon of water (pounds)</t>
  </si>
  <si>
    <t>OnlineConversion.com</t>
  </si>
  <si>
    <t>http://www.onlineconversion.com/waterweight.htm</t>
  </si>
  <si>
    <r>
      <rPr>
        <b/>
        <sz val="10"/>
        <rFont val="Arial"/>
        <family val="34"/>
      </rPr>
      <t>30.2 TWh</t>
    </r>
  </si>
  <si>
    <t>Btu per kilowatt-hour</t>
  </si>
  <si>
    <t>http://onlineconversion.com/energy.htm</t>
  </si>
  <si>
    <t>kWh/gallon of drinking water</t>
  </si>
  <si>
    <r>
      <t xml:space="preserve">1 Btu/lb </t>
    </r>
    <r>
      <rPr>
        <sz val="10"/>
        <rFont val="Symbol"/>
        <family val="1"/>
        <charset val="2"/>
      </rPr>
      <t>·</t>
    </r>
    <r>
      <rPr>
        <sz val="10"/>
        <rFont val="Arial"/>
        <family val="2"/>
      </rPr>
      <t xml:space="preserve"> degrees Fahrenheit is the specific heat capacity of water </t>
    </r>
  </si>
  <si>
    <t>EngineersEdge.com</t>
  </si>
  <si>
    <t>http://www.engineersedge.com/thermodynamics/heat.htm</t>
  </si>
  <si>
    <t>kWh of electricity required to heat one gallon of commercial water, assuming that incoming water temperature is raised from 75°. Assumes 100% heating efficiency.</t>
  </si>
  <si>
    <t>Calculated</t>
  </si>
  <si>
    <t>therms per gallon of commercial water heated assuming rise of 75° and 75% heating efficiency.</t>
  </si>
  <si>
    <t>Mcf of natural gas per gallon of commercial water heated</t>
  </si>
  <si>
    <r>
      <t>Homes Values Used in Calculations (</t>
    </r>
    <r>
      <rPr>
        <sz val="12"/>
        <rFont val="Arial"/>
        <family val="2"/>
      </rPr>
      <t>may change with updated source data)</t>
    </r>
  </si>
  <si>
    <t>Savings/home/year in hot climate</t>
  </si>
  <si>
    <t>WaterSense labeled homes supporting statement</t>
  </si>
  <si>
    <t>Savings/home/year in cold climate</t>
  </si>
  <si>
    <t>Indoor Use/typical home</t>
  </si>
  <si>
    <t>Indoor Use/year/WaterSense labeled home</t>
  </si>
  <si>
    <t>Indoor savings/year/WaterSense labeled home</t>
  </si>
  <si>
    <t>% of Indoor Water Use that is Hot</t>
  </si>
  <si>
    <t>gallons hot/home saved</t>
  </si>
  <si>
    <t>Residential Water/Sewer</t>
  </si>
  <si>
    <t>Commercial Water/Sewer</t>
  </si>
  <si>
    <r>
      <rPr>
        <vertAlign val="superscript"/>
        <sz val="10"/>
        <rFont val="Arial"/>
        <family val="2"/>
      </rPr>
      <t>†</t>
    </r>
    <r>
      <rPr>
        <sz val="10"/>
        <rFont val="Arial"/>
        <family val="2"/>
      </rPr>
      <t xml:space="preserve"> To receive savings estimates for homes, you must select a specific State on the "Introduction" tab.</t>
    </r>
  </si>
  <si>
    <t>This worksheet is only necessary if you wish to enter local utility cost data.
When entering data, please enter nominal cost for each year. For example, for the cost of water in
2015, enter the cost paid for water in 2015 dollars. The tool will convert all values to the current year.</t>
  </si>
  <si>
    <t>residential water data.</t>
  </si>
  <si>
    <t>commercial water data.</t>
  </si>
  <si>
    <t>electricity data.</t>
  </si>
  <si>
    <t>natural gas data.</t>
  </si>
  <si>
    <t>Should be updated with new data for each year see comments in cells C7:D7.
**Previous year data should not be changed.</t>
  </si>
  <si>
    <t>Hot Water Saved (Gallons)</t>
  </si>
  <si>
    <t>To use local utility rates, select "Custom Value" below and enter values on the "Utility Cost" worksheet.</t>
  </si>
  <si>
    <t>The tool offers estimates for manufacturer, retailer/distributor, builder, or utility/water district partners.</t>
  </si>
  <si>
    <t>* For flushometer valve products (toilets and urinals), WaterSense recommends counting only valves and systems where valves and fixtures were sold together.</t>
  </si>
  <si>
    <t xml:space="preserve">By default, the tool will use national averages for embedded carbon, the cost of energy, and the cost of water/sewer. </t>
  </si>
  <si>
    <t>Table 9. Carbon Dioxide Savings (ton CO2e)</t>
  </si>
  <si>
    <t>2025 Version</t>
  </si>
  <si>
    <t>Last Update: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</si>
</sst>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_(&quot;$&quot;* \(#,##0.00\);_(&quot;$&quot;* &quot;-&quot;??_);_(@_)"/>
    <numFmt numFmtId="43" formatCode="_(* #,##0.00_);_(* \(#,##0.00\);_(* &quot;-&quot;??_);_(@_)"/>
    <numFmt numFmtId="164" formatCode="_(&quot;$&quot;* #,##0.0000_);_(&quot;$&quot;* \(#,##0.0000\);_(&quot;$&quot;* &quot;-&quot;??_);_(@_)"/>
    <numFmt numFmtId="165" formatCode="_(&quot;$&quot;* #,##0_);_(&quot;$&quot;* \(#,##0\);_(&quot;$&quot;* &quot;-&quot;??_);_(@_)"/>
    <numFmt numFmtId="166" formatCode="_(* #,##0_);_(* \(#,##0\);_(* &quot;-&quot;??_);_(@_)"/>
    <numFmt numFmtId="167" formatCode="0.0%"/>
    <numFmt numFmtId="168" formatCode="_(* #,##0.0_);_(* \(#,##0.0\);_(* &quot;-&quot;??_);_(@_)"/>
    <numFmt numFmtId="169" formatCode="#,##0;#,##0"/>
    <numFmt numFmtId="170" formatCode="###0;###0"/>
    <numFmt numFmtId="171" formatCode="0.000"/>
    <numFmt numFmtId="172" formatCode="_(* #,##0.0000_);_(* \(#,##0.0000\);_(* &quot;-&quot;??_);_(@_)"/>
    <numFmt numFmtId="173" formatCode="0.0000"/>
    <numFmt numFmtId="174" formatCode="_(* #,##0.000_);_(* \(#,##0.000\);_(* &quot;-&quot;??_);_(@_)"/>
    <numFmt numFmtId="175" formatCode="_(* #,##0.0000000_);_(* \(#,##0.0000000\);_(* &quot;-&quot;??_);_(@_)"/>
    <numFmt numFmtId="176" formatCode="0.000%"/>
  </numFmts>
  <fonts count="65">
    <font>
      <sz val="10"/>
      <name val="Arial"/>
    </font>
    <font>
      <sz val="11"/>
      <color theme="1"/>
      <name val="Calibri"/>
      <family val="2"/>
      <scheme val="minor"/>
    </font>
    <font>
      <b/>
      <sz val="10"/>
      <name val="Arial"/>
      <family val="2"/>
    </font>
    <font>
      <sz val="8"/>
      <name val="Arial"/>
      <family val="2"/>
    </font>
    <font>
      <sz val="10"/>
      <name val="Arial"/>
      <family val="2"/>
    </font>
    <font>
      <u/>
      <sz val="10"/>
      <color indexed="12"/>
      <name val="Arial"/>
      <family val="2"/>
    </font>
    <font>
      <sz val="10"/>
      <name val="Symbol"/>
      <family val="1"/>
      <charset val="2"/>
    </font>
    <font>
      <sz val="10"/>
      <name val="Arial"/>
      <family val="2"/>
    </font>
    <font>
      <b/>
      <u/>
      <sz val="12"/>
      <name val="Arial"/>
      <family val="2"/>
    </font>
    <font>
      <sz val="10"/>
      <name val="Arial"/>
      <family val="2"/>
    </font>
    <font>
      <b/>
      <sz val="10"/>
      <color theme="0"/>
      <name val="Arial"/>
      <family val="2"/>
    </font>
    <font>
      <sz val="8"/>
      <color indexed="8"/>
      <name val="Arial"/>
      <family val="2"/>
    </font>
    <font>
      <b/>
      <sz val="18"/>
      <color theme="3"/>
      <name val="Cambria"/>
      <family val="2"/>
      <scheme val="major"/>
    </font>
    <font>
      <sz val="8"/>
      <color theme="1"/>
      <name val="Arial"/>
      <family val="2"/>
    </font>
    <font>
      <sz val="8"/>
      <color theme="0"/>
      <name val="Arial"/>
      <family val="2"/>
    </font>
    <font>
      <sz val="8"/>
      <color rgb="FF9C0006"/>
      <name val="Arial"/>
      <family val="2"/>
    </font>
    <font>
      <b/>
      <sz val="8"/>
      <color rgb="FFFA7D00"/>
      <name val="Arial"/>
      <family val="2"/>
    </font>
    <font>
      <b/>
      <sz val="8"/>
      <color theme="0"/>
      <name val="Arial"/>
      <family val="2"/>
    </font>
    <font>
      <i/>
      <sz val="8"/>
      <color rgb="FF7F7F7F"/>
      <name val="Arial"/>
      <family val="2"/>
    </font>
    <font>
      <sz val="8"/>
      <color rgb="FF006100"/>
      <name val="Arial"/>
      <family val="2"/>
    </font>
    <font>
      <b/>
      <sz val="15"/>
      <color theme="3"/>
      <name val="Arial"/>
      <family val="2"/>
    </font>
    <font>
      <b/>
      <sz val="13"/>
      <color theme="3"/>
      <name val="Arial"/>
      <family val="2"/>
    </font>
    <font>
      <b/>
      <sz val="11"/>
      <color theme="3"/>
      <name val="Arial"/>
      <family val="2"/>
    </font>
    <font>
      <sz val="8"/>
      <color rgb="FF3F3F76"/>
      <name val="Arial"/>
      <family val="2"/>
    </font>
    <font>
      <sz val="8"/>
      <color rgb="FFFA7D00"/>
      <name val="Arial"/>
      <family val="2"/>
    </font>
    <font>
      <sz val="8"/>
      <color rgb="FF9C6500"/>
      <name val="Arial"/>
      <family val="2"/>
    </font>
    <font>
      <b/>
      <sz val="8"/>
      <color rgb="FF3F3F3F"/>
      <name val="Arial"/>
      <family val="2"/>
    </font>
    <font>
      <b/>
      <sz val="8"/>
      <color theme="1"/>
      <name val="Arial"/>
      <family val="2"/>
    </font>
    <font>
      <sz val="8"/>
      <color rgb="FFFF0000"/>
      <name val="Arial"/>
      <family val="2"/>
    </font>
    <font>
      <u/>
      <sz val="10"/>
      <color theme="11"/>
      <name val="Arial"/>
      <family val="2"/>
    </font>
    <font>
      <sz val="10"/>
      <name val="Arial"/>
      <family val="34"/>
    </font>
    <font>
      <sz val="10"/>
      <color rgb="FF000000"/>
      <name val="Arial"/>
      <family val="2"/>
    </font>
    <font>
      <b/>
      <sz val="10"/>
      <name val="Arial"/>
      <family val="34"/>
    </font>
    <font>
      <b/>
      <sz val="10"/>
      <color rgb="FF000000"/>
      <name val="Arial"/>
      <family val="2"/>
    </font>
    <font>
      <b/>
      <sz val="7"/>
      <name val="Arial"/>
      <family val="34"/>
    </font>
    <font>
      <sz val="7"/>
      <name val="Arial"/>
      <family val="34"/>
    </font>
    <font>
      <sz val="10"/>
      <color theme="1"/>
      <name val="Arial"/>
      <family val="2"/>
    </font>
    <font>
      <sz val="9"/>
      <color indexed="81"/>
      <name val="Tahoma"/>
      <family val="2"/>
    </font>
    <font>
      <b/>
      <sz val="9"/>
      <color indexed="81"/>
      <name val="Tahoma"/>
      <family val="2"/>
    </font>
    <font>
      <b/>
      <sz val="10"/>
      <color theme="1"/>
      <name val="Arial"/>
      <family val="2"/>
    </font>
    <font>
      <b/>
      <u/>
      <sz val="10"/>
      <name val="Arial"/>
      <family val="2"/>
    </font>
    <font>
      <sz val="9"/>
      <color rgb="FF000000"/>
      <name val="Tahoma"/>
      <family val="2"/>
    </font>
    <font>
      <sz val="9"/>
      <color rgb="FF000000"/>
      <name val="Calibri"/>
      <family val="2"/>
    </font>
    <font>
      <sz val="9"/>
      <name val="宋体"/>
      <family val="3"/>
      <charset val="134"/>
    </font>
    <font>
      <b/>
      <sz val="9"/>
      <color rgb="FF000000"/>
      <name val="Tahoma"/>
      <family val="2"/>
    </font>
    <font>
      <b/>
      <u/>
      <sz val="10"/>
      <color theme="1"/>
      <name val="Arial"/>
      <family val="2"/>
    </font>
    <font>
      <sz val="12"/>
      <name val="Arial"/>
      <family val="2"/>
    </font>
    <font>
      <b/>
      <sz val="11"/>
      <color rgb="FFFF0000"/>
      <name val="Arial"/>
      <family val="2"/>
    </font>
    <font>
      <sz val="10"/>
      <color theme="0"/>
      <name val="Arial"/>
      <family val="2"/>
    </font>
    <font>
      <b/>
      <sz val="22"/>
      <color theme="0"/>
      <name val="Arial"/>
      <family val="2"/>
    </font>
    <font>
      <b/>
      <sz val="16"/>
      <color theme="0"/>
      <name val="Arial"/>
      <family val="2"/>
    </font>
    <font>
      <sz val="11"/>
      <name val="Arial"/>
      <family val="2"/>
    </font>
    <font>
      <sz val="11"/>
      <color theme="1"/>
      <name val="Arial"/>
      <family val="2"/>
    </font>
    <font>
      <b/>
      <sz val="18"/>
      <color theme="0"/>
      <name val="Arial"/>
      <family val="2"/>
    </font>
    <font>
      <b/>
      <sz val="11"/>
      <color theme="1"/>
      <name val="Arial"/>
      <family val="2"/>
    </font>
    <font>
      <b/>
      <sz val="11"/>
      <color theme="0"/>
      <name val="Arial"/>
      <family val="2"/>
    </font>
    <font>
      <b/>
      <sz val="11"/>
      <name val="Arial"/>
      <family val="2"/>
    </font>
    <font>
      <b/>
      <vertAlign val="subscript"/>
      <sz val="11"/>
      <name val="Arial"/>
      <family val="2"/>
    </font>
    <font>
      <u/>
      <sz val="11"/>
      <color indexed="12"/>
      <name val="Arial"/>
      <family val="2"/>
    </font>
    <font>
      <sz val="11"/>
      <color rgb="FFFF0000"/>
      <name val="Arial"/>
      <family val="2"/>
    </font>
    <font>
      <sz val="12"/>
      <color rgb="FF000000"/>
      <name val="Aptos"/>
      <family val="2"/>
    </font>
    <font>
      <sz val="10"/>
      <color rgb="FF000000"/>
      <name val="Arial Unicode MS"/>
    </font>
    <font>
      <b/>
      <vertAlign val="superscript"/>
      <sz val="11"/>
      <color theme="1"/>
      <name val="Arial"/>
      <family val="2"/>
    </font>
    <font>
      <vertAlign val="superscript"/>
      <sz val="10"/>
      <name val="Arial"/>
      <family val="2"/>
    </font>
    <font>
      <b/>
      <sz val="10"/>
      <color rgb="FFFF0000"/>
      <name val="Arial"/>
      <family val="2"/>
    </font>
  </fonts>
  <fills count="63">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rgb="FFCCFFFF"/>
        <bgColor indexed="64"/>
      </patternFill>
    </fill>
    <fill>
      <patternFill patternType="solid">
        <fgColor theme="0"/>
        <bgColor theme="4" tint="0.79998168889431442"/>
      </patternFill>
    </fill>
    <fill>
      <patternFill patternType="solid">
        <fgColor rgb="FFFFFF00"/>
        <bgColor indexed="64"/>
      </patternFill>
    </fill>
    <fill>
      <patternFill patternType="solid">
        <fgColor rgb="FFFFFFCC"/>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patternFill>
    </fill>
    <fill>
      <patternFill patternType="solid">
        <fgColor rgb="FFDADADA"/>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rgb="FF92D050"/>
        <bgColor indexed="64"/>
      </patternFill>
    </fill>
    <fill>
      <patternFill patternType="solid">
        <fgColor rgb="FF92D050"/>
        <bgColor theme="4"/>
      </patternFill>
    </fill>
    <fill>
      <patternFill patternType="solid">
        <fgColor theme="0" tint="-0.34998626667073579"/>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C8E6FF"/>
        <bgColor indexed="64"/>
      </patternFill>
    </fill>
    <fill>
      <patternFill patternType="solid">
        <fgColor theme="0" tint="-0.249977111117893"/>
        <bgColor theme="0" tint="-0.14999847407452621"/>
      </patternFill>
    </fill>
    <fill>
      <patternFill patternType="solid">
        <fgColor theme="6" tint="0.39997558519241921"/>
        <bgColor theme="0" tint="-0.14999847407452621"/>
      </patternFill>
    </fill>
    <fill>
      <patternFill patternType="solid">
        <fgColor theme="6" tint="0.39997558519241921"/>
        <bgColor indexed="64"/>
      </patternFill>
    </fill>
    <fill>
      <patternFill patternType="solid">
        <fgColor theme="5" tint="0.39997558519241921"/>
        <bgColor theme="0" tint="-0.14999847407452621"/>
      </patternFill>
    </fill>
    <fill>
      <patternFill patternType="solid">
        <fgColor theme="5" tint="0.39997558519241921"/>
        <bgColor indexed="64"/>
      </patternFill>
    </fill>
    <fill>
      <patternFill patternType="solid">
        <fgColor theme="4" tint="-0.499984740745262"/>
        <bgColor indexed="64"/>
      </patternFill>
    </fill>
    <fill>
      <patternFill patternType="solid">
        <fgColor rgb="FF254061"/>
        <bgColor indexed="64"/>
      </patternFill>
    </fill>
    <fill>
      <patternFill patternType="solid">
        <fgColor theme="3" tint="-0.249977111117893"/>
        <bgColor indexed="64"/>
      </patternFill>
    </fill>
    <fill>
      <patternFill patternType="lightUp"/>
    </fill>
    <fill>
      <patternFill patternType="solid">
        <fgColor theme="5" tint="0.79998168889431442"/>
        <bgColor indexed="64"/>
      </patternFill>
    </fill>
    <fill>
      <patternFill patternType="solid">
        <fgColor rgb="FFFFFFFF"/>
        <bgColor indexed="64"/>
      </patternFill>
    </fill>
    <fill>
      <patternFill patternType="solid">
        <fgColor theme="7" tint="0.39997558519241921"/>
        <bgColor indexed="64"/>
      </patternFill>
    </fill>
  </fills>
  <borders count="57">
    <border>
      <left/>
      <right/>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auto="1"/>
      </top>
      <bottom style="thin">
        <color auto="1"/>
      </bottom>
      <diagonal/>
    </border>
    <border>
      <left style="medium">
        <color indexed="64"/>
      </left>
      <right/>
      <top style="thin">
        <color auto="1"/>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auto="1"/>
      </left>
      <right style="medium">
        <color auto="1"/>
      </right>
      <top style="medium">
        <color auto="1"/>
      </top>
      <bottom/>
      <diagonal/>
    </border>
    <border>
      <left style="medium">
        <color auto="1"/>
      </left>
      <right/>
      <top/>
      <bottom style="thin">
        <color theme="4" tint="0.39997558519241921"/>
      </bottom>
      <diagonal/>
    </border>
    <border>
      <left style="medium">
        <color auto="1"/>
      </left>
      <right/>
      <top/>
      <bottom style="thin">
        <color theme="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style="thin">
        <color auto="1"/>
      </left>
      <right/>
      <top/>
      <bottom style="medium">
        <color auto="1"/>
      </bottom>
      <diagonal/>
    </border>
    <border>
      <left/>
      <right style="thin">
        <color auto="1"/>
      </right>
      <top/>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theme="4" tint="0.39997558519241921"/>
      </top>
      <bottom/>
      <diagonal/>
    </border>
    <border>
      <left/>
      <right/>
      <top style="thin">
        <color auto="1"/>
      </top>
      <bottom/>
      <diagonal/>
    </border>
    <border>
      <left/>
      <right style="medium">
        <color auto="1"/>
      </right>
      <top style="thin">
        <color theme="4" tint="0.39997558519241921"/>
      </top>
      <bottom/>
      <diagonal/>
    </border>
    <border>
      <left/>
      <right/>
      <top style="medium">
        <color auto="1"/>
      </top>
      <bottom style="medium">
        <color indexed="64"/>
      </bottom>
      <diagonal/>
    </border>
  </borders>
  <cellStyleXfs count="74">
    <xf numFmtId="0" fontId="0" fillId="0" borderId="0"/>
    <xf numFmtId="0" fontId="5" fillId="0" borderId="0" applyNumberFormat="0" applyFill="0" applyBorder="0" applyAlignment="0" applyProtection="0">
      <alignment vertical="top"/>
      <protection locked="0"/>
    </xf>
    <xf numFmtId="44" fontId="7" fillId="0" borderId="0" applyFont="0" applyFill="0" applyBorder="0" applyAlignment="0" applyProtection="0"/>
    <xf numFmtId="9" fontId="7" fillId="0" borderId="0" applyFont="0" applyFill="0" applyBorder="0" applyAlignment="0" applyProtection="0"/>
    <xf numFmtId="43" fontId="9"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11" fillId="10" borderId="11" applyNumberFormat="0" applyFont="0" applyAlignment="0" applyProtection="0"/>
    <xf numFmtId="0" fontId="4" fillId="0" borderId="0"/>
    <xf numFmtId="0" fontId="12" fillId="0" borderId="0" applyNumberFormat="0" applyFill="0" applyBorder="0" applyAlignment="0" applyProtection="0"/>
    <xf numFmtId="0" fontId="13" fillId="18" borderId="0" applyNumberFormat="0" applyBorder="0" applyAlignment="0" applyProtection="0"/>
    <xf numFmtId="0" fontId="13" fillId="22" borderId="0" applyNumberFormat="0" applyBorder="0" applyAlignment="0" applyProtection="0"/>
    <xf numFmtId="0" fontId="13" fillId="26" borderId="0" applyNumberFormat="0" applyBorder="0" applyAlignment="0" applyProtection="0"/>
    <xf numFmtId="0" fontId="13" fillId="30" borderId="0" applyNumberFormat="0" applyBorder="0" applyAlignment="0" applyProtection="0"/>
    <xf numFmtId="0" fontId="13" fillId="34" borderId="0" applyNumberFormat="0" applyBorder="0" applyAlignment="0" applyProtection="0"/>
    <xf numFmtId="0" fontId="13" fillId="38" borderId="0" applyNumberFormat="0" applyBorder="0" applyAlignment="0" applyProtection="0"/>
    <xf numFmtId="0" fontId="13" fillId="19" borderId="0" applyNumberFormat="0" applyBorder="0" applyAlignment="0" applyProtection="0"/>
    <xf numFmtId="0" fontId="13" fillId="23" borderId="0" applyNumberFormat="0" applyBorder="0" applyAlignment="0" applyProtection="0"/>
    <xf numFmtId="0" fontId="13" fillId="27" borderId="0" applyNumberFormat="0" applyBorder="0" applyAlignment="0" applyProtection="0"/>
    <xf numFmtId="0" fontId="13" fillId="31" borderId="0" applyNumberFormat="0" applyBorder="0" applyAlignment="0" applyProtection="0"/>
    <xf numFmtId="0" fontId="13" fillId="35" borderId="0" applyNumberFormat="0" applyBorder="0" applyAlignment="0" applyProtection="0"/>
    <xf numFmtId="0" fontId="13" fillId="39"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36" borderId="0" applyNumberFormat="0" applyBorder="0" applyAlignment="0" applyProtection="0"/>
    <xf numFmtId="0" fontId="14" fillId="40"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37" borderId="0" applyNumberFormat="0" applyBorder="0" applyAlignment="0" applyProtection="0"/>
    <xf numFmtId="0" fontId="15" fillId="12" borderId="0" applyNumberFormat="0" applyBorder="0" applyAlignment="0" applyProtection="0"/>
    <xf numFmtId="0" fontId="16" fillId="15" borderId="29" applyNumberFormat="0" applyAlignment="0" applyProtection="0"/>
    <xf numFmtId="0" fontId="17" fillId="16" borderId="32" applyNumberFormat="0" applyAlignment="0" applyProtection="0"/>
    <xf numFmtId="0" fontId="18" fillId="0" borderId="0" applyNumberFormat="0" applyFill="0" applyBorder="0" applyAlignment="0" applyProtection="0"/>
    <xf numFmtId="0" fontId="19" fillId="11" borderId="0" applyNumberFormat="0" applyBorder="0" applyAlignment="0" applyProtection="0"/>
    <xf numFmtId="0" fontId="20" fillId="0" borderId="26" applyNumberFormat="0" applyFill="0" applyAlignment="0" applyProtection="0"/>
    <xf numFmtId="0" fontId="21" fillId="0" borderId="27" applyNumberFormat="0" applyFill="0" applyAlignment="0" applyProtection="0"/>
    <xf numFmtId="0" fontId="22" fillId="0" borderId="28" applyNumberFormat="0" applyFill="0" applyAlignment="0" applyProtection="0"/>
    <xf numFmtId="0" fontId="22" fillId="0" borderId="0" applyNumberFormat="0" applyFill="0" applyBorder="0" applyAlignment="0" applyProtection="0"/>
    <xf numFmtId="0" fontId="23" fillId="14" borderId="29" applyNumberFormat="0" applyAlignment="0" applyProtection="0"/>
    <xf numFmtId="0" fontId="24" fillId="0" borderId="31" applyNumberFormat="0" applyFill="0" applyAlignment="0" applyProtection="0"/>
    <xf numFmtId="0" fontId="25" fillId="13" borderId="0" applyNumberFormat="0" applyBorder="0" applyAlignment="0" applyProtection="0"/>
    <xf numFmtId="0" fontId="13" fillId="0" borderId="0"/>
    <xf numFmtId="0" fontId="26" fillId="15" borderId="30" applyNumberFormat="0" applyAlignment="0" applyProtection="0"/>
    <xf numFmtId="0" fontId="27" fillId="0" borderId="33" applyNumberFormat="0" applyFill="0" applyAlignment="0" applyProtection="0"/>
    <xf numFmtId="0" fontId="28" fillId="0" borderId="0" applyNumberFormat="0" applyFill="0" applyBorder="0" applyAlignment="0" applyProtection="0"/>
    <xf numFmtId="44" fontId="4"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4" fillId="0" borderId="0"/>
    <xf numFmtId="9" fontId="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477">
    <xf numFmtId="0" fontId="0" fillId="0" borderId="0" xfId="0"/>
    <xf numFmtId="1" fontId="2" fillId="0" borderId="0" xfId="0" applyNumberFormat="1" applyFont="1" applyAlignment="1">
      <alignment horizontal="right"/>
    </xf>
    <xf numFmtId="0" fontId="2" fillId="2" borderId="2" xfId="0" applyFont="1" applyFill="1" applyBorder="1" applyAlignment="1">
      <alignment horizontal="center"/>
    </xf>
    <xf numFmtId="0" fontId="2" fillId="2" borderId="2" xfId="0" applyFont="1" applyFill="1" applyBorder="1" applyAlignment="1">
      <alignment horizontal="center" wrapText="1"/>
    </xf>
    <xf numFmtId="0" fontId="0" fillId="0" borderId="0" xfId="0" applyAlignment="1">
      <alignment wrapText="1"/>
    </xf>
    <xf numFmtId="0" fontId="4" fillId="0" borderId="0" xfId="0" applyFont="1" applyAlignment="1">
      <alignment wrapText="1"/>
    </xf>
    <xf numFmtId="0" fontId="0" fillId="0" borderId="7" xfId="0" applyBorder="1"/>
    <xf numFmtId="0" fontId="0" fillId="0" borderId="8" xfId="0" applyBorder="1"/>
    <xf numFmtId="0" fontId="0" fillId="0" borderId="1" xfId="0" applyBorder="1" applyAlignment="1">
      <alignment wrapText="1"/>
    </xf>
    <xf numFmtId="0" fontId="0" fillId="0" borderId="10" xfId="0" applyBorder="1"/>
    <xf numFmtId="0" fontId="4" fillId="0" borderId="7" xfId="0" applyFont="1" applyBorder="1" applyAlignment="1">
      <alignment horizontal="right"/>
    </xf>
    <xf numFmtId="0" fontId="4" fillId="0" borderId="8" xfId="0" applyFont="1" applyBorder="1"/>
    <xf numFmtId="0" fontId="0" fillId="0" borderId="0" xfId="1" applyFont="1" applyBorder="1" applyAlignment="1" applyProtection="1">
      <alignment wrapText="1"/>
    </xf>
    <xf numFmtId="0" fontId="5" fillId="0" borderId="8" xfId="1" applyBorder="1" applyAlignment="1" applyProtection="1"/>
    <xf numFmtId="0" fontId="0" fillId="0" borderId="1" xfId="1" applyFont="1" applyBorder="1" applyAlignment="1" applyProtection="1">
      <alignment wrapText="1"/>
    </xf>
    <xf numFmtId="0" fontId="5" fillId="0" borderId="10" xfId="1" applyBorder="1" applyAlignment="1" applyProtection="1"/>
    <xf numFmtId="0" fontId="4" fillId="0" borderId="7" xfId="0" applyFont="1" applyBorder="1"/>
    <xf numFmtId="2" fontId="0" fillId="0" borderId="7" xfId="0" applyNumberFormat="1" applyBorder="1"/>
    <xf numFmtId="0" fontId="0" fillId="5" borderId="0" xfId="0" applyFill="1"/>
    <xf numFmtId="0" fontId="0" fillId="0" borderId="0" xfId="0" applyAlignment="1">
      <alignment horizontal="left"/>
    </xf>
    <xf numFmtId="0" fontId="0" fillId="0" borderId="9" xfId="0" applyBorder="1"/>
    <xf numFmtId="43" fontId="0" fillId="0" borderId="0" xfId="4" applyFont="1"/>
    <xf numFmtId="0" fontId="0" fillId="0" borderId="23" xfId="0" applyBorder="1"/>
    <xf numFmtId="0" fontId="0" fillId="0" borderId="23" xfId="0" applyBorder="1" applyAlignment="1">
      <alignment wrapText="1"/>
    </xf>
    <xf numFmtId="0" fontId="0" fillId="41" borderId="23" xfId="0" applyFill="1" applyBorder="1" applyAlignment="1">
      <alignment horizontal="left" vertical="top" wrapText="1"/>
    </xf>
    <xf numFmtId="169" fontId="31" fillId="41" borderId="23" xfId="0" applyNumberFormat="1" applyFont="1" applyFill="1" applyBorder="1" applyAlignment="1">
      <alignment horizontal="left" vertical="top" wrapText="1"/>
    </xf>
    <xf numFmtId="170" fontId="31" fillId="41" borderId="23" xfId="0" applyNumberFormat="1" applyFont="1" applyFill="1" applyBorder="1" applyAlignment="1">
      <alignment horizontal="left" vertical="top" wrapText="1"/>
    </xf>
    <xf numFmtId="166" fontId="0" fillId="0" borderId="3" xfId="4" applyNumberFormat="1" applyFont="1" applyBorder="1"/>
    <xf numFmtId="166" fontId="0" fillId="0" borderId="24" xfId="4" applyNumberFormat="1" applyFont="1" applyBorder="1"/>
    <xf numFmtId="0" fontId="0" fillId="0" borderId="24" xfId="0" applyBorder="1"/>
    <xf numFmtId="43" fontId="0" fillId="0" borderId="3" xfId="0" applyNumberFormat="1" applyBorder="1"/>
    <xf numFmtId="166" fontId="0" fillId="0" borderId="3" xfId="0" applyNumberFormat="1" applyBorder="1"/>
    <xf numFmtId="43" fontId="0" fillId="0" borderId="24" xfId="0" applyNumberFormat="1" applyBorder="1"/>
    <xf numFmtId="166" fontId="0" fillId="0" borderId="25" xfId="4" applyNumberFormat="1" applyFont="1" applyBorder="1"/>
    <xf numFmtId="43" fontId="0" fillId="0" borderId="0" xfId="4" applyFont="1" applyBorder="1"/>
    <xf numFmtId="166" fontId="0" fillId="0" borderId="0" xfId="0" applyNumberFormat="1"/>
    <xf numFmtId="0" fontId="0" fillId="0" borderId="1" xfId="0" applyBorder="1"/>
    <xf numFmtId="0" fontId="0" fillId="42" borderId="23" xfId="0" applyFill="1" applyBorder="1" applyAlignment="1">
      <alignment horizontal="left" vertical="top" wrapText="1"/>
    </xf>
    <xf numFmtId="0" fontId="0" fillId="42" borderId="23" xfId="0" applyFill="1" applyBorder="1" applyAlignment="1">
      <alignment horizontal="center" vertical="top" wrapText="1"/>
    </xf>
    <xf numFmtId="170" fontId="31" fillId="41" borderId="23" xfId="0" applyNumberFormat="1" applyFont="1" applyFill="1" applyBorder="1" applyAlignment="1">
      <alignment horizontal="center" vertical="top" wrapText="1"/>
    </xf>
    <xf numFmtId="169" fontId="31" fillId="41" borderId="23" xfId="0" applyNumberFormat="1" applyFont="1" applyFill="1" applyBorder="1" applyAlignment="1">
      <alignment horizontal="center" vertical="top" wrapText="1"/>
    </xf>
    <xf numFmtId="0" fontId="0" fillId="41" borderId="23" xfId="0" applyFill="1" applyBorder="1" applyAlignment="1">
      <alignment horizontal="center" vertical="top" wrapText="1"/>
    </xf>
    <xf numFmtId="169" fontId="33" fillId="41" borderId="23" xfId="0" applyNumberFormat="1" applyFont="1" applyFill="1" applyBorder="1" applyAlignment="1">
      <alignment horizontal="center" vertical="top" wrapText="1"/>
    </xf>
    <xf numFmtId="169" fontId="33" fillId="41" borderId="12" xfId="0" applyNumberFormat="1" applyFont="1" applyFill="1" applyBorder="1" applyAlignment="1">
      <alignment horizontal="left" vertical="top" wrapText="1"/>
    </xf>
    <xf numFmtId="0" fontId="0" fillId="0" borderId="24" xfId="0" applyBorder="1" applyAlignment="1">
      <alignment wrapText="1"/>
    </xf>
    <xf numFmtId="0" fontId="0" fillId="42" borderId="25" xfId="0" applyFill="1" applyBorder="1" applyAlignment="1">
      <alignment horizontal="left" vertical="top" wrapText="1"/>
    </xf>
    <xf numFmtId="0" fontId="0" fillId="41" borderId="25" xfId="0" applyFill="1" applyBorder="1" applyAlignment="1">
      <alignment horizontal="left" vertical="top" wrapText="1"/>
    </xf>
    <xf numFmtId="168" fontId="0" fillId="0" borderId="0" xfId="0" applyNumberFormat="1"/>
    <xf numFmtId="0" fontId="0" fillId="9" borderId="3" xfId="0" applyFill="1" applyBorder="1"/>
    <xf numFmtId="0" fontId="0" fillId="9" borderId="24" xfId="0" applyFill="1" applyBorder="1"/>
    <xf numFmtId="0" fontId="2" fillId="2" borderId="36" xfId="0" applyFont="1" applyFill="1" applyBorder="1" applyAlignment="1">
      <alignment horizontal="center" wrapText="1"/>
    </xf>
    <xf numFmtId="3" fontId="4" fillId="3" borderId="37" xfId="0" applyNumberFormat="1" applyFont="1" applyFill="1" applyBorder="1" applyAlignment="1">
      <alignment wrapText="1"/>
    </xf>
    <xf numFmtId="0" fontId="2" fillId="2" borderId="37" xfId="0" applyFont="1" applyFill="1" applyBorder="1" applyAlignment="1">
      <alignment horizontal="center" wrapText="1"/>
    </xf>
    <xf numFmtId="3" fontId="4" fillId="4" borderId="37" xfId="0" applyNumberFormat="1" applyFont="1" applyFill="1" applyBorder="1" applyAlignment="1">
      <alignment wrapText="1"/>
    </xf>
    <xf numFmtId="9" fontId="0" fillId="0" borderId="8" xfId="3" applyFont="1" applyBorder="1"/>
    <xf numFmtId="0" fontId="0" fillId="0" borderId="6" xfId="0" applyBorder="1"/>
    <xf numFmtId="0" fontId="36" fillId="0" borderId="0" xfId="0" applyFont="1" applyAlignment="1">
      <alignment wrapText="1"/>
    </xf>
    <xf numFmtId="0" fontId="5" fillId="0" borderId="8" xfId="1" applyFill="1" applyBorder="1" applyAlignment="1" applyProtection="1"/>
    <xf numFmtId="0" fontId="5" fillId="0" borderId="8" xfId="0" applyFont="1" applyBorder="1"/>
    <xf numFmtId="0" fontId="36" fillId="43" borderId="1" xfId="0" applyFont="1" applyFill="1" applyBorder="1" applyAlignment="1">
      <alignment wrapText="1"/>
    </xf>
    <xf numFmtId="0" fontId="2" fillId="2" borderId="0" xfId="0" applyFont="1" applyFill="1" applyAlignment="1">
      <alignment horizontal="center"/>
    </xf>
    <xf numFmtId="0" fontId="2" fillId="5" borderId="0" xfId="0" applyFont="1" applyFill="1" applyAlignment="1">
      <alignment wrapText="1"/>
    </xf>
    <xf numFmtId="0" fontId="2" fillId="2" borderId="39" xfId="0" applyFont="1" applyFill="1" applyBorder="1" applyAlignment="1">
      <alignment horizontal="center"/>
    </xf>
    <xf numFmtId="0" fontId="0" fillId="6" borderId="0" xfId="0" applyFill="1"/>
    <xf numFmtId="43" fontId="0" fillId="6" borderId="0" xfId="4" applyFont="1" applyFill="1"/>
    <xf numFmtId="166" fontId="0" fillId="6" borderId="0" xfId="4" applyNumberFormat="1" applyFont="1" applyFill="1"/>
    <xf numFmtId="0" fontId="2" fillId="44" borderId="0" xfId="0" applyFont="1" applyFill="1"/>
    <xf numFmtId="0" fontId="2" fillId="44" borderId="0" xfId="0" applyFont="1" applyFill="1" applyAlignment="1">
      <alignment horizontal="right"/>
    </xf>
    <xf numFmtId="0" fontId="2" fillId="5" borderId="0" xfId="0" applyFont="1" applyFill="1"/>
    <xf numFmtId="0" fontId="2" fillId="5" borderId="0" xfId="0" applyFont="1" applyFill="1" applyAlignment="1">
      <alignment horizontal="right"/>
    </xf>
    <xf numFmtId="1" fontId="2" fillId="44" borderId="0" xfId="0" applyNumberFormat="1" applyFont="1" applyFill="1" applyAlignment="1">
      <alignment horizontal="right"/>
    </xf>
    <xf numFmtId="0" fontId="2" fillId="5" borderId="0" xfId="0" applyFont="1" applyFill="1" applyAlignment="1">
      <alignment horizontal="left" wrapText="1"/>
    </xf>
    <xf numFmtId="0" fontId="2" fillId="2" borderId="36" xfId="0" applyFont="1" applyFill="1" applyBorder="1" applyAlignment="1">
      <alignment horizontal="center"/>
    </xf>
    <xf numFmtId="3" fontId="4" fillId="3" borderId="37" xfId="0" applyNumberFormat="1" applyFont="1" applyFill="1" applyBorder="1"/>
    <xf numFmtId="0" fontId="2" fillId="2" borderId="0" xfId="0" applyFont="1" applyFill="1" applyAlignment="1">
      <alignment horizontal="center" wrapText="1"/>
    </xf>
    <xf numFmtId="0" fontId="2" fillId="2" borderId="37" xfId="0" applyFont="1" applyFill="1" applyBorder="1" applyAlignment="1">
      <alignment horizontal="center"/>
    </xf>
    <xf numFmtId="3" fontId="0" fillId="4" borderId="37" xfId="0" applyNumberFormat="1" applyFill="1" applyBorder="1"/>
    <xf numFmtId="3" fontId="0" fillId="4" borderId="38" xfId="0" applyNumberFormat="1" applyFill="1" applyBorder="1"/>
    <xf numFmtId="3" fontId="4" fillId="4" borderId="37" xfId="0" applyNumberFormat="1" applyFont="1" applyFill="1" applyBorder="1" applyAlignment="1">
      <alignment horizontal="right"/>
    </xf>
    <xf numFmtId="3" fontId="4" fillId="4" borderId="38" xfId="0" applyNumberFormat="1" applyFont="1" applyFill="1" applyBorder="1" applyAlignment="1">
      <alignment horizontal="right"/>
    </xf>
    <xf numFmtId="3" fontId="4" fillId="3" borderId="36" xfId="0" applyNumberFormat="1" applyFont="1" applyFill="1" applyBorder="1"/>
    <xf numFmtId="0" fontId="0" fillId="6" borderId="0" xfId="0" applyFill="1" applyAlignment="1">
      <alignment wrapText="1"/>
    </xf>
    <xf numFmtId="0" fontId="4" fillId="6" borderId="0" xfId="0" applyFont="1" applyFill="1"/>
    <xf numFmtId="0" fontId="4" fillId="5" borderId="7" xfId="0" applyFont="1" applyFill="1" applyBorder="1"/>
    <xf numFmtId="0" fontId="4" fillId="5" borderId="0" xfId="0" applyFont="1" applyFill="1" applyAlignment="1">
      <alignment wrapText="1"/>
    </xf>
    <xf numFmtId="0" fontId="36" fillId="5" borderId="0" xfId="0" applyFont="1" applyFill="1" applyAlignment="1">
      <alignment horizontal="center" wrapText="1"/>
    </xf>
    <xf numFmtId="0" fontId="36" fillId="5" borderId="8" xfId="0" applyFont="1" applyFill="1" applyBorder="1" applyAlignment="1">
      <alignment horizontal="center" wrapText="1"/>
    </xf>
    <xf numFmtId="0" fontId="4" fillId="5" borderId="9" xfId="0" applyFont="1" applyFill="1" applyBorder="1"/>
    <xf numFmtId="0" fontId="36" fillId="5" borderId="1" xfId="0" applyFont="1" applyFill="1" applyBorder="1" applyAlignment="1">
      <alignment horizontal="center" wrapText="1"/>
    </xf>
    <xf numFmtId="0" fontId="36" fillId="5" borderId="10" xfId="0" applyFont="1" applyFill="1" applyBorder="1" applyAlignment="1">
      <alignment horizontal="center" wrapText="1"/>
    </xf>
    <xf numFmtId="0" fontId="4" fillId="45" borderId="7" xfId="0" applyFont="1" applyFill="1" applyBorder="1"/>
    <xf numFmtId="0" fontId="4" fillId="45" borderId="0" xfId="0" applyFont="1" applyFill="1" applyAlignment="1">
      <alignment wrapText="1"/>
    </xf>
    <xf numFmtId="0" fontId="4" fillId="45" borderId="8" xfId="0" applyFont="1" applyFill="1" applyBorder="1" applyAlignment="1">
      <alignment wrapText="1"/>
    </xf>
    <xf numFmtId="166" fontId="4" fillId="5" borderId="0" xfId="4" applyNumberFormat="1" applyFont="1" applyFill="1" applyBorder="1" applyAlignment="1">
      <alignment wrapText="1"/>
    </xf>
    <xf numFmtId="0" fontId="4" fillId="5" borderId="8" xfId="0" applyFont="1" applyFill="1" applyBorder="1"/>
    <xf numFmtId="10" fontId="4" fillId="5" borderId="0" xfId="3" applyNumberFormat="1" applyFont="1" applyFill="1" applyBorder="1" applyAlignment="1">
      <alignment wrapText="1"/>
    </xf>
    <xf numFmtId="166" fontId="4" fillId="5" borderId="1" xfId="4" applyNumberFormat="1" applyFont="1" applyFill="1" applyBorder="1" applyAlignment="1">
      <alignment wrapText="1"/>
    </xf>
    <xf numFmtId="0" fontId="4" fillId="5" borderId="1" xfId="0" applyFont="1" applyFill="1" applyBorder="1" applyAlignment="1">
      <alignment wrapText="1"/>
    </xf>
    <xf numFmtId="0" fontId="4" fillId="5" borderId="10" xfId="0" applyFont="1" applyFill="1" applyBorder="1"/>
    <xf numFmtId="0" fontId="10" fillId="46" borderId="7" xfId="0" applyFont="1" applyFill="1" applyBorder="1"/>
    <xf numFmtId="0" fontId="10" fillId="46" borderId="8" xfId="0" applyFont="1" applyFill="1" applyBorder="1" applyAlignment="1">
      <alignment wrapText="1"/>
    </xf>
    <xf numFmtId="0" fontId="0" fillId="44" borderId="0" xfId="0" applyFill="1"/>
    <xf numFmtId="0" fontId="0" fillId="47" borderId="0" xfId="0" applyFill="1"/>
    <xf numFmtId="0" fontId="2" fillId="47" borderId="0" xfId="0" applyFont="1" applyFill="1" applyAlignment="1">
      <alignment wrapText="1"/>
    </xf>
    <xf numFmtId="0" fontId="2" fillId="5" borderId="0" xfId="0" applyFont="1" applyFill="1" applyAlignment="1">
      <alignment horizontal="left"/>
    </xf>
    <xf numFmtId="0" fontId="4" fillId="44" borderId="0" xfId="0" applyFont="1" applyFill="1" applyAlignment="1">
      <alignment horizontal="right"/>
    </xf>
    <xf numFmtId="0" fontId="4" fillId="44" borderId="0" xfId="0" applyFont="1" applyFill="1"/>
    <xf numFmtId="1" fontId="4" fillId="44" borderId="0" xfId="0" applyNumberFormat="1" applyFont="1" applyFill="1" applyAlignment="1">
      <alignment horizontal="right"/>
    </xf>
    <xf numFmtId="0" fontId="2" fillId="47" borderId="0" xfId="0" applyFont="1" applyFill="1"/>
    <xf numFmtId="0" fontId="4" fillId="47" borderId="0" xfId="0" applyFont="1" applyFill="1"/>
    <xf numFmtId="0" fontId="0" fillId="47" borderId="0" xfId="0" applyFill="1" applyAlignment="1">
      <alignment wrapText="1"/>
    </xf>
    <xf numFmtId="166" fontId="0" fillId="47" borderId="0" xfId="4" applyNumberFormat="1" applyFont="1" applyFill="1"/>
    <xf numFmtId="0" fontId="0" fillId="5" borderId="0" xfId="0" applyFill="1" applyAlignment="1">
      <alignment wrapText="1"/>
    </xf>
    <xf numFmtId="3" fontId="4" fillId="4" borderId="36" xfId="0" applyNumberFormat="1" applyFont="1" applyFill="1" applyBorder="1" applyAlignment="1">
      <alignment horizontal="right"/>
    </xf>
    <xf numFmtId="3" fontId="0" fillId="4" borderId="36" xfId="0" applyNumberFormat="1" applyFill="1" applyBorder="1"/>
    <xf numFmtId="0" fontId="2" fillId="2" borderId="22" xfId="0" applyFont="1" applyFill="1" applyBorder="1" applyAlignment="1">
      <alignment horizontal="center"/>
    </xf>
    <xf numFmtId="0" fontId="2" fillId="5" borderId="2" xfId="0" applyFont="1" applyFill="1" applyBorder="1" applyAlignment="1">
      <alignment horizontal="left" wrapText="1"/>
    </xf>
    <xf numFmtId="0" fontId="2" fillId="0" borderId="0" xfId="0" applyFont="1"/>
    <xf numFmtId="0" fontId="2" fillId="0" borderId="0" xfId="0" applyFont="1" applyAlignment="1">
      <alignment wrapText="1"/>
    </xf>
    <xf numFmtId="0" fontId="2" fillId="6" borderId="0" xfId="0" applyFont="1" applyFill="1" applyAlignment="1">
      <alignment horizontal="center"/>
    </xf>
    <xf numFmtId="0" fontId="2" fillId="0" borderId="0" xfId="0" applyFont="1" applyAlignment="1">
      <alignment horizontal="right"/>
    </xf>
    <xf numFmtId="165" fontId="4" fillId="4" borderId="37" xfId="2" applyNumberFormat="1" applyFont="1" applyFill="1" applyBorder="1" applyAlignment="1">
      <alignment horizontal="center"/>
    </xf>
    <xf numFmtId="0" fontId="2" fillId="6" borderId="36" xfId="0" applyFont="1" applyFill="1" applyBorder="1" applyAlignment="1">
      <alignment horizontal="center"/>
    </xf>
    <xf numFmtId="3" fontId="4" fillId="7" borderId="37" xfId="0" applyNumberFormat="1" applyFont="1" applyFill="1" applyBorder="1" applyAlignment="1">
      <alignment horizontal="right"/>
    </xf>
    <xf numFmtId="3" fontId="4" fillId="7" borderId="38" xfId="0" applyNumberFormat="1" applyFont="1" applyFill="1" applyBorder="1" applyAlignment="1">
      <alignment horizontal="right"/>
    </xf>
    <xf numFmtId="3" fontId="4" fillId="4" borderId="38" xfId="0" applyNumberFormat="1" applyFont="1" applyFill="1" applyBorder="1" applyAlignment="1">
      <alignment wrapText="1"/>
    </xf>
    <xf numFmtId="0" fontId="2" fillId="5" borderId="0" xfId="0" applyFont="1" applyFill="1" applyAlignment="1">
      <alignment horizontal="right" wrapText="1"/>
    </xf>
    <xf numFmtId="0" fontId="0" fillId="48" borderId="0" xfId="0" applyFill="1"/>
    <xf numFmtId="0" fontId="0" fillId="48" borderId="0" xfId="0" applyFill="1" applyAlignment="1">
      <alignment wrapText="1"/>
    </xf>
    <xf numFmtId="0" fontId="2" fillId="48" borderId="0" xfId="0" applyFont="1" applyFill="1" applyAlignment="1">
      <alignment wrapText="1"/>
    </xf>
    <xf numFmtId="0" fontId="0" fillId="48" borderId="0" xfId="0" applyFill="1" applyAlignment="1">
      <alignment horizontal="left" wrapText="1"/>
    </xf>
    <xf numFmtId="0" fontId="2" fillId="48" borderId="0" xfId="0" applyFont="1" applyFill="1" applyAlignment="1">
      <alignment horizontal="left"/>
    </xf>
    <xf numFmtId="0" fontId="2" fillId="48" borderId="0" xfId="0" applyFont="1" applyFill="1"/>
    <xf numFmtId="0" fontId="2" fillId="6" borderId="36" xfId="0" applyFont="1" applyFill="1" applyBorder="1" applyAlignment="1">
      <alignment horizontal="center" wrapText="1"/>
    </xf>
    <xf numFmtId="0" fontId="2" fillId="6" borderId="37" xfId="0" applyFont="1" applyFill="1" applyBorder="1" applyAlignment="1">
      <alignment horizontal="center"/>
    </xf>
    <xf numFmtId="166" fontId="4" fillId="4" borderId="37" xfId="4" applyNumberFormat="1" applyFont="1" applyFill="1" applyBorder="1" applyAlignment="1">
      <alignment wrapText="1"/>
    </xf>
    <xf numFmtId="0" fontId="4" fillId="49" borderId="7" xfId="0" applyFont="1" applyFill="1" applyBorder="1"/>
    <xf numFmtId="3" fontId="4" fillId="49" borderId="0" xfId="0" applyNumberFormat="1" applyFont="1" applyFill="1" applyAlignment="1">
      <alignment horizontal="right"/>
    </xf>
    <xf numFmtId="3" fontId="4" fillId="49" borderId="0" xfId="0" applyNumberFormat="1" applyFont="1" applyFill="1"/>
    <xf numFmtId="3" fontId="4" fillId="49" borderId="8" xfId="0" applyNumberFormat="1" applyFont="1" applyFill="1" applyBorder="1" applyAlignment="1">
      <alignment horizontal="right"/>
    </xf>
    <xf numFmtId="0" fontId="36" fillId="49" borderId="7" xfId="0" applyFont="1" applyFill="1" applyBorder="1"/>
    <xf numFmtId="166" fontId="0" fillId="7" borderId="37" xfId="4" applyNumberFormat="1" applyFont="1" applyFill="1" applyBorder="1"/>
    <xf numFmtId="166" fontId="0" fillId="7" borderId="38" xfId="4" applyNumberFormat="1" applyFont="1" applyFill="1" applyBorder="1"/>
    <xf numFmtId="165" fontId="0" fillId="7" borderId="37" xfId="2" applyNumberFormat="1" applyFont="1" applyFill="1" applyBorder="1"/>
    <xf numFmtId="165" fontId="0" fillId="7" borderId="38" xfId="2" applyNumberFormat="1" applyFont="1" applyFill="1" applyBorder="1"/>
    <xf numFmtId="166" fontId="0" fillId="0" borderId="0" xfId="4" applyNumberFormat="1" applyFont="1"/>
    <xf numFmtId="165" fontId="0" fillId="6" borderId="0" xfId="0" applyNumberFormat="1" applyFill="1"/>
    <xf numFmtId="1" fontId="36" fillId="5" borderId="7" xfId="0" applyNumberFormat="1" applyFont="1" applyFill="1" applyBorder="1"/>
    <xf numFmtId="1" fontId="36" fillId="5" borderId="9" xfId="0" applyNumberFormat="1" applyFont="1" applyFill="1" applyBorder="1"/>
    <xf numFmtId="1" fontId="36" fillId="49" borderId="7" xfId="0" applyNumberFormat="1" applyFont="1" applyFill="1" applyBorder="1"/>
    <xf numFmtId="0" fontId="4" fillId="5" borderId="9" xfId="69" applyFill="1" applyBorder="1"/>
    <xf numFmtId="0" fontId="4" fillId="50" borderId="7" xfId="69" applyFill="1" applyBorder="1"/>
    <xf numFmtId="44" fontId="3" fillId="49" borderId="0" xfId="52" applyFont="1" applyFill="1" applyBorder="1" applyAlignment="1">
      <alignment horizontal="center" wrapText="1"/>
    </xf>
    <xf numFmtId="44" fontId="3" fillId="49" borderId="0" xfId="52" applyFont="1" applyFill="1" applyBorder="1" applyAlignment="1">
      <alignment wrapText="1"/>
    </xf>
    <xf numFmtId="0" fontId="3" fillId="45" borderId="0" xfId="5" applyFont="1" applyFill="1" applyAlignment="1">
      <alignment wrapText="1"/>
    </xf>
    <xf numFmtId="44" fontId="0" fillId="6" borderId="0" xfId="0" applyNumberFormat="1" applyFill="1"/>
    <xf numFmtId="0" fontId="3" fillId="45" borderId="8" xfId="5" applyFont="1" applyFill="1" applyBorder="1" applyAlignment="1">
      <alignment wrapText="1"/>
    </xf>
    <xf numFmtId="164" fontId="3" fillId="49" borderId="8" xfId="52" applyNumberFormat="1" applyFont="1" applyFill="1" applyBorder="1" applyAlignment="1">
      <alignment horizontal="center" wrapText="1"/>
    </xf>
    <xf numFmtId="164" fontId="3" fillId="49" borderId="8" xfId="52" applyNumberFormat="1" applyFont="1" applyFill="1" applyBorder="1" applyAlignment="1">
      <alignment wrapText="1"/>
    </xf>
    <xf numFmtId="166" fontId="4" fillId="49" borderId="0" xfId="4" applyNumberFormat="1" applyFont="1" applyFill="1" applyBorder="1" applyAlignment="1">
      <alignment horizontal="right" wrapText="1"/>
    </xf>
    <xf numFmtId="166" fontId="4" fillId="49" borderId="8" xfId="4" applyNumberFormat="1" applyFont="1" applyFill="1" applyBorder="1" applyAlignment="1">
      <alignment horizontal="right"/>
    </xf>
    <xf numFmtId="166" fontId="4" fillId="49" borderId="0" xfId="6" applyNumberFormat="1" applyFont="1" applyFill="1" applyBorder="1" applyAlignment="1">
      <alignment horizontal="right" wrapText="1"/>
    </xf>
    <xf numFmtId="166" fontId="4" fillId="49" borderId="8" xfId="6" applyNumberFormat="1" applyFont="1" applyFill="1" applyBorder="1" applyAlignment="1">
      <alignment horizontal="right"/>
    </xf>
    <xf numFmtId="166" fontId="4" fillId="7" borderId="37" xfId="4" applyNumberFormat="1" applyFont="1" applyFill="1" applyBorder="1"/>
    <xf numFmtId="43" fontId="0" fillId="0" borderId="0" xfId="0" applyNumberFormat="1"/>
    <xf numFmtId="0" fontId="4" fillId="0" borderId="0" xfId="0" applyFont="1"/>
    <xf numFmtId="0" fontId="2" fillId="0" borderId="0" xfId="0" applyFont="1" applyAlignment="1">
      <alignment horizontal="center" wrapText="1"/>
    </xf>
    <xf numFmtId="3" fontId="4" fillId="0" borderId="0" xfId="0" applyNumberFormat="1" applyFont="1" applyAlignment="1">
      <alignment horizontal="right"/>
    </xf>
    <xf numFmtId="10" fontId="0" fillId="0" borderId="23" xfId="3" applyNumberFormat="1" applyFont="1" applyBorder="1"/>
    <xf numFmtId="166" fontId="3" fillId="0" borderId="23" xfId="4" applyNumberFormat="1" applyFont="1" applyBorder="1"/>
    <xf numFmtId="167" fontId="0" fillId="0" borderId="23" xfId="3" applyNumberFormat="1" applyFont="1" applyFill="1" applyBorder="1"/>
    <xf numFmtId="43" fontId="13" fillId="0" borderId="23" xfId="4" applyFont="1" applyFill="1" applyBorder="1"/>
    <xf numFmtId="166" fontId="0" fillId="0" borderId="23" xfId="4" applyNumberFormat="1" applyFont="1" applyFill="1" applyBorder="1"/>
    <xf numFmtId="10" fontId="0" fillId="0" borderId="23" xfId="3" applyNumberFormat="1" applyFont="1" applyFill="1" applyBorder="1"/>
    <xf numFmtId="172" fontId="36" fillId="5" borderId="0" xfId="4" applyNumberFormat="1" applyFont="1" applyFill="1" applyBorder="1" applyAlignment="1">
      <alignment horizontal="center" wrapText="1"/>
    </xf>
    <xf numFmtId="172" fontId="36" fillId="5" borderId="8" xfId="4" applyNumberFormat="1" applyFont="1" applyFill="1" applyBorder="1" applyAlignment="1">
      <alignment horizontal="center" wrapText="1"/>
    </xf>
    <xf numFmtId="172" fontId="36" fillId="5" borderId="1" xfId="4" applyNumberFormat="1" applyFont="1" applyFill="1" applyBorder="1" applyAlignment="1">
      <alignment horizontal="center" wrapText="1"/>
    </xf>
    <xf numFmtId="172" fontId="36" fillId="5" borderId="10" xfId="4" applyNumberFormat="1" applyFont="1" applyFill="1" applyBorder="1" applyAlignment="1">
      <alignment horizontal="center" wrapText="1"/>
    </xf>
    <xf numFmtId="0" fontId="2" fillId="0" borderId="13" xfId="0" applyFont="1" applyBorder="1" applyAlignment="1">
      <alignment horizontal="right"/>
    </xf>
    <xf numFmtId="0" fontId="2" fillId="0" borderId="13" xfId="0" applyFont="1" applyBorder="1"/>
    <xf numFmtId="3" fontId="4" fillId="0" borderId="12" xfId="0" applyNumberFormat="1" applyFont="1" applyBorder="1" applyAlignment="1">
      <alignment horizontal="right"/>
    </xf>
    <xf numFmtId="0" fontId="2" fillId="0" borderId="18" xfId="0" applyFont="1" applyBorder="1" applyAlignment="1">
      <alignment horizontal="right"/>
    </xf>
    <xf numFmtId="0" fontId="2" fillId="0" borderId="20" xfId="0" applyFont="1" applyBorder="1" applyAlignment="1">
      <alignment horizontal="center" wrapText="1"/>
    </xf>
    <xf numFmtId="0" fontId="2" fillId="0" borderId="16" xfId="0" applyFont="1" applyBorder="1" applyAlignment="1">
      <alignment horizontal="center" wrapText="1"/>
    </xf>
    <xf numFmtId="0" fontId="2" fillId="0" borderId="19" xfId="0" applyFont="1" applyBorder="1"/>
    <xf numFmtId="166" fontId="0" fillId="0" borderId="21" xfId="4" applyNumberFormat="1" applyFont="1" applyFill="1" applyBorder="1"/>
    <xf numFmtId="0" fontId="0" fillId="0" borderId="19" xfId="0" applyBorder="1"/>
    <xf numFmtId="0" fontId="13" fillId="0" borderId="13" xfId="4" applyNumberFormat="1" applyFont="1" applyFill="1" applyBorder="1"/>
    <xf numFmtId="167" fontId="0" fillId="0" borderId="12" xfId="3" applyNumberFormat="1" applyFont="1" applyFill="1" applyBorder="1"/>
    <xf numFmtId="166" fontId="0" fillId="0" borderId="12" xfId="4" applyNumberFormat="1" applyFont="1" applyFill="1" applyBorder="1"/>
    <xf numFmtId="0" fontId="13" fillId="0" borderId="19" xfId="4" applyNumberFormat="1" applyFont="1" applyFill="1" applyBorder="1"/>
    <xf numFmtId="43" fontId="13" fillId="0" borderId="21" xfId="4" applyFont="1" applyFill="1" applyBorder="1"/>
    <xf numFmtId="166" fontId="0" fillId="0" borderId="14" xfId="4" applyNumberFormat="1" applyFont="1" applyFill="1" applyBorder="1"/>
    <xf numFmtId="166" fontId="13" fillId="0" borderId="20" xfId="4" applyNumberFormat="1" applyFont="1" applyFill="1" applyBorder="1"/>
    <xf numFmtId="0" fontId="4" fillId="0" borderId="20" xfId="0" applyFont="1" applyBorder="1"/>
    <xf numFmtId="0" fontId="0" fillId="0" borderId="20" xfId="0" applyBorder="1"/>
    <xf numFmtId="167" fontId="0" fillId="0" borderId="20" xfId="3" applyNumberFormat="1" applyFont="1" applyFill="1" applyBorder="1"/>
    <xf numFmtId="167" fontId="0" fillId="0" borderId="16" xfId="3" applyNumberFormat="1" applyFont="1" applyFill="1" applyBorder="1"/>
    <xf numFmtId="0" fontId="0" fillId="0" borderId="13" xfId="0" applyBorder="1"/>
    <xf numFmtId="0" fontId="13" fillId="44" borderId="13" xfId="4" applyNumberFormat="1" applyFont="1" applyFill="1" applyBorder="1"/>
    <xf numFmtId="0" fontId="0" fillId="0" borderId="18" xfId="0" applyBorder="1"/>
    <xf numFmtId="0" fontId="13" fillId="44" borderId="19" xfId="4" applyNumberFormat="1" applyFont="1" applyFill="1" applyBorder="1"/>
    <xf numFmtId="10" fontId="0" fillId="0" borderId="12" xfId="3" applyNumberFormat="1" applyFont="1" applyFill="1" applyBorder="1"/>
    <xf numFmtId="10" fontId="0" fillId="0" borderId="12" xfId="3" applyNumberFormat="1" applyFont="1" applyBorder="1"/>
    <xf numFmtId="0" fontId="3" fillId="0" borderId="18" xfId="0" applyFont="1" applyBorder="1" applyAlignment="1">
      <alignment horizontal="center" vertical="center" wrapText="1"/>
    </xf>
    <xf numFmtId="0" fontId="3" fillId="0" borderId="20" xfId="0" applyFont="1" applyBorder="1" applyAlignment="1">
      <alignment horizontal="center" wrapText="1"/>
    </xf>
    <xf numFmtId="10" fontId="0" fillId="0" borderId="21" xfId="3" applyNumberFormat="1" applyFont="1" applyBorder="1"/>
    <xf numFmtId="10" fontId="0" fillId="0" borderId="14" xfId="3" applyNumberFormat="1" applyFont="1" applyBorder="1"/>
    <xf numFmtId="43" fontId="3" fillId="49" borderId="8" xfId="6" applyFont="1" applyFill="1" applyBorder="1" applyAlignment="1">
      <alignment horizontal="center"/>
    </xf>
    <xf numFmtId="2" fontId="3" fillId="49" borderId="8" xfId="5" applyNumberFormat="1" applyFont="1" applyFill="1" applyBorder="1"/>
    <xf numFmtId="2" fontId="3" fillId="49" borderId="8" xfId="69" applyNumberFormat="1" applyFont="1" applyFill="1" applyBorder="1"/>
    <xf numFmtId="43" fontId="3" fillId="49" borderId="8" xfId="6" applyFont="1" applyFill="1" applyBorder="1"/>
    <xf numFmtId="173" fontId="3" fillId="49" borderId="8" xfId="5" applyNumberFormat="1" applyFont="1" applyFill="1" applyBorder="1"/>
    <xf numFmtId="173" fontId="3" fillId="9" borderId="8" xfId="5" applyNumberFormat="1" applyFont="1" applyFill="1" applyBorder="1"/>
    <xf numFmtId="0" fontId="10" fillId="46" borderId="41" xfId="0" applyFont="1" applyFill="1" applyBorder="1"/>
    <xf numFmtId="44" fontId="0" fillId="6" borderId="0" xfId="2" applyFont="1" applyFill="1"/>
    <xf numFmtId="44" fontId="0" fillId="0" borderId="0" xfId="2" applyFont="1"/>
    <xf numFmtId="0" fontId="0" fillId="6" borderId="7" xfId="0" applyFill="1" applyBorder="1"/>
    <xf numFmtId="44" fontId="0" fillId="6" borderId="8" xfId="2" applyFont="1" applyFill="1" applyBorder="1"/>
    <xf numFmtId="44" fontId="0" fillId="9" borderId="0" xfId="2" applyFont="1" applyFill="1" applyBorder="1"/>
    <xf numFmtId="44" fontId="0" fillId="9" borderId="8" xfId="2" applyFont="1" applyFill="1" applyBorder="1"/>
    <xf numFmtId="0" fontId="0" fillId="6" borderId="9" xfId="0" applyFill="1" applyBorder="1"/>
    <xf numFmtId="44" fontId="0" fillId="9" borderId="1" xfId="2" applyFont="1" applyFill="1" applyBorder="1"/>
    <xf numFmtId="44" fontId="0" fillId="9" borderId="10" xfId="2" applyFont="1" applyFill="1" applyBorder="1"/>
    <xf numFmtId="44" fontId="10" fillId="46" borderId="0" xfId="2" applyFont="1" applyFill="1" applyBorder="1" applyAlignment="1">
      <alignment wrapText="1"/>
    </xf>
    <xf numFmtId="44" fontId="10" fillId="46" borderId="8" xfId="2" applyFont="1" applyFill="1" applyBorder="1" applyAlignment="1">
      <alignment wrapText="1"/>
    </xf>
    <xf numFmtId="0" fontId="39" fillId="6" borderId="23" xfId="0" applyFont="1" applyFill="1" applyBorder="1" applyAlignment="1">
      <alignment horizontal="right"/>
    </xf>
    <xf numFmtId="0" fontId="39" fillId="6" borderId="23" xfId="0" applyFont="1" applyFill="1" applyBorder="1" applyAlignment="1">
      <alignment horizontal="center" wrapText="1"/>
    </xf>
    <xf numFmtId="0" fontId="39" fillId="51" borderId="23" xfId="0" applyFont="1" applyFill="1" applyBorder="1"/>
    <xf numFmtId="43" fontId="4" fillId="49" borderId="8" xfId="4" applyFont="1" applyFill="1" applyBorder="1"/>
    <xf numFmtId="43" fontId="4" fillId="5" borderId="8" xfId="4" applyFont="1" applyFill="1" applyBorder="1"/>
    <xf numFmtId="43" fontId="36" fillId="5" borderId="0" xfId="4" applyFont="1" applyFill="1" applyBorder="1" applyAlignment="1">
      <alignment horizontal="center" wrapText="1"/>
    </xf>
    <xf numFmtId="43" fontId="36" fillId="5" borderId="1" xfId="4" applyFont="1" applyFill="1" applyBorder="1" applyAlignment="1">
      <alignment horizontal="center" wrapText="1"/>
    </xf>
    <xf numFmtId="43" fontId="4" fillId="5" borderId="10" xfId="4" applyFont="1" applyFill="1" applyBorder="1"/>
    <xf numFmtId="44" fontId="0" fillId="47" borderId="0" xfId="0" applyNumberFormat="1" applyFill="1"/>
    <xf numFmtId="1" fontId="0" fillId="6" borderId="0" xfId="0" applyNumberFormat="1" applyFill="1"/>
    <xf numFmtId="0" fontId="39" fillId="6" borderId="15" xfId="0" applyFont="1" applyFill="1" applyBorder="1" applyAlignment="1">
      <alignment horizontal="center" wrapText="1"/>
    </xf>
    <xf numFmtId="166" fontId="0" fillId="0" borderId="7" xfId="4" applyNumberFormat="1" applyFont="1" applyBorder="1"/>
    <xf numFmtId="0" fontId="4" fillId="0" borderId="0" xfId="0" applyFont="1" applyAlignment="1">
      <alignment horizontal="right"/>
    </xf>
    <xf numFmtId="167" fontId="0" fillId="0" borderId="7" xfId="3" applyNumberFormat="1" applyFont="1" applyBorder="1"/>
    <xf numFmtId="0" fontId="4" fillId="0" borderId="1" xfId="0" applyFont="1" applyBorder="1" applyAlignment="1">
      <alignment horizontal="right"/>
    </xf>
    <xf numFmtId="0" fontId="4" fillId="0" borderId="1" xfId="0" applyFont="1" applyBorder="1" applyAlignment="1">
      <alignment wrapText="1"/>
    </xf>
    <xf numFmtId="166" fontId="0" fillId="0" borderId="7" xfId="4" applyNumberFormat="1" applyFont="1" applyFill="1" applyBorder="1"/>
    <xf numFmtId="43" fontId="0" fillId="0" borderId="9" xfId="0" applyNumberFormat="1" applyBorder="1"/>
    <xf numFmtId="0" fontId="47" fillId="6" borderId="0" xfId="0" applyFont="1" applyFill="1" applyAlignment="1">
      <alignment horizontal="center" wrapText="1"/>
    </xf>
    <xf numFmtId="0" fontId="0" fillId="56" borderId="0" xfId="0" applyFill="1"/>
    <xf numFmtId="0" fontId="0" fillId="57" borderId="0" xfId="0" applyFill="1"/>
    <xf numFmtId="0" fontId="48" fillId="56" borderId="0" xfId="0" applyFont="1" applyFill="1"/>
    <xf numFmtId="0" fontId="39" fillId="6" borderId="0" xfId="0" applyFont="1" applyFill="1" applyAlignment="1">
      <alignment horizontal="center" wrapText="1"/>
    </xf>
    <xf numFmtId="166" fontId="4" fillId="0" borderId="23" xfId="4" applyNumberFormat="1" applyFont="1" applyBorder="1"/>
    <xf numFmtId="166" fontId="4" fillId="0" borderId="20" xfId="4" applyNumberFormat="1" applyFont="1" applyBorder="1"/>
    <xf numFmtId="166" fontId="4" fillId="0" borderId="21" xfId="4" applyNumberFormat="1" applyFont="1" applyBorder="1"/>
    <xf numFmtId="167" fontId="4" fillId="0" borderId="20" xfId="3" applyNumberFormat="1" applyFont="1" applyFill="1" applyBorder="1"/>
    <xf numFmtId="0" fontId="51" fillId="6" borderId="0" xfId="0" applyFont="1" applyFill="1"/>
    <xf numFmtId="166" fontId="52" fillId="52" borderId="23" xfId="4" applyNumberFormat="1" applyFont="1" applyFill="1" applyBorder="1" applyProtection="1">
      <protection locked="0"/>
    </xf>
    <xf numFmtId="0" fontId="51" fillId="6" borderId="0" xfId="0" applyFont="1" applyFill="1" applyAlignment="1">
      <alignment horizontal="right"/>
    </xf>
    <xf numFmtId="0" fontId="54" fillId="6" borderId="23" xfId="0" applyFont="1" applyFill="1" applyBorder="1" applyAlignment="1">
      <alignment horizontal="center" wrapText="1"/>
    </xf>
    <xf numFmtId="0" fontId="54" fillId="6" borderId="23" xfId="0" applyFont="1" applyFill="1" applyBorder="1" applyAlignment="1">
      <alignment horizontal="right"/>
    </xf>
    <xf numFmtId="0" fontId="54" fillId="51" borderId="23" xfId="0" applyFont="1" applyFill="1" applyBorder="1"/>
    <xf numFmtId="0" fontId="56" fillId="6" borderId="0" xfId="0" applyFont="1" applyFill="1"/>
    <xf numFmtId="166" fontId="52" fillId="54" borderId="23" xfId="4" applyNumberFormat="1" applyFont="1" applyFill="1" applyBorder="1"/>
    <xf numFmtId="166" fontId="52" fillId="53" borderId="23" xfId="4" applyNumberFormat="1" applyFont="1" applyFill="1" applyBorder="1" applyProtection="1">
      <protection locked="0"/>
    </xf>
    <xf numFmtId="166" fontId="52" fillId="55" borderId="23" xfId="4" applyNumberFormat="1" applyFont="1" applyFill="1" applyBorder="1"/>
    <xf numFmtId="0" fontId="51" fillId="0" borderId="0" xfId="0" applyFont="1"/>
    <xf numFmtId="0" fontId="54" fillId="6" borderId="23" xfId="0" applyFont="1" applyFill="1" applyBorder="1" applyAlignment="1">
      <alignment wrapText="1"/>
    </xf>
    <xf numFmtId="0" fontId="56" fillId="2" borderId="39" xfId="0" applyFont="1" applyFill="1" applyBorder="1" applyAlignment="1">
      <alignment horizontal="center"/>
    </xf>
    <xf numFmtId="3" fontId="51" fillId="4" borderId="25" xfId="0" applyNumberFormat="1" applyFont="1" applyFill="1" applyBorder="1" applyAlignment="1" applyProtection="1">
      <alignment horizontal="right"/>
      <protection hidden="1"/>
    </xf>
    <xf numFmtId="3" fontId="51" fillId="4" borderId="23" xfId="0" applyNumberFormat="1" applyFont="1" applyFill="1" applyBorder="1" applyAlignment="1" applyProtection="1">
      <alignment horizontal="right"/>
      <protection hidden="1"/>
    </xf>
    <xf numFmtId="4" fontId="51" fillId="4" borderId="23" xfId="0" applyNumberFormat="1" applyFont="1" applyFill="1" applyBorder="1" applyAlignment="1" applyProtection="1">
      <alignment horizontal="right"/>
      <protection hidden="1"/>
    </xf>
    <xf numFmtId="165" fontId="51" fillId="4" borderId="23" xfId="2" applyNumberFormat="1" applyFont="1" applyFill="1" applyBorder="1" applyAlignment="1" applyProtection="1">
      <alignment horizontal="right"/>
      <protection hidden="1"/>
    </xf>
    <xf numFmtId="165" fontId="51" fillId="4" borderId="42" xfId="2" applyNumberFormat="1" applyFont="1" applyFill="1" applyBorder="1" applyAlignment="1" applyProtection="1">
      <alignment horizontal="center"/>
      <protection hidden="1"/>
    </xf>
    <xf numFmtId="3" fontId="51" fillId="4" borderId="43" xfId="0" applyNumberFormat="1" applyFont="1" applyFill="1" applyBorder="1" applyAlignment="1" applyProtection="1">
      <alignment horizontal="right"/>
      <protection hidden="1"/>
    </xf>
    <xf numFmtId="3" fontId="51" fillId="4" borderId="44" xfId="0" applyNumberFormat="1" applyFont="1" applyFill="1" applyBorder="1" applyAlignment="1" applyProtection="1">
      <alignment horizontal="right"/>
      <protection hidden="1"/>
    </xf>
    <xf numFmtId="4" fontId="51" fillId="4" borderId="44" xfId="0" applyNumberFormat="1" applyFont="1" applyFill="1" applyBorder="1" applyAlignment="1" applyProtection="1">
      <alignment horizontal="right"/>
      <protection hidden="1"/>
    </xf>
    <xf numFmtId="165" fontId="51" fillId="4" borderId="44" xfId="2" applyNumberFormat="1" applyFont="1" applyFill="1" applyBorder="1" applyAlignment="1" applyProtection="1">
      <alignment horizontal="right"/>
      <protection hidden="1"/>
    </xf>
    <xf numFmtId="165" fontId="51" fillId="4" borderId="45" xfId="2" applyNumberFormat="1" applyFont="1" applyFill="1" applyBorder="1" applyAlignment="1" applyProtection="1">
      <alignment horizontal="center"/>
      <protection hidden="1"/>
    </xf>
    <xf numFmtId="0" fontId="51" fillId="5" borderId="8" xfId="0" applyFont="1" applyFill="1" applyBorder="1" applyAlignment="1">
      <alignment horizontal="left"/>
    </xf>
    <xf numFmtId="0" fontId="58" fillId="5" borderId="7" xfId="1" applyFont="1" applyFill="1" applyBorder="1" applyAlignment="1" applyProtection="1">
      <protection locked="0"/>
    </xf>
    <xf numFmtId="0" fontId="51" fillId="5" borderId="0" xfId="0" applyFont="1" applyFill="1"/>
    <xf numFmtId="0" fontId="51" fillId="5" borderId="8" xfId="0" applyFont="1" applyFill="1" applyBorder="1"/>
    <xf numFmtId="0" fontId="51" fillId="5" borderId="7" xfId="0" applyFont="1" applyFill="1" applyBorder="1"/>
    <xf numFmtId="0" fontId="58" fillId="5" borderId="0" xfId="1" applyFont="1" applyFill="1" applyBorder="1" applyAlignment="1" applyProtection="1"/>
    <xf numFmtId="0" fontId="51" fillId="5" borderId="9" xfId="0" applyFont="1" applyFill="1" applyBorder="1"/>
    <xf numFmtId="0" fontId="51" fillId="5" borderId="1" xfId="0" applyFont="1" applyFill="1" applyBorder="1"/>
    <xf numFmtId="0" fontId="51" fillId="5" borderId="10" xfId="0" applyFont="1" applyFill="1" applyBorder="1"/>
    <xf numFmtId="0" fontId="3" fillId="0" borderId="20" xfId="0" applyFont="1" applyBorder="1" applyAlignment="1">
      <alignment horizontal="center" vertical="center"/>
    </xf>
    <xf numFmtId="0" fontId="3" fillId="0" borderId="16" xfId="0" applyFont="1" applyBorder="1" applyAlignment="1">
      <alignment horizontal="center" vertical="center"/>
    </xf>
    <xf numFmtId="0" fontId="13" fillId="44" borderId="19" xfId="0" applyFont="1" applyFill="1" applyBorder="1"/>
    <xf numFmtId="166" fontId="3" fillId="0" borderId="21" xfId="0" applyNumberFormat="1" applyFont="1" applyBorder="1"/>
    <xf numFmtId="166" fontId="4" fillId="0" borderId="21" xfId="0" applyNumberFormat="1" applyFont="1" applyBorder="1"/>
    <xf numFmtId="166" fontId="4" fillId="0" borderId="14" xfId="0" applyNumberFormat="1" applyFont="1" applyBorder="1"/>
    <xf numFmtId="0" fontId="4" fillId="0" borderId="18" xfId="0" applyFont="1" applyBorder="1"/>
    <xf numFmtId="166" fontId="36" fillId="0" borderId="18" xfId="4" applyNumberFormat="1" applyFont="1" applyFill="1" applyBorder="1"/>
    <xf numFmtId="166" fontId="36" fillId="0" borderId="20" xfId="4" applyNumberFormat="1" applyFont="1" applyFill="1" applyBorder="1"/>
    <xf numFmtId="0" fontId="4" fillId="49" borderId="7" xfId="5" applyFill="1" applyBorder="1"/>
    <xf numFmtId="172" fontId="4" fillId="49" borderId="0" xfId="4" applyNumberFormat="1" applyFont="1" applyFill="1" applyBorder="1" applyAlignment="1">
      <alignment horizontal="center" wrapText="1"/>
    </xf>
    <xf numFmtId="172" fontId="4" fillId="49" borderId="8" xfId="4" applyNumberFormat="1" applyFont="1" applyFill="1" applyBorder="1" applyAlignment="1">
      <alignment horizontal="center" wrapText="1"/>
    </xf>
    <xf numFmtId="172" fontId="4" fillId="49" borderId="0" xfId="4" applyNumberFormat="1" applyFont="1" applyFill="1" applyBorder="1" applyAlignment="1">
      <alignment wrapText="1"/>
    </xf>
    <xf numFmtId="172" fontId="4" fillId="49" borderId="8" xfId="4" applyNumberFormat="1" applyFont="1" applyFill="1" applyBorder="1" applyAlignment="1">
      <alignment wrapText="1"/>
    </xf>
    <xf numFmtId="43" fontId="4" fillId="49" borderId="0" xfId="4" applyFont="1" applyFill="1" applyBorder="1" applyAlignment="1">
      <alignment horizontal="center" wrapText="1"/>
    </xf>
    <xf numFmtId="43" fontId="4" fillId="49" borderId="0" xfId="4" applyFont="1" applyFill="1" applyBorder="1" applyAlignment="1">
      <alignment wrapText="1"/>
    </xf>
    <xf numFmtId="0" fontId="4" fillId="45" borderId="46" xfId="0" applyFont="1" applyFill="1" applyBorder="1"/>
    <xf numFmtId="0" fontId="3" fillId="45" borderId="17" xfId="5" applyFont="1" applyFill="1" applyBorder="1" applyAlignment="1">
      <alignment wrapText="1"/>
    </xf>
    <xf numFmtId="0" fontId="3" fillId="45" borderId="47" xfId="5" applyFont="1" applyFill="1" applyBorder="1" applyAlignment="1">
      <alignment wrapText="1"/>
    </xf>
    <xf numFmtId="0" fontId="3" fillId="45" borderId="47" xfId="0" applyFont="1" applyFill="1" applyBorder="1" applyAlignment="1">
      <alignment wrapText="1"/>
    </xf>
    <xf numFmtId="10" fontId="36" fillId="49" borderId="15" xfId="7" applyNumberFormat="1" applyFont="1" applyFill="1" applyBorder="1"/>
    <xf numFmtId="10" fontId="36" fillId="49" borderId="8" xfId="7" applyNumberFormat="1" applyFont="1" applyFill="1" applyBorder="1"/>
    <xf numFmtId="10" fontId="36" fillId="5" borderId="15" xfId="7" applyNumberFormat="1" applyFont="1" applyFill="1" applyBorder="1"/>
    <xf numFmtId="10" fontId="36" fillId="5" borderId="8" xfId="7" applyNumberFormat="1" applyFont="1" applyFill="1" applyBorder="1"/>
    <xf numFmtId="10" fontId="36" fillId="5" borderId="48" xfId="7" applyNumberFormat="1" applyFont="1" applyFill="1" applyBorder="1"/>
    <xf numFmtId="10" fontId="36" fillId="5" borderId="10" xfId="7" applyNumberFormat="1" applyFont="1" applyFill="1" applyBorder="1"/>
    <xf numFmtId="171" fontId="0" fillId="59" borderId="7" xfId="0" applyNumberFormat="1" applyFill="1" applyBorder="1"/>
    <xf numFmtId="0" fontId="0" fillId="59" borderId="7" xfId="0" applyFill="1" applyBorder="1"/>
    <xf numFmtId="167" fontId="4" fillId="0" borderId="16" xfId="3" applyNumberFormat="1" applyFont="1" applyFill="1" applyBorder="1"/>
    <xf numFmtId="0" fontId="58" fillId="5" borderId="0" xfId="1" applyFont="1" applyFill="1" applyBorder="1" applyAlignment="1" applyProtection="1">
      <protection locked="0"/>
    </xf>
    <xf numFmtId="173" fontId="3" fillId="9" borderId="10" xfId="5" applyNumberFormat="1" applyFont="1" applyFill="1" applyBorder="1"/>
    <xf numFmtId="166" fontId="0" fillId="6" borderId="0" xfId="0" applyNumberFormat="1" applyFill="1"/>
    <xf numFmtId="0" fontId="0" fillId="9" borderId="0" xfId="0" applyFill="1"/>
    <xf numFmtId="0" fontId="39" fillId="51" borderId="34" xfId="0" applyFont="1" applyFill="1" applyBorder="1"/>
    <xf numFmtId="0" fontId="39" fillId="0" borderId="0" xfId="0" applyFont="1"/>
    <xf numFmtId="0" fontId="39" fillId="0" borderId="0" xfId="0" applyFont="1" applyAlignment="1">
      <alignment horizontal="right"/>
    </xf>
    <xf numFmtId="0" fontId="53" fillId="56" borderId="0" xfId="0" applyFont="1" applyFill="1" applyAlignment="1">
      <alignment vertical="center"/>
    </xf>
    <xf numFmtId="44" fontId="51" fillId="60" borderId="23" xfId="2" applyFont="1" applyFill="1" applyBorder="1"/>
    <xf numFmtId="0" fontId="0" fillId="0" borderId="0" xfId="4" applyNumberFormat="1" applyFont="1"/>
    <xf numFmtId="0" fontId="51" fillId="60" borderId="23" xfId="0" applyFont="1" applyFill="1" applyBorder="1" applyProtection="1">
      <protection locked="0"/>
    </xf>
    <xf numFmtId="44" fontId="51" fillId="60" borderId="23" xfId="2" applyFont="1" applyFill="1" applyBorder="1" applyProtection="1">
      <protection locked="0"/>
    </xf>
    <xf numFmtId="0" fontId="60" fillId="61" borderId="0" xfId="0" applyFont="1" applyFill="1" applyAlignment="1">
      <alignment vertical="center" wrapText="1"/>
    </xf>
    <xf numFmtId="0" fontId="60" fillId="0" borderId="0" xfId="0" applyFont="1" applyAlignment="1">
      <alignment vertical="center" wrapText="1"/>
    </xf>
    <xf numFmtId="9" fontId="60" fillId="0" borderId="0" xfId="3" applyFont="1" applyFill="1" applyBorder="1" applyAlignment="1">
      <alignment vertical="center" wrapText="1"/>
    </xf>
    <xf numFmtId="175" fontId="0" fillId="0" borderId="0" xfId="0" applyNumberFormat="1"/>
    <xf numFmtId="174" fontId="60" fillId="0" borderId="0" xfId="4" applyNumberFormat="1" applyFont="1" applyFill="1" applyBorder="1" applyAlignment="1">
      <alignment vertical="center" wrapText="1"/>
    </xf>
    <xf numFmtId="174" fontId="0" fillId="0" borderId="0" xfId="4" applyNumberFormat="1" applyFont="1"/>
    <xf numFmtId="173" fontId="0" fillId="0" borderId="0" xfId="0" applyNumberFormat="1"/>
    <xf numFmtId="0" fontId="61" fillId="0" borderId="0" xfId="0" applyFont="1" applyAlignment="1">
      <alignment vertical="center"/>
    </xf>
    <xf numFmtId="43" fontId="4" fillId="49" borderId="8" xfId="4" applyFont="1" applyFill="1" applyBorder="1" applyAlignment="1">
      <alignment horizontal="center" wrapText="1"/>
    </xf>
    <xf numFmtId="43" fontId="4" fillId="49" borderId="8" xfId="4" applyFont="1" applyFill="1" applyBorder="1" applyAlignment="1">
      <alignment wrapText="1"/>
    </xf>
    <xf numFmtId="43" fontId="36" fillId="5" borderId="8" xfId="4" applyFont="1" applyFill="1" applyBorder="1" applyAlignment="1">
      <alignment horizontal="center" wrapText="1"/>
    </xf>
    <xf numFmtId="43" fontId="36" fillId="5" borderId="10" xfId="4" applyFont="1" applyFill="1" applyBorder="1" applyAlignment="1">
      <alignment horizontal="center" wrapText="1"/>
    </xf>
    <xf numFmtId="176" fontId="0" fillId="0" borderId="0" xfId="3" applyNumberFormat="1" applyFont="1"/>
    <xf numFmtId="44" fontId="3" fillId="0" borderId="0" xfId="52" applyFont="1" applyFill="1" applyBorder="1" applyAlignment="1">
      <alignment horizontal="center" wrapText="1"/>
    </xf>
    <xf numFmtId="0" fontId="59" fillId="6" borderId="0" xfId="0" applyFont="1" applyFill="1"/>
    <xf numFmtId="44" fontId="51" fillId="60" borderId="20" xfId="2" applyFont="1" applyFill="1" applyBorder="1" applyProtection="1">
      <protection locked="0"/>
    </xf>
    <xf numFmtId="0" fontId="56" fillId="6" borderId="23" xfId="0" applyFont="1" applyFill="1" applyBorder="1" applyAlignment="1">
      <alignment horizontal="right"/>
    </xf>
    <xf numFmtId="0" fontId="56" fillId="6" borderId="23" xfId="0" applyFont="1" applyFill="1" applyBorder="1" applyAlignment="1">
      <alignment horizontal="center" wrapText="1"/>
    </xf>
    <xf numFmtId="166" fontId="4" fillId="49" borderId="0" xfId="4" applyNumberFormat="1" applyFont="1" applyFill="1" applyBorder="1" applyAlignment="1">
      <alignment horizontal="center" wrapText="1"/>
    </xf>
    <xf numFmtId="166" fontId="4" fillId="49" borderId="0" xfId="4" applyNumberFormat="1" applyFont="1" applyFill="1" applyBorder="1" applyAlignment="1">
      <alignment wrapText="1"/>
    </xf>
    <xf numFmtId="166" fontId="36" fillId="5" borderId="0" xfId="4" applyNumberFormat="1" applyFont="1" applyFill="1" applyBorder="1" applyAlignment="1">
      <alignment horizontal="center" wrapText="1"/>
    </xf>
    <xf numFmtId="166" fontId="36" fillId="5" borderId="1" xfId="4" applyNumberFormat="1" applyFont="1" applyFill="1" applyBorder="1" applyAlignment="1">
      <alignment horizontal="center" wrapText="1"/>
    </xf>
    <xf numFmtId="0" fontId="10" fillId="46" borderId="53" xfId="0" applyFont="1" applyFill="1" applyBorder="1" applyAlignment="1">
      <alignment horizontal="center" vertical="center"/>
    </xf>
    <xf numFmtId="0" fontId="10" fillId="46" borderId="54" xfId="0" applyFont="1" applyFill="1" applyBorder="1" applyAlignment="1">
      <alignment horizontal="center" vertical="center" wrapText="1"/>
    </xf>
    <xf numFmtId="0" fontId="10" fillId="46" borderId="55" xfId="0" applyFont="1" applyFill="1" applyBorder="1" applyAlignment="1">
      <alignment horizontal="center" vertical="center" wrapText="1"/>
    </xf>
    <xf numFmtId="0" fontId="4" fillId="49" borderId="4" xfId="0" applyFont="1" applyFill="1" applyBorder="1"/>
    <xf numFmtId="166" fontId="4" fillId="49" borderId="5" xfId="4" applyNumberFormat="1" applyFont="1" applyFill="1" applyBorder="1" applyAlignment="1">
      <alignment horizontal="center" wrapText="1"/>
    </xf>
    <xf numFmtId="172" fontId="4" fillId="49" borderId="5" xfId="4" applyNumberFormat="1" applyFont="1" applyFill="1" applyBorder="1" applyAlignment="1">
      <alignment horizontal="center" wrapText="1"/>
    </xf>
    <xf numFmtId="172" fontId="4" fillId="49" borderId="6" xfId="4" applyNumberFormat="1" applyFont="1" applyFill="1" applyBorder="1" applyAlignment="1">
      <alignment horizontal="center" wrapText="1"/>
    </xf>
    <xf numFmtId="43" fontId="4" fillId="49" borderId="5" xfId="4" applyFont="1" applyFill="1" applyBorder="1" applyAlignment="1">
      <alignment horizontal="center" wrapText="1"/>
    </xf>
    <xf numFmtId="43" fontId="4" fillId="49" borderId="56" xfId="4" applyFont="1" applyFill="1" applyBorder="1" applyAlignment="1">
      <alignment horizontal="center" wrapText="1"/>
    </xf>
    <xf numFmtId="172" fontId="4" fillId="49" borderId="56" xfId="4" applyNumberFormat="1" applyFont="1" applyFill="1" applyBorder="1" applyAlignment="1">
      <alignment horizontal="center" wrapText="1"/>
    </xf>
    <xf numFmtId="0" fontId="0" fillId="62" borderId="0" xfId="0" applyFill="1"/>
    <xf numFmtId="0" fontId="0" fillId="53" borderId="0" xfId="0" applyFill="1"/>
    <xf numFmtId="44" fontId="64" fillId="6" borderId="0" xfId="2" applyFont="1" applyFill="1" applyAlignment="1">
      <alignment horizontal="center"/>
    </xf>
    <xf numFmtId="0" fontId="64" fillId="6" borderId="0" xfId="0" applyFont="1" applyFill="1" applyAlignment="1">
      <alignment wrapText="1"/>
    </xf>
    <xf numFmtId="166" fontId="52" fillId="52" borderId="23" xfId="4" applyNumberFormat="1" applyFont="1" applyFill="1" applyBorder="1" applyProtection="1"/>
    <xf numFmtId="0" fontId="51" fillId="6" borderId="0" xfId="0" applyFont="1" applyFill="1" applyAlignment="1">
      <alignment horizontal="left"/>
    </xf>
    <xf numFmtId="0" fontId="55" fillId="58" borderId="23" xfId="0" applyFont="1" applyFill="1" applyBorder="1" applyAlignment="1">
      <alignment horizontal="center"/>
    </xf>
    <xf numFmtId="0" fontId="51" fillId="5" borderId="7" xfId="0" applyFont="1" applyFill="1" applyBorder="1" applyAlignment="1">
      <alignment horizontal="left"/>
    </xf>
    <xf numFmtId="0" fontId="51" fillId="5" borderId="0" xfId="0" applyFont="1" applyFill="1" applyAlignment="1">
      <alignment horizontal="left"/>
    </xf>
    <xf numFmtId="0" fontId="0" fillId="0" borderId="0" xfId="0" applyAlignment="1">
      <alignment horizontal="center" wrapText="1"/>
    </xf>
    <xf numFmtId="0" fontId="0" fillId="0" borderId="0" xfId="0" quotePrefix="1"/>
    <xf numFmtId="44" fontId="3" fillId="49" borderId="8" xfId="52" applyFont="1" applyFill="1" applyBorder="1" applyAlignment="1">
      <alignment horizontal="center" wrapText="1"/>
    </xf>
    <xf numFmtId="44" fontId="3" fillId="0" borderId="8" xfId="52" applyFont="1" applyFill="1" applyBorder="1" applyAlignment="1">
      <alignment horizontal="center" wrapText="1"/>
    </xf>
    <xf numFmtId="44" fontId="3" fillId="0" borderId="1" xfId="52" applyFont="1" applyFill="1" applyBorder="1" applyAlignment="1">
      <alignment horizontal="center" wrapText="1"/>
    </xf>
    <xf numFmtId="44" fontId="3" fillId="0" borderId="10" xfId="52" applyFont="1" applyFill="1" applyBorder="1" applyAlignment="1">
      <alignment horizontal="center" wrapText="1"/>
    </xf>
    <xf numFmtId="0" fontId="59" fillId="6" borderId="0" xfId="0" applyFont="1" applyFill="1" applyAlignment="1">
      <alignment horizontal="center"/>
    </xf>
    <xf numFmtId="0" fontId="53" fillId="56" borderId="0" xfId="0" applyFont="1" applyFill="1" applyAlignment="1">
      <alignment horizontal="left" vertical="center"/>
    </xf>
    <xf numFmtId="0" fontId="51" fillId="6" borderId="0" xfId="0" applyFont="1" applyFill="1" applyAlignment="1">
      <alignment horizontal="left"/>
    </xf>
    <xf numFmtId="0" fontId="51" fillId="6" borderId="0" xfId="0" applyFont="1" applyFill="1" applyAlignment="1">
      <alignment horizontal="left" vertical="top" wrapText="1"/>
    </xf>
    <xf numFmtId="0" fontId="51" fillId="6" borderId="0" xfId="0" applyFont="1" applyFill="1" applyAlignment="1">
      <alignment horizontal="left" wrapText="1"/>
    </xf>
    <xf numFmtId="0" fontId="55" fillId="58" borderId="17" xfId="0" applyFont="1" applyFill="1" applyBorder="1" applyAlignment="1">
      <alignment horizontal="center"/>
    </xf>
    <xf numFmtId="0" fontId="47" fillId="5" borderId="0" xfId="0" applyFont="1" applyFill="1" applyAlignment="1">
      <alignment horizontal="center" wrapText="1"/>
    </xf>
    <xf numFmtId="166" fontId="52" fillId="52" borderId="12" xfId="4" applyNumberFormat="1" applyFont="1" applyFill="1" applyBorder="1" applyAlignment="1" applyProtection="1">
      <alignment horizontal="left"/>
    </xf>
    <xf numFmtId="166" fontId="52" fillId="52" borderId="34" xfId="4" applyNumberFormat="1" applyFont="1" applyFill="1" applyBorder="1" applyAlignment="1" applyProtection="1">
      <alignment horizontal="left"/>
    </xf>
    <xf numFmtId="166" fontId="52" fillId="52" borderId="13" xfId="4" applyNumberFormat="1" applyFont="1" applyFill="1" applyBorder="1" applyAlignment="1" applyProtection="1">
      <alignment horizontal="left"/>
    </xf>
    <xf numFmtId="0" fontId="55" fillId="58" borderId="23" xfId="0" applyFont="1" applyFill="1" applyBorder="1" applyAlignment="1">
      <alignment horizontal="left"/>
    </xf>
    <xf numFmtId="166" fontId="52" fillId="54" borderId="12" xfId="4" applyNumberFormat="1" applyFont="1" applyFill="1" applyBorder="1" applyAlignment="1">
      <alignment horizontal="left"/>
    </xf>
    <xf numFmtId="166" fontId="52" fillId="54" borderId="34" xfId="4" applyNumberFormat="1" applyFont="1" applyFill="1" applyBorder="1" applyAlignment="1">
      <alignment horizontal="left"/>
    </xf>
    <xf numFmtId="166" fontId="52" fillId="54" borderId="13" xfId="4" applyNumberFormat="1" applyFont="1" applyFill="1" applyBorder="1" applyAlignment="1">
      <alignment horizontal="left"/>
    </xf>
    <xf numFmtId="0" fontId="47" fillId="6" borderId="0" xfId="0" applyFont="1" applyFill="1" applyAlignment="1">
      <alignment horizontal="left" wrapText="1"/>
    </xf>
    <xf numFmtId="0" fontId="55" fillId="58" borderId="13" xfId="0" applyFont="1" applyFill="1" applyBorder="1" applyAlignment="1">
      <alignment horizontal="center"/>
    </xf>
    <xf numFmtId="0" fontId="55" fillId="58" borderId="23" xfId="0" applyFont="1" applyFill="1" applyBorder="1" applyAlignment="1">
      <alignment horizontal="center"/>
    </xf>
    <xf numFmtId="0" fontId="56" fillId="2" borderId="3" xfId="0" applyFont="1" applyFill="1" applyBorder="1" applyAlignment="1">
      <alignment horizontal="center"/>
    </xf>
    <xf numFmtId="0" fontId="56" fillId="2" borderId="24" xfId="0" applyFont="1" applyFill="1" applyBorder="1" applyAlignment="1">
      <alignment horizontal="center"/>
    </xf>
    <xf numFmtId="0" fontId="56" fillId="5" borderId="9" xfId="0" applyFont="1" applyFill="1" applyBorder="1" applyAlignment="1">
      <alignment horizontal="center" vertical="center" wrapText="1"/>
    </xf>
    <xf numFmtId="0" fontId="56" fillId="5" borderId="10" xfId="0" applyFont="1" applyFill="1" applyBorder="1" applyAlignment="1">
      <alignment horizontal="center" vertical="center" wrapText="1"/>
    </xf>
    <xf numFmtId="0" fontId="49" fillId="58" borderId="7" xfId="0" applyFont="1" applyFill="1" applyBorder="1" applyAlignment="1">
      <alignment horizontal="center"/>
    </xf>
    <xf numFmtId="0" fontId="49" fillId="58" borderId="0" xfId="0" applyFont="1" applyFill="1" applyAlignment="1">
      <alignment horizontal="center"/>
    </xf>
    <xf numFmtId="0" fontId="49" fillId="58" borderId="8" xfId="0" applyFont="1" applyFill="1" applyBorder="1" applyAlignment="1">
      <alignment horizontal="center"/>
    </xf>
    <xf numFmtId="0" fontId="50" fillId="58" borderId="46" xfId="0" applyFont="1" applyFill="1" applyBorder="1" applyAlignment="1">
      <alignment horizontal="center" wrapText="1"/>
    </xf>
    <xf numFmtId="0" fontId="50" fillId="58" borderId="17" xfId="0" applyFont="1" applyFill="1" applyBorder="1" applyAlignment="1">
      <alignment horizontal="center" wrapText="1"/>
    </xf>
    <xf numFmtId="0" fontId="50" fillId="58" borderId="47" xfId="0" applyFont="1" applyFill="1" applyBorder="1" applyAlignment="1">
      <alignment horizontal="center" wrapText="1"/>
    </xf>
    <xf numFmtId="0" fontId="51" fillId="5" borderId="7" xfId="0" applyFont="1" applyFill="1" applyBorder="1" applyAlignment="1">
      <alignment horizontal="left"/>
    </xf>
    <xf numFmtId="0" fontId="51" fillId="5" borderId="0" xfId="0" applyFont="1" applyFill="1" applyAlignment="1">
      <alignment horizontal="left"/>
    </xf>
    <xf numFmtId="0" fontId="51" fillId="5" borderId="4" xfId="0" applyFont="1" applyFill="1" applyBorder="1" applyAlignment="1">
      <alignment horizontal="left"/>
    </xf>
    <xf numFmtId="0" fontId="51" fillId="5" borderId="5" xfId="0" applyFont="1" applyFill="1" applyBorder="1" applyAlignment="1">
      <alignment horizontal="left"/>
    </xf>
    <xf numFmtId="0" fontId="51" fillId="5" borderId="6" xfId="0" applyFont="1" applyFill="1" applyBorder="1" applyAlignment="1">
      <alignment horizontal="left"/>
    </xf>
    <xf numFmtId="0" fontId="58" fillId="5" borderId="1" xfId="1" applyFont="1" applyFill="1" applyBorder="1" applyAlignment="1" applyProtection="1">
      <alignment horizontal="left"/>
      <protection locked="0"/>
    </xf>
    <xf numFmtId="0" fontId="4" fillId="0" borderId="23" xfId="0" applyFont="1" applyBorder="1" applyAlignment="1">
      <alignment horizontal="center"/>
    </xf>
    <xf numFmtId="0" fontId="0" fillId="0" borderId="0" xfId="0" applyAlignment="1">
      <alignment horizontal="center" wrapText="1"/>
    </xf>
    <xf numFmtId="0" fontId="4" fillId="0" borderId="12" xfId="0" applyFont="1" applyBorder="1" applyAlignment="1">
      <alignment horizontal="center"/>
    </xf>
    <xf numFmtId="0" fontId="4" fillId="0" borderId="34" xfId="0" applyFont="1" applyBorder="1" applyAlignment="1">
      <alignment horizontal="center"/>
    </xf>
    <xf numFmtId="0" fontId="4" fillId="0" borderId="13" xfId="0" applyFont="1" applyBorder="1" applyAlignment="1">
      <alignment horizontal="center"/>
    </xf>
    <xf numFmtId="0" fontId="3" fillId="0" borderId="23" xfId="0" applyFont="1" applyBorder="1" applyAlignment="1">
      <alignment horizontal="center" vertical="center"/>
    </xf>
    <xf numFmtId="0" fontId="4" fillId="0" borderId="15" xfId="0" applyFont="1" applyBorder="1" applyAlignment="1">
      <alignment horizontal="center"/>
    </xf>
    <xf numFmtId="0" fontId="4" fillId="0" borderId="0" xfId="0" applyFont="1" applyAlignment="1">
      <alignment horizontal="center"/>
    </xf>
    <xf numFmtId="0" fontId="39" fillId="51" borderId="12" xfId="0" applyFont="1" applyFill="1" applyBorder="1" applyAlignment="1">
      <alignment horizontal="center"/>
    </xf>
    <xf numFmtId="0" fontId="39" fillId="51" borderId="34" xfId="0" applyFont="1" applyFill="1" applyBorder="1" applyAlignment="1">
      <alignment horizontal="center"/>
    </xf>
    <xf numFmtId="0" fontId="39" fillId="51" borderId="13" xfId="0" applyFont="1" applyFill="1" applyBorder="1" applyAlignment="1">
      <alignment horizontal="center"/>
    </xf>
    <xf numFmtId="0" fontId="39" fillId="5" borderId="4" xfId="0" applyFont="1" applyFill="1" applyBorder="1" applyAlignment="1">
      <alignment horizontal="left" vertical="center" wrapText="1"/>
    </xf>
    <xf numFmtId="0" fontId="39" fillId="5" borderId="5" xfId="0" applyFont="1" applyFill="1" applyBorder="1" applyAlignment="1">
      <alignment horizontal="left" vertical="center" wrapText="1"/>
    </xf>
    <xf numFmtId="0" fontId="39" fillId="5" borderId="6" xfId="0" applyFont="1" applyFill="1" applyBorder="1" applyAlignment="1">
      <alignment horizontal="left" vertical="center" wrapText="1"/>
    </xf>
    <xf numFmtId="0" fontId="39" fillId="8" borderId="7" xfId="0" applyFont="1" applyFill="1" applyBorder="1" applyAlignment="1">
      <alignment horizontal="left" vertical="center" wrapText="1"/>
    </xf>
    <xf numFmtId="0" fontId="39" fillId="8" borderId="0" xfId="0" applyFont="1" applyFill="1" applyAlignment="1">
      <alignment horizontal="left" vertical="center" wrapText="1"/>
    </xf>
    <xf numFmtId="0" fontId="39" fillId="8" borderId="8" xfId="0" applyFont="1" applyFill="1" applyBorder="1" applyAlignment="1">
      <alignment horizontal="left" vertical="center" wrapText="1"/>
    </xf>
    <xf numFmtId="0" fontId="39" fillId="5" borderId="7" xfId="0" applyFont="1" applyFill="1" applyBorder="1" applyAlignment="1">
      <alignment horizontal="left" vertical="center" wrapText="1"/>
    </xf>
    <xf numFmtId="0" fontId="39" fillId="5" borderId="0" xfId="0" applyFont="1" applyFill="1" applyAlignment="1">
      <alignment horizontal="left" vertical="center" wrapText="1"/>
    </xf>
    <xf numFmtId="0" fontId="39" fillId="5" borderId="8" xfId="0" applyFont="1" applyFill="1" applyBorder="1" applyAlignment="1">
      <alignment horizontal="left" vertical="center" wrapText="1"/>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40" fillId="5" borderId="7" xfId="0" applyFont="1" applyFill="1" applyBorder="1" applyAlignment="1">
      <alignment horizontal="center" vertical="center"/>
    </xf>
    <xf numFmtId="0" fontId="40" fillId="5" borderId="8" xfId="0" applyFont="1" applyFill="1" applyBorder="1" applyAlignment="1">
      <alignment horizontal="center" vertical="center"/>
    </xf>
    <xf numFmtId="0" fontId="40" fillId="5" borderId="0" xfId="0" applyFont="1" applyFill="1" applyAlignment="1">
      <alignment horizontal="center" vertical="center"/>
    </xf>
    <xf numFmtId="0" fontId="40" fillId="5" borderId="4" xfId="0" applyFont="1" applyFill="1" applyBorder="1" applyAlignment="1">
      <alignment horizontal="center" vertical="center" wrapText="1"/>
    </xf>
    <xf numFmtId="0" fontId="40" fillId="5" borderId="5" xfId="0" applyFont="1" applyFill="1" applyBorder="1" applyAlignment="1">
      <alignment horizontal="center" vertical="center" wrapText="1"/>
    </xf>
    <xf numFmtId="0" fontId="40" fillId="5" borderId="6" xfId="0" applyFont="1" applyFill="1" applyBorder="1" applyAlignment="1">
      <alignment horizontal="center" vertical="center" wrapText="1"/>
    </xf>
    <xf numFmtId="0" fontId="45" fillId="8" borderId="4" xfId="0" applyFont="1" applyFill="1" applyBorder="1" applyAlignment="1">
      <alignment horizontal="center" vertical="center" wrapText="1"/>
    </xf>
    <xf numFmtId="0" fontId="45" fillId="8" borderId="5" xfId="0" applyFont="1" applyFill="1" applyBorder="1" applyAlignment="1">
      <alignment horizontal="center" vertical="center" wrapText="1"/>
    </xf>
    <xf numFmtId="0" fontId="45" fillId="8" borderId="6" xfId="0" applyFont="1" applyFill="1" applyBorder="1" applyAlignment="1">
      <alignment horizontal="center" vertical="center" wrapText="1"/>
    </xf>
    <xf numFmtId="0" fontId="2" fillId="5" borderId="40"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8" xfId="0" applyFont="1" applyFill="1" applyBorder="1" applyAlignment="1">
      <alignment horizontal="center" vertical="center" wrapText="1"/>
    </xf>
    <xf numFmtId="0" fontId="40" fillId="5" borderId="7" xfId="0" applyFont="1" applyFill="1" applyBorder="1" applyAlignment="1">
      <alignment horizontal="center" vertical="center" wrapText="1"/>
    </xf>
    <xf numFmtId="0" fontId="40" fillId="5" borderId="0" xfId="0" applyFont="1" applyFill="1" applyAlignment="1">
      <alignment horizontal="center" vertical="center" wrapText="1"/>
    </xf>
    <xf numFmtId="0" fontId="40" fillId="5" borderId="8" xfId="0" applyFont="1" applyFill="1" applyBorder="1" applyAlignment="1">
      <alignment horizontal="center" vertical="center" wrapText="1"/>
    </xf>
    <xf numFmtId="0" fontId="39" fillId="8" borderId="4" xfId="0" applyFont="1" applyFill="1" applyBorder="1" applyAlignment="1">
      <alignment horizontal="left" vertical="center" wrapText="1"/>
    </xf>
    <xf numFmtId="0" fontId="39" fillId="8" borderId="5" xfId="0" applyFont="1" applyFill="1" applyBorder="1" applyAlignment="1">
      <alignment horizontal="left" vertical="center" wrapText="1"/>
    </xf>
    <xf numFmtId="0" fontId="39" fillId="8" borderId="6" xfId="0" applyFont="1" applyFill="1" applyBorder="1" applyAlignment="1">
      <alignment horizontal="left" vertical="center" wrapText="1"/>
    </xf>
    <xf numFmtId="0" fontId="39" fillId="8" borderId="3" xfId="0" applyFont="1" applyFill="1" applyBorder="1" applyAlignment="1">
      <alignment horizontal="left" vertical="center" wrapText="1"/>
    </xf>
    <xf numFmtId="0" fontId="39" fillId="8" borderId="56" xfId="0" applyFont="1" applyFill="1" applyBorder="1" applyAlignment="1">
      <alignment horizontal="left" vertical="center" wrapText="1"/>
    </xf>
    <xf numFmtId="0" fontId="39" fillId="8" borderId="24" xfId="0" applyFont="1" applyFill="1" applyBorder="1" applyAlignment="1">
      <alignment horizontal="left" vertical="center" wrapText="1"/>
    </xf>
    <xf numFmtId="0" fontId="40" fillId="5" borderId="50" xfId="0" applyFont="1" applyFill="1" applyBorder="1" applyAlignment="1">
      <alignment horizontal="center" vertical="center"/>
    </xf>
    <xf numFmtId="0" fontId="40" fillId="5" borderId="51" xfId="0" applyFont="1" applyFill="1" applyBorder="1" applyAlignment="1">
      <alignment horizontal="center" vertical="center"/>
    </xf>
    <xf numFmtId="0" fontId="40" fillId="5" borderId="52" xfId="0" applyFont="1" applyFill="1" applyBorder="1" applyAlignment="1">
      <alignment horizontal="center" vertical="center"/>
    </xf>
    <xf numFmtId="0" fontId="36" fillId="5" borderId="5" xfId="0" applyFont="1" applyFill="1" applyBorder="1" applyAlignment="1">
      <alignment horizontal="left" vertical="center" wrapText="1"/>
    </xf>
    <xf numFmtId="0" fontId="39" fillId="6" borderId="15" xfId="0" applyFont="1" applyFill="1" applyBorder="1" applyAlignment="1">
      <alignment horizontal="left" wrapText="1"/>
    </xf>
    <xf numFmtId="0" fontId="39" fillId="6" borderId="0" xfId="0" applyFont="1" applyFill="1" applyAlignment="1">
      <alignment horizontal="left" wrapText="1"/>
    </xf>
    <xf numFmtId="0" fontId="4" fillId="0" borderId="0" xfId="0" applyFont="1" applyAlignment="1">
      <alignment horizontal="center" wrapText="1"/>
    </xf>
    <xf numFmtId="0" fontId="2" fillId="5" borderId="49" xfId="0" applyFont="1" applyFill="1" applyBorder="1" applyAlignment="1">
      <alignment horizontal="center" vertical="center" wrapText="1"/>
    </xf>
    <xf numFmtId="0" fontId="8" fillId="0" borderId="4" xfId="0" applyFont="1" applyBorder="1" applyAlignment="1">
      <alignment horizontal="left"/>
    </xf>
    <xf numFmtId="0" fontId="8" fillId="0" borderId="5" xfId="0" applyFont="1" applyBorder="1" applyAlignment="1">
      <alignment horizontal="left"/>
    </xf>
    <xf numFmtId="0" fontId="8" fillId="0" borderId="6" xfId="0" applyFont="1" applyBorder="1" applyAlignment="1">
      <alignment horizontal="left"/>
    </xf>
    <xf numFmtId="0" fontId="0" fillId="42" borderId="35" xfId="0" applyFill="1" applyBorder="1" applyAlignment="1">
      <alignment horizontal="right" vertical="top" wrapText="1"/>
    </xf>
    <xf numFmtId="0" fontId="0" fillId="42" borderId="13" xfId="0" applyFill="1" applyBorder="1" applyAlignment="1">
      <alignment horizontal="right" vertical="top" wrapText="1"/>
    </xf>
    <xf numFmtId="0" fontId="0" fillId="42" borderId="34" xfId="0" applyFill="1" applyBorder="1" applyAlignment="1">
      <alignment horizontal="right" vertical="top" wrapText="1"/>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166" fontId="0" fillId="0" borderId="0" xfId="4" applyNumberFormat="1" applyFont="1" applyBorder="1" applyAlignment="1">
      <alignment horizontal="center"/>
    </xf>
    <xf numFmtId="0" fontId="0" fillId="0" borderId="0" xfId="0" applyAlignment="1">
      <alignment horizontal="center"/>
    </xf>
    <xf numFmtId="169" fontId="33" fillId="41" borderId="23" xfId="0" applyNumberFormat="1" applyFont="1" applyFill="1" applyBorder="1" applyAlignment="1">
      <alignment horizontal="right" vertical="top" wrapText="1"/>
    </xf>
    <xf numFmtId="0" fontId="0" fillId="41" borderId="23" xfId="0" applyFill="1" applyBorder="1" applyAlignment="1">
      <alignment horizontal="right" vertical="top" wrapText="1"/>
    </xf>
    <xf numFmtId="0" fontId="8" fillId="5" borderId="4" xfId="0" applyFont="1" applyFill="1" applyBorder="1" applyAlignment="1">
      <alignment horizontal="left" wrapText="1"/>
    </xf>
    <xf numFmtId="0" fontId="8" fillId="5" borderId="5" xfId="0" applyFont="1" applyFill="1" applyBorder="1" applyAlignment="1">
      <alignment horizontal="left" wrapText="1"/>
    </xf>
    <xf numFmtId="0" fontId="8" fillId="5" borderId="6" xfId="0" applyFont="1" applyFill="1" applyBorder="1" applyAlignment="1">
      <alignment horizontal="left" wrapText="1"/>
    </xf>
    <xf numFmtId="0" fontId="0" fillId="41" borderId="25" xfId="0" applyFill="1" applyBorder="1" applyAlignment="1">
      <alignment horizontal="left" wrapText="1"/>
    </xf>
    <xf numFmtId="0" fontId="0" fillId="41" borderId="25" xfId="0" applyFill="1" applyBorder="1" applyAlignment="1">
      <alignment horizontal="left" vertical="center" wrapText="1"/>
    </xf>
    <xf numFmtId="0" fontId="0" fillId="42" borderId="25" xfId="0" applyFill="1" applyBorder="1" applyAlignment="1">
      <alignment horizontal="right" vertical="top" wrapText="1"/>
    </xf>
    <xf numFmtId="0" fontId="0" fillId="42" borderId="23" xfId="0" applyFill="1" applyBorder="1" applyAlignment="1">
      <alignment horizontal="right" vertical="top" wrapText="1"/>
    </xf>
  </cellXfs>
  <cellStyles count="74">
    <cellStyle name="20% - Accent1 2" xfId="12" xr:uid="{00000000-0005-0000-0000-000000000000}"/>
    <cellStyle name="20% - Accent2 2" xfId="13" xr:uid="{00000000-0005-0000-0000-000001000000}"/>
    <cellStyle name="20% - Accent3 2" xfId="14" xr:uid="{00000000-0005-0000-0000-000002000000}"/>
    <cellStyle name="20% - Accent4 2" xfId="15" xr:uid="{00000000-0005-0000-0000-000003000000}"/>
    <cellStyle name="20% - Accent5 2" xfId="16" xr:uid="{00000000-0005-0000-0000-000004000000}"/>
    <cellStyle name="20% - Accent6 2" xfId="17" xr:uid="{00000000-0005-0000-0000-000005000000}"/>
    <cellStyle name="40% - Accent1 2" xfId="18" xr:uid="{00000000-0005-0000-0000-000006000000}"/>
    <cellStyle name="40% - Accent2 2" xfId="19" xr:uid="{00000000-0005-0000-0000-000007000000}"/>
    <cellStyle name="40% - Accent3 2" xfId="20" xr:uid="{00000000-0005-0000-0000-000008000000}"/>
    <cellStyle name="40% - Accent4 2" xfId="21" xr:uid="{00000000-0005-0000-0000-000009000000}"/>
    <cellStyle name="40% - Accent5 2" xfId="22" xr:uid="{00000000-0005-0000-0000-00000A000000}"/>
    <cellStyle name="40% - Accent6 2" xfId="23" xr:uid="{00000000-0005-0000-0000-00000B000000}"/>
    <cellStyle name="60% - Accent1 2" xfId="24" xr:uid="{00000000-0005-0000-0000-00000C000000}"/>
    <cellStyle name="60% - Accent2 2" xfId="25" xr:uid="{00000000-0005-0000-0000-00000D000000}"/>
    <cellStyle name="60% - Accent3 2" xfId="26" xr:uid="{00000000-0005-0000-0000-00000E000000}"/>
    <cellStyle name="60% - Accent4 2" xfId="27" xr:uid="{00000000-0005-0000-0000-00000F000000}"/>
    <cellStyle name="60% - Accent5 2" xfId="28" xr:uid="{00000000-0005-0000-0000-000010000000}"/>
    <cellStyle name="60% - Accent6 2" xfId="29" xr:uid="{00000000-0005-0000-0000-000011000000}"/>
    <cellStyle name="Accent1 2" xfId="30" xr:uid="{00000000-0005-0000-0000-000012000000}"/>
    <cellStyle name="Accent2 2" xfId="31" xr:uid="{00000000-0005-0000-0000-000013000000}"/>
    <cellStyle name="Accent3 2" xfId="32" xr:uid="{00000000-0005-0000-0000-000014000000}"/>
    <cellStyle name="Accent4 2" xfId="33" xr:uid="{00000000-0005-0000-0000-000015000000}"/>
    <cellStyle name="Accent5 2" xfId="34" xr:uid="{00000000-0005-0000-0000-000016000000}"/>
    <cellStyle name="Accent6 2" xfId="35" xr:uid="{00000000-0005-0000-0000-000017000000}"/>
    <cellStyle name="Bad 2" xfId="36" xr:uid="{00000000-0005-0000-0000-000018000000}"/>
    <cellStyle name="Calculation 2" xfId="37" xr:uid="{00000000-0005-0000-0000-000019000000}"/>
    <cellStyle name="Check Cell 2" xfId="38" xr:uid="{00000000-0005-0000-0000-00001A000000}"/>
    <cellStyle name="Comma" xfId="4" builtinId="3"/>
    <cellStyle name="Comma 2" xfId="6" xr:uid="{00000000-0005-0000-0000-00001C000000}"/>
    <cellStyle name="Comma 3" xfId="72" xr:uid="{00000000-0005-0000-0000-00001D000000}"/>
    <cellStyle name="Currency" xfId="2" builtinId="4"/>
    <cellStyle name="Currency 2" xfId="52" xr:uid="{00000000-0005-0000-0000-00001F000000}"/>
    <cellStyle name="Explanatory Text 2" xfId="39" xr:uid="{00000000-0005-0000-0000-000020000000}"/>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55" builtinId="9" hidden="1"/>
    <cellStyle name="Followed Hyperlink" xfId="56" builtinId="9" hidden="1"/>
    <cellStyle name="Followed Hyperlink" xfId="54" builtinId="9" hidden="1"/>
    <cellStyle name="Followed Hyperlink" xfId="53" builtinId="9" hidden="1"/>
    <cellStyle name="Good 2" xfId="40" xr:uid="{00000000-0005-0000-0000-000031000000}"/>
    <cellStyle name="Heading 1 2" xfId="41" xr:uid="{00000000-0005-0000-0000-000032000000}"/>
    <cellStyle name="Heading 2 2" xfId="42" xr:uid="{00000000-0005-0000-0000-000033000000}"/>
    <cellStyle name="Heading 3 2" xfId="43" xr:uid="{00000000-0005-0000-0000-000034000000}"/>
    <cellStyle name="Heading 4 2" xfId="44" xr:uid="{00000000-0005-0000-0000-000035000000}"/>
    <cellStyle name="Hyperlink" xfId="1" builtinId="8"/>
    <cellStyle name="Input 2" xfId="45" xr:uid="{00000000-0005-0000-0000-000037000000}"/>
    <cellStyle name="Linked Cell 2" xfId="46" xr:uid="{00000000-0005-0000-0000-000038000000}"/>
    <cellStyle name="Neutral 2" xfId="47" xr:uid="{00000000-0005-0000-0000-000039000000}"/>
    <cellStyle name="Normal" xfId="0" builtinId="0"/>
    <cellStyle name="Normal 2" xfId="5" xr:uid="{00000000-0005-0000-0000-00003B000000}"/>
    <cellStyle name="Normal 2 2" xfId="48" xr:uid="{00000000-0005-0000-0000-00003C000000}"/>
    <cellStyle name="Normal 2 2 2" xfId="69" xr:uid="{00000000-0005-0000-0000-00003D000000}"/>
    <cellStyle name="Normal 3" xfId="8" xr:uid="{00000000-0005-0000-0000-00003E000000}"/>
    <cellStyle name="Normal 3 2" xfId="10" xr:uid="{00000000-0005-0000-0000-00003F000000}"/>
    <cellStyle name="Normal 4" xfId="71" xr:uid="{00000000-0005-0000-0000-000040000000}"/>
    <cellStyle name="Note 2" xfId="9" xr:uid="{00000000-0005-0000-0000-000041000000}"/>
    <cellStyle name="Output 2" xfId="49" xr:uid="{00000000-0005-0000-0000-000042000000}"/>
    <cellStyle name="Percent" xfId="3" builtinId="5"/>
    <cellStyle name="Percent 2" xfId="7" xr:uid="{00000000-0005-0000-0000-000044000000}"/>
    <cellStyle name="Percent 2 2" xfId="70" xr:uid="{00000000-0005-0000-0000-000045000000}"/>
    <cellStyle name="Percent 3" xfId="73" xr:uid="{00000000-0005-0000-0000-000046000000}"/>
    <cellStyle name="Title" xfId="11" builtinId="15" customBuiltin="1"/>
    <cellStyle name="Total 2" xfId="50" xr:uid="{00000000-0005-0000-0000-000048000000}"/>
    <cellStyle name="Warning Text 2" xfId="51" xr:uid="{00000000-0005-0000-0000-000049000000}"/>
  </cellStyles>
  <dxfs count="142">
    <dxf>
      <alignment horizontal="general" vertical="bottom" textRotation="0" wrapText="0" indent="0" justifyLastLine="0" shrinkToFit="0" readingOrder="0"/>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numFmt numFmtId="166" formatCode="_(* #,##0_);_(* \(#,##0\);_(* &quot;-&quot;??_);_(@_)"/>
      <fill>
        <patternFill patternType="none">
          <fgColor indexed="64"/>
          <bgColor indexed="65"/>
        </patternFill>
      </fill>
    </dxf>
    <dxf>
      <border outline="0">
        <left style="medium">
          <color auto="1"/>
        </left>
        <right style="medium">
          <color auto="1"/>
        </right>
      </border>
    </dxf>
    <dxf>
      <font>
        <b val="0"/>
        <i val="0"/>
        <strike val="0"/>
        <condense val="0"/>
        <extend val="0"/>
        <outline val="0"/>
        <shadow val="0"/>
        <u/>
        <vertAlign val="baseline"/>
        <sz val="10"/>
        <color indexed="12"/>
        <name val="Arial"/>
        <family val="2"/>
        <scheme val="none"/>
      </font>
      <alignment horizontal="general" vertical="bottom" textRotation="0" wrapText="0" indent="0" justifyLastLine="0" shrinkToFit="0" readingOrder="0"/>
      <border diagonalUp="0" diagonalDown="0" outline="0">
        <left/>
        <right style="medium">
          <color auto="1"/>
        </right>
        <top/>
        <bottom/>
      </border>
      <protection locked="1" hidden="0"/>
    </dxf>
    <dxf>
      <alignment horizontal="general" vertical="bottom" textRotation="0" wrapText="0" relativeIndent="0" justifyLastLine="0" shrinkToFit="0" readingOrder="0"/>
      <protection locked="1" hidden="0"/>
    </dxf>
    <dxf>
      <font>
        <b val="0"/>
        <i val="0"/>
        <strike val="0"/>
        <condense val="0"/>
        <extend val="0"/>
        <outline val="0"/>
        <shadow val="0"/>
        <u val="none"/>
        <vertAlign val="baseline"/>
        <sz val="10"/>
        <color auto="1"/>
        <name val="Arial"/>
        <family val="2"/>
        <scheme val="none"/>
      </font>
      <alignment horizontal="general" vertical="bottom" textRotation="0" wrapText="1" indent="0" justifyLastLine="0" shrinkToFit="0" readingOrder="0"/>
      <border diagonalUp="0" diagonalDown="0" outline="0">
        <left/>
        <right/>
        <top/>
        <bottom/>
      </border>
    </dxf>
    <dxf>
      <alignment horizontal="general" vertical="bottom" textRotation="0" wrapText="1" relative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1" indent="0" justifyLastLine="0" shrinkToFit="0" readingOrder="0"/>
      <border diagonalUp="0" diagonalDown="0" outline="0">
        <left/>
        <right/>
        <top/>
        <bottom/>
      </border>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diagonalUp="0" diagonalDown="0" outline="0">
        <left style="medium">
          <color auto="1"/>
        </left>
        <right/>
        <top/>
        <bottom/>
      </border>
    </dxf>
    <dxf>
      <fill>
        <patternFill patternType="none">
          <fgColor indexed="64"/>
          <bgColor indexed="65"/>
        </patternFill>
      </fill>
    </dxf>
    <dxf>
      <alignment horizontal="general" vertical="bottom" textRotation="0" wrapText="0" relativeIndent="0" justifyLastLine="0" shrinkToFit="0" readingOrder="0"/>
      <protection locked="1" hidden="0"/>
    </dxf>
    <dxf>
      <alignment vertical="bottom" textRotation="0" wrapText="1" relativeIndent="0" justifyLastLine="0" shrinkToFit="0" readingOrder="0"/>
    </dxf>
    <dxf>
      <fill>
        <patternFill patternType="none">
          <fgColor indexed="64"/>
          <bgColor indexed="65"/>
        </patternFill>
      </fill>
      <alignment horizontal="general" vertical="bottom" textRotation="0" wrapText="1" relativeIndent="0" justifyLastLine="0" shrinkToFit="0" readingOrder="0"/>
    </dxf>
    <dxf>
      <fill>
        <patternFill patternType="none">
          <fgColor indexed="64"/>
          <bgColor indexed="65"/>
        </patternFill>
      </fill>
    </dxf>
    <dxf>
      <alignment horizontal="general" vertical="bottom" textRotation="0" wrapText="0" relativeIndent="0" justifyLastLine="0" shrinkToFit="0" readingOrder="0"/>
      <protection locked="1" hidden="0"/>
    </dxf>
    <dxf>
      <font>
        <b val="0"/>
        <i val="0"/>
        <strike val="0"/>
        <condense val="0"/>
        <extend val="0"/>
        <outline val="0"/>
        <shadow val="0"/>
        <u val="none"/>
        <vertAlign val="baseline"/>
        <sz val="10"/>
        <color auto="1"/>
        <name val="Arial"/>
        <scheme val="none"/>
      </font>
      <alignment horizontal="general" vertical="bottom" textRotation="0" wrapText="1" relativeIndent="0" justifyLastLine="0" shrinkToFit="0" readingOrder="0"/>
      <protection locked="1" hidden="0"/>
    </dxf>
    <dxf>
      <font>
        <strike val="0"/>
        <outline val="0"/>
        <shadow val="0"/>
        <u val="none"/>
        <vertAlign val="baseline"/>
        <sz val="10"/>
        <color auto="1"/>
        <name val="Arial"/>
        <scheme val="none"/>
      </font>
      <fill>
        <patternFill patternType="solid">
          <fgColor indexed="64"/>
          <bgColor rgb="FFFFFF00"/>
        </patternFill>
      </fill>
      <border diagonalUp="0" diagonalDown="0" outline="0">
        <left style="medium">
          <color auto="1"/>
        </left>
        <right/>
        <top/>
        <bottom/>
      </border>
    </dxf>
    <dxf>
      <fill>
        <patternFill patternType="solid">
          <fgColor indexed="64"/>
          <bgColor theme="0" tint="-0.249977111117893"/>
        </patternFill>
      </fill>
    </dxf>
    <dxf>
      <fill>
        <patternFill patternType="solid">
          <fgColor indexed="64"/>
          <bgColor theme="0" tint="-0.249977111117893"/>
        </patternFill>
      </fill>
    </dxf>
    <dxf>
      <fill>
        <patternFill patternType="solid">
          <fgColor indexed="64"/>
          <bgColor theme="0"/>
        </patternFill>
      </fill>
      <border diagonalUp="0" diagonalDown="0">
        <left style="medium">
          <color auto="1"/>
        </left>
        <right/>
        <top/>
        <bottom/>
        <vertical/>
        <horizontal/>
      </border>
    </dxf>
    <dxf>
      <border outline="0">
        <top style="thin">
          <color theme="4" tint="0.39997558519241921"/>
        </top>
      </border>
    </dxf>
    <dxf>
      <fill>
        <patternFill patternType="solid">
          <fgColor indexed="64"/>
          <bgColor theme="0" tint="-0.249977111117893"/>
        </patternFill>
      </fill>
    </dxf>
    <dxf>
      <border outline="0">
        <bottom style="thin">
          <color theme="4"/>
        </bottom>
      </border>
    </dxf>
    <dxf>
      <font>
        <b val="0"/>
        <i val="0"/>
        <strike val="0"/>
        <condense val="0"/>
        <extend val="0"/>
        <outline val="0"/>
        <shadow val="0"/>
        <u val="none"/>
        <vertAlign val="baseline"/>
        <sz val="10"/>
        <color theme="1"/>
        <name val="Arial"/>
        <scheme val="none"/>
      </font>
      <fill>
        <patternFill patternType="solid">
          <bgColor theme="0"/>
        </patternFill>
      </fill>
      <alignment horizontal="center" vertical="bottom" textRotation="0" wrapText="1" relativeIndent="0" justifyLastLine="0" shrinkToFit="0" readingOrder="0"/>
    </dxf>
    <dxf>
      <font>
        <b val="0"/>
        <i val="0"/>
        <strike val="0"/>
        <condense val="0"/>
        <extend val="0"/>
        <outline val="0"/>
        <shadow val="0"/>
        <u val="none"/>
        <vertAlign val="baseline"/>
        <sz val="10"/>
        <color theme="1"/>
        <name val="Arial"/>
        <scheme val="none"/>
      </font>
      <fill>
        <patternFill patternType="solid">
          <bgColor theme="0"/>
        </patternFill>
      </fill>
      <alignment horizontal="center" vertical="bottom" textRotation="0" wrapText="1" relativeIndent="0" justifyLastLine="0" shrinkToFit="0" readingOrder="0"/>
    </dxf>
    <dxf>
      <font>
        <strike val="0"/>
        <outline val="0"/>
        <shadow val="0"/>
        <u val="none"/>
        <vertAlign val="baseline"/>
        <sz val="10"/>
        <name val="Arial"/>
        <scheme val="none"/>
      </font>
      <fill>
        <patternFill patternType="solid">
          <bgColor theme="0"/>
        </patternFill>
      </fill>
    </dxf>
    <dxf>
      <font>
        <strike val="0"/>
        <outline val="0"/>
        <shadow val="0"/>
        <u val="none"/>
        <vertAlign val="baseline"/>
        <sz val="10"/>
        <name val="Arial"/>
        <scheme val="none"/>
      </font>
      <fill>
        <patternFill patternType="solid">
          <bgColor theme="0"/>
        </patternFill>
      </fill>
    </dxf>
    <dxf>
      <fill>
        <patternFill patternType="solid">
          <fgColor indexed="64"/>
          <bgColor rgb="FF92D050"/>
        </patternFill>
      </fill>
    </dxf>
    <dxf>
      <numFmt numFmtId="34" formatCode="_(&quot;$&quot;* #,##0.00_);_(&quot;$&quot;* \(#,##0.00\);_(&quot;$&quot;* &quot;-&quot;??_);_(@_)"/>
      <fill>
        <patternFill patternType="solid">
          <fgColor indexed="64"/>
          <bgColor theme="0" tint="-0.249977111117893"/>
        </patternFill>
      </fill>
    </dxf>
    <dxf>
      <numFmt numFmtId="34" formatCode="_(&quot;$&quot;* #,##0.00_);_(&quot;$&quot;* \(#,##0.00\);_(&quot;$&quot;* &quot;-&quot;??_);_(@_)"/>
      <fill>
        <patternFill patternType="solid">
          <fgColor indexed="64"/>
          <bgColor theme="0" tint="-0.249977111117893"/>
        </patternFill>
      </fill>
    </dxf>
    <dxf>
      <fill>
        <patternFill patternType="solid">
          <fgColor indexed="64"/>
          <bgColor theme="0" tint="-0.249977111117893"/>
        </patternFill>
      </fill>
    </dxf>
    <dxf>
      <border outline="0">
        <top style="thin">
          <color theme="4" tint="0.39997558519241921"/>
        </top>
      </border>
    </dxf>
    <dxf>
      <fill>
        <patternFill patternType="solid">
          <fgColor indexed="64"/>
          <bgColor theme="0" tint="-0.249977111117893"/>
        </patternFill>
      </fill>
    </dxf>
    <dxf>
      <border outline="0">
        <bottom style="thin">
          <color theme="4"/>
        </bottom>
      </border>
    </dxf>
    <dxf>
      <font>
        <strike val="0"/>
        <outline val="0"/>
        <shadow val="0"/>
        <u val="none"/>
        <vertAlign val="baseline"/>
        <sz val="8"/>
        <color theme="1"/>
        <name val="Arial"/>
        <family val="2"/>
        <scheme val="none"/>
      </font>
      <numFmt numFmtId="173" formatCode="0.0000"/>
      <fill>
        <patternFill patternType="solid">
          <fgColor indexed="64"/>
          <bgColor rgb="FFFFFF00"/>
        </patternFill>
      </fill>
      <alignment horizontal="general" vertical="bottom" textRotation="0" wrapText="1" indent="0" justifyLastLine="0" shrinkToFit="0" readingOrder="0"/>
    </dxf>
    <dxf>
      <font>
        <strike val="0"/>
        <outline val="0"/>
        <shadow val="0"/>
        <u val="none"/>
        <vertAlign val="baseline"/>
        <sz val="10"/>
        <color theme="1"/>
        <name val="Arial"/>
        <scheme val="none"/>
      </font>
      <fill>
        <patternFill patternType="solid">
          <bgColor theme="0"/>
        </patternFill>
      </fill>
    </dxf>
    <dxf>
      <border outline="0">
        <top style="thin">
          <color theme="4" tint="0.39997558519241921"/>
        </top>
      </border>
    </dxf>
    <dxf>
      <font>
        <strike val="0"/>
        <outline val="0"/>
        <shadow val="0"/>
        <u val="none"/>
        <vertAlign val="baseline"/>
        <sz val="10"/>
        <color theme="1"/>
        <name val="Arial"/>
        <scheme val="none"/>
      </font>
      <fill>
        <patternFill patternType="solid">
          <bgColor theme="0"/>
        </patternFill>
      </fill>
    </dxf>
    <dxf>
      <border outline="0">
        <bottom style="thin">
          <color theme="4" tint="0.39997558519241921"/>
        </bottom>
      </border>
    </dxf>
    <dxf>
      <fill>
        <patternFill patternType="solid">
          <fgColor theme="4"/>
          <bgColor rgb="FF92D050"/>
        </patternFill>
      </fill>
    </dxf>
    <dxf>
      <font>
        <strike val="0"/>
        <outline val="0"/>
        <shadow val="0"/>
        <u val="none"/>
        <vertAlign val="baseline"/>
        <sz val="10"/>
        <name val="Arial"/>
        <scheme val="none"/>
      </font>
      <fill>
        <patternFill patternType="solid">
          <bgColor theme="0"/>
        </patternFill>
      </fill>
    </dxf>
    <dxf>
      <font>
        <strike val="0"/>
        <outline val="0"/>
        <shadow val="0"/>
        <u val="none"/>
        <vertAlign val="baseline"/>
        <sz val="10"/>
        <name val="Arial"/>
        <scheme val="none"/>
      </font>
      <fill>
        <patternFill patternType="solid">
          <bgColor theme="0"/>
        </patternFill>
      </fill>
      <alignment horizontal="general" vertical="bottom" textRotation="0" wrapText="1" relativeIndent="0" justifyLastLine="0" shrinkToFit="0" readingOrder="0"/>
    </dxf>
    <dxf>
      <font>
        <strike val="0"/>
        <outline val="0"/>
        <shadow val="0"/>
        <u val="none"/>
        <vertAlign val="baseline"/>
        <sz val="10"/>
        <name val="Arial"/>
        <scheme val="none"/>
      </font>
      <fill>
        <patternFill patternType="solid">
          <bgColor theme="0"/>
        </patternFill>
      </fill>
      <alignment horizontal="general" vertical="bottom" textRotation="0" wrapText="1" relativeIndent="0" justifyLastLine="0" shrinkToFit="0" readingOrder="0"/>
    </dxf>
    <dxf>
      <font>
        <strike val="0"/>
        <outline val="0"/>
        <shadow val="0"/>
        <u val="none"/>
        <vertAlign val="baseline"/>
        <sz val="10"/>
        <name val="Arial"/>
        <scheme val="none"/>
      </font>
      <fill>
        <patternFill patternType="solid">
          <bgColor theme="0"/>
        </patternFill>
      </fill>
    </dxf>
    <dxf>
      <font>
        <strike val="0"/>
        <outline val="0"/>
        <shadow val="0"/>
        <u val="none"/>
        <vertAlign val="baseline"/>
        <sz val="10"/>
        <name val="Arial"/>
        <scheme val="none"/>
      </font>
      <fill>
        <patternFill patternType="solid">
          <bgColor theme="0"/>
        </patternFill>
      </fill>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general" vertical="bottom" textRotation="0" wrapText="1" relativeIndent="0" justifyLastLine="0" shrinkToFit="0" readingOrder="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bgColor theme="0"/>
        </patternFill>
      </fill>
      <alignment horizontal="center" vertical="bottom" textRotation="0" wrapText="1" relativeIndent="0" justifyLastLine="0" shrinkToFit="0" readingOrder="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bgColor theme="0"/>
        </patternFill>
      </fill>
      <alignment horizontal="center" vertical="bottom" textRotation="0" wrapText="1" relativeIndent="0" justifyLastLine="0" shrinkToFit="0" readingOrder="0"/>
    </dxf>
    <dxf>
      <font>
        <strike val="0"/>
        <outline val="0"/>
        <shadow val="0"/>
        <u val="none"/>
        <vertAlign val="baseline"/>
        <sz val="10"/>
        <name val="Arial"/>
        <scheme val="none"/>
      </font>
      <fill>
        <patternFill patternType="solid">
          <bgColor theme="0"/>
        </patternFill>
      </fill>
    </dxf>
    <dxf>
      <font>
        <strike val="0"/>
        <outline val="0"/>
        <shadow val="0"/>
        <u val="none"/>
        <vertAlign val="baseline"/>
        <sz val="10"/>
        <name val="Arial"/>
        <scheme val="none"/>
      </font>
      <fill>
        <patternFill patternType="solid">
          <bgColor theme="0"/>
        </patternFill>
      </fill>
    </dxf>
    <dxf>
      <fill>
        <patternFill patternType="solid">
          <fgColor indexed="64"/>
          <bgColor rgb="FF92D050"/>
        </patternFill>
      </fill>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4" formatCode="0.00%"/>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dxf>
    <dxf>
      <border outline="0">
        <bottom style="thin">
          <color auto="1"/>
        </bottom>
      </border>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family val="2"/>
        <scheme val="none"/>
      </font>
      <numFmt numFmtId="0" formatCode="General"/>
      <fill>
        <patternFill patternType="none">
          <fgColor indexed="64"/>
          <bgColor indexed="65"/>
        </patternFill>
      </fill>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border outline="0">
        <bottom style="thin">
          <color auto="1"/>
        </bottom>
      </border>
    </dxf>
    <dxf>
      <fill>
        <patternFill patternType="none">
          <fgColor indexed="64"/>
          <bgColor indexed="65"/>
        </patternFill>
      </fill>
      <border diagonalUp="0" diagonalDown="0" outline="0">
        <left style="thin">
          <color auto="1"/>
        </left>
        <right style="thin">
          <color auto="1"/>
        </right>
        <top/>
        <bottom/>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top style="thin">
          <color auto="1"/>
        </top>
        <bottom/>
      </border>
    </dxf>
    <dxf>
      <font>
        <b val="0"/>
        <i val="0"/>
        <strike val="0"/>
        <condense val="0"/>
        <extend val="0"/>
        <outline val="0"/>
        <shadow val="0"/>
        <u val="none"/>
        <vertAlign val="baseline"/>
        <sz val="10"/>
        <color auto="1"/>
        <name val="Arial"/>
        <scheme val="none"/>
      </font>
      <numFmt numFmtId="166" formatCode="_(* #,##0_);_(* \(#,##0\);_(* &quot;-&quot;??_);_(@_)"/>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8"/>
        <color auto="1"/>
        <name val="Arial"/>
        <family val="2"/>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family val="2"/>
        <scheme val="none"/>
      </font>
      <numFmt numFmtId="166" formatCode="_(* #,##0_);_(* \(#,##0\);_(* &quot;-&quot;??_);_(@_)"/>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8"/>
        <color auto="1"/>
        <name val="Arial"/>
        <family val="2"/>
        <scheme val="none"/>
      </font>
      <numFmt numFmtId="166" formatCode="_(* #,##0_);_(* \(#,##0\);_(* &quot;-&quot;??_);_(@_)"/>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4.9989318521683403E-2"/>
        </patternFill>
      </fill>
      <border diagonalUp="0" diagonalDown="0" outline="0">
        <left/>
        <right style="thin">
          <color auto="1"/>
        </right>
        <top style="thin">
          <color auto="1"/>
        </top>
        <bottom/>
      </border>
    </dxf>
    <dxf>
      <font>
        <b val="0"/>
        <i val="0"/>
        <strike val="0"/>
        <condense val="0"/>
        <extend val="0"/>
        <outline val="0"/>
        <shadow val="0"/>
        <u val="none"/>
        <vertAlign val="baseline"/>
        <sz val="8"/>
        <color theme="1"/>
        <name val="Arial"/>
        <family val="2"/>
        <scheme val="none"/>
      </font>
      <numFmt numFmtId="0" formatCode="General"/>
      <fill>
        <patternFill patternType="solid">
          <fgColor indexed="64"/>
          <bgColor theme="0" tint="-4.9989318521683403E-2"/>
        </patternFill>
      </fill>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dxf>
    <dxf>
      <border outline="0">
        <bottom style="thin">
          <color auto="1"/>
        </bottom>
      </border>
    </dxf>
    <dxf>
      <fill>
        <patternFill patternType="none">
          <fgColor indexed="64"/>
          <bgColor indexed="65"/>
        </patternFill>
      </fill>
      <border diagonalUp="0" diagonalDown="0" outline="0">
        <left style="thin">
          <color auto="1"/>
        </left>
        <right style="thin">
          <color auto="1"/>
        </right>
        <top/>
        <bottom/>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family val="2"/>
        <scheme val="none"/>
      </font>
      <numFmt numFmtId="35" formatCode="_(* #,##0.00_);_(* \(#,##0.0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family val="2"/>
        <scheme val="none"/>
      </font>
      <numFmt numFmtId="35" formatCode="_(* #,##0.00_);_(* \(#,##0.0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family val="2"/>
        <scheme val="none"/>
      </font>
      <numFmt numFmtId="35" formatCode="_(* #,##0.00_);_(* \(#,##0.0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family val="2"/>
        <scheme val="none"/>
      </font>
      <numFmt numFmtId="35" formatCode="_(* #,##0.00_);_(* \(#,##0.0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family val="2"/>
        <scheme val="none"/>
      </font>
      <numFmt numFmtId="0" formatCode="General"/>
      <fill>
        <patternFill patternType="none">
          <fgColor indexed="64"/>
          <bgColor indexed="65"/>
        </patternFill>
      </fill>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border outline="0">
        <bottom style="thin">
          <color auto="1"/>
        </bottom>
      </border>
    </dxf>
    <dxf>
      <fill>
        <patternFill patternType="none">
          <fgColor indexed="64"/>
          <bgColor indexed="65"/>
        </patternFill>
      </fill>
      <border diagonalUp="0" diagonalDown="0" outline="0">
        <left style="thin">
          <color auto="1"/>
        </left>
        <right style="thin">
          <color auto="1"/>
        </right>
        <top/>
        <bottom/>
      </border>
    </dxf>
    <dxf>
      <font>
        <b val="0"/>
        <i val="0"/>
        <strike val="0"/>
        <condense val="0"/>
        <extend val="0"/>
        <outline val="0"/>
        <shadow val="0"/>
        <u val="none"/>
        <vertAlign val="baseline"/>
        <sz val="10"/>
        <color auto="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scheme val="none"/>
      </font>
      <numFmt numFmtId="166" formatCode="_(* #,##0_);_(* \(#,##0\);_(* &quot;-&quot;??_);_(@_)"/>
      <fill>
        <patternFill patternType="none">
          <fgColor indexed="64"/>
          <bgColor indexed="65"/>
        </patternFill>
      </fill>
      <border diagonalUp="0" diagonalDown="0">
        <left style="thin">
          <color auto="1"/>
        </left>
        <right style="thin">
          <color auto="1"/>
        </right>
        <top style="thin">
          <color auto="1"/>
        </top>
        <bottom style="thin">
          <color auto="1"/>
        </bottom>
        <vertical/>
        <horizontal/>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border outline="0">
        <bottom style="thin">
          <color auto="1"/>
        </bottom>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outline="0">
        <left style="thin">
          <color auto="1"/>
        </left>
        <right style="thin">
          <color auto="1"/>
        </right>
        <top/>
        <bottom/>
      </border>
    </dxf>
  </dxfs>
  <tableStyles count="0" defaultTableStyle="TableStyleMedium9" defaultPivotStyle="PivotStyleLight16"/>
  <colors>
    <mruColors>
      <color rgb="FF4D4D4D"/>
      <color rgb="FFC8E6FF"/>
      <color rgb="FFCCE6FF"/>
      <color rgb="FFCCECFF"/>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10/relationships/person" Target="persons/person.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1</xdr:col>
      <xdr:colOff>800100</xdr:colOff>
      <xdr:row>1</xdr:row>
      <xdr:rowOff>248158</xdr:rowOff>
    </xdr:to>
    <xdr:pic>
      <xdr:nvPicPr>
        <xdr:cNvPr id="2" name="Picture 4" descr="WSlogo.jpg">
          <a:extLst>
            <a:ext uri="{FF2B5EF4-FFF2-40B4-BE49-F238E27FC236}">
              <a16:creationId xmlns:a16="http://schemas.microsoft.com/office/drawing/2014/main" id="{0BCD6539-B2F4-46E2-BA0D-719DE521053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8575"/>
          <a:ext cx="800100" cy="475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sepa-my.sharepoint.com/personal/schein_jonah_epa_gov/Documents/ESG%20Tool/WaterSense%20Summary_macro_edit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Relative Impact Charts 16-20"/>
      <sheetName val="Totals"/>
      <sheetName val="Tables for Charts &amp; Analysis"/>
      <sheetName val="Toilets"/>
      <sheetName val="Faucets"/>
      <sheetName val="Faucet Accessories"/>
      <sheetName val="Urinals"/>
      <sheetName val="Showerheads"/>
      <sheetName val="PRSVs"/>
      <sheetName val="WBICs"/>
      <sheetName val="FV Toilets"/>
      <sheetName val="SSBs"/>
      <sheetName val="Annual Data"/>
      <sheetName val="Supporting Data"/>
      <sheetName val="NWS Check 2013"/>
      <sheetName val="DHW EF"/>
      <sheetName val="Inputs_NWS-R"/>
      <sheetName val="Inputs_NWS-CI"/>
      <sheetName val="Inputs_NWS-O"/>
    </sheetNames>
    <sheetDataSet>
      <sheetData sheetId="0"/>
      <sheetData sheetId="1"/>
      <sheetData sheetId="2">
        <row r="30">
          <cell r="J30">
            <v>2022</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persons/person.xml><?xml version="1.0" encoding="utf-8"?>
<personList xmlns="http://schemas.microsoft.com/office/spreadsheetml/2018/threadedcomments" xmlns:x="http://schemas.openxmlformats.org/spreadsheetml/2006/main">
  <person displayName="Robert Pickering" id="{950602E5-9EE2-4E87-BDF9-96B070704E21}" userId="Robert Pickering" providerId="None"/>
  <person displayName="Schein, Jonah" id="{68BCB49F-EC61-474C-85FB-A2BE71CBDD0B}" userId="S::Schein.Jonah@epa.gov::9671acd7-cfc7-4ff2-b803-aee0ac24f548" providerId="AD"/>
  <person displayName="Grace McCarthy" id="{3B872C6E-8948-404E-B468-4BA99E81C380}" userId="S::Grace.McCarthy@erg.com::1850dca9-b062-4d6e-9e3c-441b6850982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C313EE0-2163-47A4-B8F2-7C1A346607A4}" name="Savings" displayName="Savings" ref="A6:L30" totalsRowShown="0" headerRowDxfId="141" dataDxfId="139" headerRowBorderDxfId="140" tableBorderDxfId="138" totalsRowBorderDxfId="137" dataCellStyle="Comma">
  <autoFilter ref="A6:L30" xr:uid="{BC313EE0-2163-47A4-B8F2-7C1A346607A4}"/>
  <tableColumns count="12">
    <tableColumn id="1" xr3:uid="{478B9A57-217B-4DE7-95FF-F41D5C5C700B}" name="Year" dataDxfId="136"/>
    <tableColumn id="2" xr3:uid="{2B3E4477-7DC1-4006-A0B6-6CFB8E162BF7}" name="Toilets" dataDxfId="135" dataCellStyle="Comma"/>
    <tableColumn id="3" xr3:uid="{35432BB1-1F92-4051-8C8D-93E2D5FAA997}" name="Faucets" dataDxfId="134" dataCellStyle="Comma"/>
    <tableColumn id="4" xr3:uid="{0A7829EF-D0D8-47BF-9659-21453308121A}" name="Faucet Aerators" dataDxfId="133" dataCellStyle="Comma"/>
    <tableColumn id="5" xr3:uid="{C345D9EB-AA6A-4953-A17F-8C59D53DAD2E}" name="Showerheads" dataDxfId="132" dataCellStyle="Comma"/>
    <tableColumn id="6" xr3:uid="{06975B4A-617E-41D0-BF98-12DC883D9DA0}" name="FV Toilets" dataDxfId="131" dataCellStyle="Comma"/>
    <tableColumn id="7" xr3:uid="{D0D97DF5-194C-44FD-8115-87B4AAA0A4A0}" name="Urinals" dataDxfId="130" dataCellStyle="Comma"/>
    <tableColumn id="8" xr3:uid="{9A06131C-8B93-4B58-8821-F47C63596FC7}" name="WBICs" dataDxfId="129" dataCellStyle="Comma"/>
    <tableColumn id="12" xr3:uid="{CA6C221C-717E-4E83-B068-80AE83EAD3FA}" name="SMSs" dataDxfId="128" dataCellStyle="Comma">
      <calculatedColumnFormula>AS7*V7</calculatedColumnFormula>
    </tableColumn>
    <tableColumn id="9" xr3:uid="{42363E16-4737-4B49-9D5F-5FBDE38110C6}" name="SSBs" dataDxfId="127" dataCellStyle="Comma"/>
    <tableColumn id="10" xr3:uid="{3575224A-2F52-4B8D-B320-04E2887FC045}" name="Totals (annual)" dataDxfId="126" dataCellStyle="Comma"/>
    <tableColumn id="11" xr3:uid="{BF8B2B07-0F7D-4399-A4D2-9825514E745D}" name="Totals (cumulative)" dataDxfId="125"/>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A8B490-A498-49D6-A0CF-A16A58D6A078}" name="Table32" displayName="Table32" ref="R6:T30" totalsRowShown="0" headerRowDxfId="29" dataDxfId="28">
  <tableColumns count="3">
    <tableColumn id="1" xr3:uid="{D65F3A0B-2B16-44C0-B184-BBC1F632BBE1}" name="Year" dataDxfId="27">
      <calculatedColumnFormula>SUM(R6+1)</calculatedColumnFormula>
    </tableColumn>
    <tableColumn id="2" xr3:uid="{9CE125B0-94D3-49D6-89D2-CDB87569E4CA}" name="Price of natural gas (Mcf)" dataDxfId="26"/>
    <tableColumn id="3" xr3:uid="{EF1B7788-70A1-401F-BBC7-3ADD42E152B3}" name="Price of electricity (kWh)" dataDxfId="2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6D598B6-69B8-4D62-B929-A7D0184B2093}" name="Table173" displayName="Table173" ref="V6:X30" totalsRowShown="0" dataDxfId="23" headerRowBorderDxfId="24" tableBorderDxfId="22">
  <autoFilter ref="V6:X30" xr:uid="{86D598B6-69B8-4D62-B929-A7D0184B2093}"/>
  <tableColumns count="3">
    <tableColumn id="1" xr3:uid="{19085078-6E4F-40F6-B2D9-E9E434802BB1}" name="Year" dataDxfId="21"/>
    <tableColumn id="2" xr3:uid="{EC897FEA-7182-4733-9E65-299CA604B60E}" name="Residential" dataDxfId="20" dataCellStyle="Currency"/>
    <tableColumn id="3" xr3:uid="{23E59132-4E84-4CC8-B8B9-F2A27136D166}" name="Commercial" dataDxfId="19" dataCellStyle="Currency"/>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C000000}" name="Table7" displayName="Table7" ref="B3:E5" totalsRowShown="0">
  <autoFilter ref="B3:E5" xr:uid="{00000000-0009-0000-0100-000007000000}"/>
  <tableColumns count="4">
    <tableColumn id="1" xr3:uid="{00000000-0010-0000-0C00-000001000000}" name="Value" dataDxfId="18" dataCellStyle="Normal 2 2 2"/>
    <tableColumn id="2" xr3:uid="{00000000-0010-0000-0C00-000002000000}" name="Unit/Assumption"/>
    <tableColumn id="3" xr3:uid="{00000000-0010-0000-0C00-000003000000}" name="Source" dataDxfId="17"/>
    <tableColumn id="4" xr3:uid="{00000000-0010-0000-0C00-000004000000}" name="Link" dataDxfId="1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D000000}" name="Table8" displayName="Table8" ref="B9:E19" totalsRowShown="0">
  <autoFilter ref="B9:E19" xr:uid="{00000000-0009-0000-0100-000008000000}"/>
  <tableColumns count="4">
    <tableColumn id="1" xr3:uid="{00000000-0010-0000-0D00-000001000000}" name="Value" dataDxfId="15"/>
    <tableColumn id="2" xr3:uid="{00000000-0010-0000-0D00-000002000000}" name="Unit/Assumption" dataDxfId="14"/>
    <tableColumn id="3" xr3:uid="{00000000-0010-0000-0D00-000003000000}" name="Source" dataDxfId="13"/>
    <tableColumn id="4" xr3:uid="{00000000-0010-0000-0D00-000004000000}" name="Link" dataDxfId="1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E000000}" name="Table9" displayName="Table9" ref="B23:E32" totalsRowCount="1">
  <autoFilter ref="B23:E31" xr:uid="{00000000-0009-0000-0100-000009000000}"/>
  <tableColumns count="4">
    <tableColumn id="1" xr3:uid="{00000000-0010-0000-0E00-000001000000}" name="Value" totalsRowFunction="custom" dataDxfId="11" totalsRowDxfId="10">
      <totalsRowFormula>(B31*(1/B30)*B29*B17)/B18</totalsRowFormula>
    </tableColumn>
    <tableColumn id="2" xr3:uid="{00000000-0010-0000-0E00-000002000000}" name="Unit" totalsRowLabel="kWh of electricity required to heat one gallon of commercial water, assuming that incoming water temperature is raised from 75°. Assumes 100% heating efficiency." totalsRowDxfId="9"/>
    <tableColumn id="3" xr3:uid="{00000000-0010-0000-0E00-000003000000}" name="Source" totalsRowLabel="Calculated" dataDxfId="8" totalsRowDxfId="7"/>
    <tableColumn id="4" xr3:uid="{00000000-0010-0000-0E00-000004000000}" name="Link" dataDxfId="6" totalsRowDxfId="5"/>
  </tableColumns>
  <tableStyleInfo name="TableStyleLight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5D94C94-7C88-4E78-85E2-FD215C7E3D13}" name="Table22" displayName="Table22" ref="B37:E44" totalsRowShown="0" tableBorderDxfId="4">
  <autoFilter ref="B37:E44" xr:uid="{B5D94C94-7C88-4E78-85E2-FD215C7E3D13}"/>
  <tableColumns count="4">
    <tableColumn id="1" xr3:uid="{C340CA08-EBEB-4A41-AF95-C43C20077D19}" name="Value" dataDxfId="3" dataCellStyle="Comma"/>
    <tableColumn id="2" xr3:uid="{ED6FB67D-D927-4D74-BFCE-E2F6B0BB90BC}" name="Unit" dataDxfId="2"/>
    <tableColumn id="3" xr3:uid="{E5E73AD5-73F7-4120-AC01-34B22366F17D}" name="Source" dataDxfId="1"/>
    <tableColumn id="4" xr3:uid="{1FE2A223-E0B6-4EB4-B476-2F1931E2117D}" name="Link" dataDxfId="0" dataCellStyle="Hyperlink"/>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880479B-3EC6-4361-99F4-46D55C791358}" name="galperproduct" displayName="galperproduct" ref="N6:W30" totalsRowShown="0" headerRowDxfId="124" dataDxfId="122" headerRowBorderDxfId="123" tableBorderDxfId="121" totalsRowBorderDxfId="120" dataCellStyle="Comma">
  <autoFilter ref="N6:W30" xr:uid="{E880479B-3EC6-4361-99F4-46D55C791358}"/>
  <tableColumns count="10">
    <tableColumn id="1" xr3:uid="{5C53DB70-09D1-4B38-8EDC-B4151B8D61B6}" name="Year" dataDxfId="119" dataCellStyle="Comma"/>
    <tableColumn id="2" xr3:uid="{4E2FA234-32CC-417B-AD44-B45DBA701074}" name="Toilets" dataDxfId="118" dataCellStyle="Comma"/>
    <tableColumn id="3" xr3:uid="{BEC87750-3960-48B7-9CB9-C384EEFE002D}" name="Faucets" dataDxfId="117" dataCellStyle="Comma"/>
    <tableColumn id="4" xr3:uid="{7C7FB273-2E5A-49CC-A514-5ADF76B376CE}" name="Faucet Aerators" dataDxfId="116" dataCellStyle="Comma"/>
    <tableColumn id="5" xr3:uid="{C02B56D7-9716-44CB-9563-0342FF11E7E4}" name="Showerheads" dataDxfId="115" dataCellStyle="Comma"/>
    <tableColumn id="6" xr3:uid="{0CB46120-994D-48F6-84C8-91038ADA4DA4}" name="FV Toilets" dataDxfId="114" dataCellStyle="Comma"/>
    <tableColumn id="7" xr3:uid="{78FEEC82-1615-4FFC-A4CC-E0F0CA61FFBF}" name="Urinals" dataDxfId="113" dataCellStyle="Comma"/>
    <tableColumn id="8" xr3:uid="{F0C6BE55-B1DC-46E8-BDF2-37A27E337C13}" name="WBICs" dataDxfId="112" dataCellStyle="Comma"/>
    <tableColumn id="10" xr3:uid="{3E602D12-4D1F-4551-80AA-9780835CBB45}" name="SMSs" dataDxfId="111" dataCellStyle="Comma"/>
    <tableColumn id="9" xr3:uid="{6B8983FA-F22D-4112-80B0-722CE3F5DFC2}" name="SSBs" dataDxfId="110" dataCellStyle="Comma"/>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C8586C8-69F5-400D-ACB0-05A20B5AD5BA}" name="ship" displayName="ship" ref="Y6:AI31" totalsRowCount="1" headerRowDxfId="109" dataDxfId="107" headerRowBorderDxfId="108" tableBorderDxfId="106" totalsRowBorderDxfId="105" dataCellStyle="Comma">
  <autoFilter ref="Y6:AI30" xr:uid="{3C8586C8-69F5-400D-ACB0-05A20B5AD5BA}"/>
  <tableColumns count="11">
    <tableColumn id="1" xr3:uid="{6D609ABB-4D78-4F90-843F-1C7D5718BADD}" name="Year" dataDxfId="104" totalsRowDxfId="103" dataCellStyle="Comma"/>
    <tableColumn id="2" xr3:uid="{D54C93A0-9369-4049-9C12-2B5B0B20FE32}" name="Toilets" dataDxfId="102" totalsRowDxfId="101" dataCellStyle="Comma">
      <calculatedColumnFormula>IF(partner_type="Manufacturer",Manufacturer!C7,IF(partner_type="Retailer/Distributor",'Retailer or Distributor'!C7,IF(partner_type="Utility/District",'Utility or District'!C7,Homes_calc!I7)))</calculatedColumnFormula>
    </tableColumn>
    <tableColumn id="3" xr3:uid="{D25C9EBD-03C8-4291-8ED8-476A29B09B24}" name="Faucets" dataDxfId="100" totalsRowDxfId="99" dataCellStyle="Comma">
      <calculatedColumnFormula>IF(partner_type="Manufacturer",Manufacturer!D7,IF(partner_type="Retailer/Distributor",'Retailer or Distributor'!D7,IF(partner_type="Utility/District",'Utility or District'!D7,Homes_calc!J7)))</calculatedColumnFormula>
    </tableColumn>
    <tableColumn id="4" xr3:uid="{65414F88-F3A3-4E95-BF8C-F376716AC13D}" name="Faucet Aerators" dataDxfId="98" totalsRowDxfId="97" dataCellStyle="Comma">
      <calculatedColumnFormula>IF(partner_type="Manufacturer",Manufacturer!E7,IF(partner_type="Retailer/Distributor",'Retailer or Distributor'!E7,IF(partner_type="Utility/District",'Utility or District'!E7,Homes_calc!K7)))</calculatedColumnFormula>
    </tableColumn>
    <tableColumn id="5" xr3:uid="{8F2E6571-E8E1-4512-8039-E3071A07B92E}" name="Showerheads" dataDxfId="96" totalsRowDxfId="95" dataCellStyle="Comma">
      <calculatedColumnFormula>IF(partner_type="Manufacturer",Manufacturer!F7,IF(partner_type="Retailer/Distributor",'Retailer or Distributor'!F7,IF(partner_type="Utility/District",'Utility or District'!F7,Homes_calc!L7)))</calculatedColumnFormula>
    </tableColumn>
    <tableColumn id="6" xr3:uid="{B1162EFF-B3DA-4C49-B97C-0083BB6BDE6C}" name="FV Toilets" dataDxfId="94" totalsRowDxfId="93" dataCellStyle="Comma">
      <calculatedColumnFormula>IF(partner_type="Manufacturer",Manufacturer!G7,IF(partner_type="Retailer/Distributor",'Retailer or Distributor'!G7,IF(partner_type="Utility/District",'Utility or District'!G7,Homes_calc!M7)))</calculatedColumnFormula>
    </tableColumn>
    <tableColumn id="7" xr3:uid="{E07A35E7-11CF-4214-BC82-9C474C5DEECD}" name="Urinals" dataDxfId="92" totalsRowDxfId="91" dataCellStyle="Comma">
      <calculatedColumnFormula>IF(partner_type="Manufacturer",Manufacturer!H7,IF(partner_type="Retailer/Distributor",'Retailer or Distributor'!H7,IF(partner_type="Utility/District",'Utility or District'!H7,Homes_calc!N7)))</calculatedColumnFormula>
    </tableColumn>
    <tableColumn id="8" xr3:uid="{982973F4-DA57-414B-80A6-438BB13724F9}" name="WBICs" dataDxfId="90" totalsRowDxfId="89" dataCellStyle="Comma">
      <calculatedColumnFormula>IF(partner_type="Manufacturer",Manufacturer!I7,IF(partner_type="Retailer/Distributor",'Retailer or Distributor'!I7,IF(partner_type="Utility/District",'Utility or District'!I7,Homes_calc!O7)))</calculatedColumnFormula>
    </tableColumn>
    <tableColumn id="11" xr3:uid="{A45F8036-C990-4A13-85A5-A5B3B2051977}" name="SMSs" dataDxfId="88" totalsRowDxfId="87" dataCellStyle="Comma">
      <calculatedColumnFormula>IF(partner_type="Manufacturer",Manufacturer!J7,IF(partner_type="Retailer/Distributor",'Retailer or Distributor'!J7,IF(partner_type="Utility/District",'Utility or District'!J7,Homes_calc!P7)))</calculatedColumnFormula>
    </tableColumn>
    <tableColumn id="9" xr3:uid="{7B2C6919-A954-4C7A-9B9E-BCEBA3C2486C}" name="SSBs" dataDxfId="86" totalsRowDxfId="85" dataCellStyle="Comma">
      <calculatedColumnFormula>IF(partner_type="Manufacturer",Manufacturer!K7,IF(partner_type="Retailer/Distributor",'Retailer or Distributor'!K7,IF(partner_type="Utility/District",'Utility or District'!K7,Homes_calc!Q7)))</calculatedColumnFormula>
    </tableColumn>
    <tableColumn id="10" xr3:uid="{A26353AD-11E6-4B4E-80BF-46F728FBE817}" name="Total" totalsRowFunction="custom" dataDxfId="84" totalsRowDxfId="83" dataCellStyle="Comma">
      <calculatedColumnFormula>SUM(ship[[#This Row],[Toilets]:[SSBs]])</calculatedColumnFormula>
      <totalsRowFormula>ROUNDDOWN(SUM(ship[Total]),0)</totalsRow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200665E-39B1-4BB4-99FD-9F835EA6E1BF}" name="stock" displayName="stock" ref="AK6:AT30" totalsRowShown="0" headerRowDxfId="82" dataDxfId="80" headerRowBorderDxfId="81" tableBorderDxfId="79" totalsRowBorderDxfId="78" dataCellStyle="Comma">
  <autoFilter ref="AK6:AT30" xr:uid="{9200665E-39B1-4BB4-99FD-9F835EA6E1BF}"/>
  <tableColumns count="10">
    <tableColumn id="1" xr3:uid="{1B683388-9AF2-4977-B7FD-45C896877422}" name="Column1" dataDxfId="77" dataCellStyle="Comma"/>
    <tableColumn id="2" xr3:uid="{25FB5686-2636-4072-B09D-EE3C929BF525}" name="Toilets" dataDxfId="76" dataCellStyle="Comma">
      <calculatedColumnFormula>IF($AK7&gt;current_year,"",SUMPRODUCT(Z$7:Z7,INDEX(retfunct[],50-(0),COUNT($AV6:AW6)):INDEX(retfunct[],50-($AK8-$AK$8),COUNT($AV6:AW6))))</calculatedColumnFormula>
    </tableColumn>
    <tableColumn id="3" xr3:uid="{6DCE9205-C966-4DAC-84DA-7999C28E510F}" name="Faucets" dataDxfId="75" dataCellStyle="Comma">
      <calculatedColumnFormula>IF($AK7&gt;current_year,"",SUMPRODUCT(AA$7:AA7,INDEX(retfunct[],50-(0),COUNT($AV6:AX6)):INDEX(retfunct[],50-($AK8-$AK$8),COUNT($AV6:AX6))))</calculatedColumnFormula>
    </tableColumn>
    <tableColumn id="4" xr3:uid="{BD9F5E9A-4777-499D-A675-FEB0C464E0AC}" name="Faucet Aerators" dataDxfId="74" dataCellStyle="Comma">
      <calculatedColumnFormula>IF($AK7&gt;current_year,"",SUMPRODUCT(AB$7:AB7,INDEX(retfunct[],50-(0),COUNT($AV6:AY6)):INDEX(retfunct[],50-($AK8-$AK$8),COUNT($AV6:AY6))))</calculatedColumnFormula>
    </tableColumn>
    <tableColumn id="5" xr3:uid="{732823CD-E410-4E52-BBC9-7D2359E921BD}" name="Showerheads" dataDxfId="73" dataCellStyle="Comma">
      <calculatedColumnFormula>IF($AK7&gt;current_year,"",SUMPRODUCT(AC$7:AC7,INDEX(retfunct[],50-(0),COUNT($AV6:AZ6)):INDEX(retfunct[],50-($AK8-$AK$8),COUNT($AV6:AZ6))))</calculatedColumnFormula>
    </tableColumn>
    <tableColumn id="6" xr3:uid="{93B56012-BF4D-4A41-8955-5734569C9DFB}" name="FV Toilets" dataDxfId="72" dataCellStyle="Comma">
      <calculatedColumnFormula>IF($AK7&gt;current_year,"",SUMPRODUCT(AD$7:AD7,INDEX(retfunct[],50-(0),COUNT($AV6:BA6)):INDEX(retfunct[],50-($AK8-$AK$8),COUNT($AV6:BA6))))</calculatedColumnFormula>
    </tableColumn>
    <tableColumn id="7" xr3:uid="{A5CEE545-BA36-481C-A8FB-783EDB22EA96}" name="Urinals" dataDxfId="71" dataCellStyle="Comma">
      <calculatedColumnFormula>IF($AK7&gt;current_year,"",SUMPRODUCT(AE$7:AE7,INDEX(retfunct[],50-(0),COUNT($AV6:BB6)):INDEX(retfunct[],50-($AK8-$AK$8),COUNT($AV6:BB6))))</calculatedColumnFormula>
    </tableColumn>
    <tableColumn id="8" xr3:uid="{837F3ADB-4120-4582-B927-E14FCC8EE328}" name="WBICs" dataDxfId="70" dataCellStyle="Comma">
      <calculatedColumnFormula>IF($AK7&gt;current_year,"",SUMPRODUCT(AF$7:AF7,INDEX(retfunct[],50-(0),COUNT($AV6:BC6)):INDEX(retfunct[],50-($AK8-$AK$8),COUNT($AV6:BC6))))</calculatedColumnFormula>
    </tableColumn>
    <tableColumn id="10" xr3:uid="{98021756-F808-443C-A87A-0082DDDF05F5}" name="SMSs" dataDxfId="69" dataCellStyle="Comma">
      <calculatedColumnFormula>IF($AK7&gt;current_year,"",SUMPRODUCT(AG$7:AG7,INDEX(retfunct[],50-(0),COUNT($AV6:BD6)):INDEX(retfunct[],50-($AK8-$AK$8),COUNT($AV6:BD6))))</calculatedColumnFormula>
    </tableColumn>
    <tableColumn id="9" xr3:uid="{76D3C768-AC4B-49EC-A4D0-D60203A5C350}" name="SSBs" dataDxfId="68" dataCellStyle="Comma">
      <calculatedColumnFormula>IF($AK7&gt;current_year,"",SUMPRODUCT(AH$7:AH7,INDEX(retfunct[],50-(0),COUNT($AV6:BE6)):INDEX(retfunct[],50-($AK8-$AK$8),COUNT($AV6:BE6))))</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1972A34-F162-47C0-ABB8-E12F3AF00FFB}" name="retfunct" displayName="retfunct" ref="AV5:BE55" totalsRowShown="0" headerRowDxfId="67" dataDxfId="65" headerRowBorderDxfId="66" tableBorderDxfId="64" totalsRowBorderDxfId="63" dataCellStyle="Percent">
  <autoFilter ref="AV5:BE55" xr:uid="{21972A34-F162-47C0-ABB8-E12F3AF00FFB}"/>
  <tableColumns count="10">
    <tableColumn id="1" xr3:uid="{ADBDC48F-EEB9-4B8B-AB5F-ADAE15E2631E}" name="Year" dataDxfId="62"/>
    <tableColumn id="2" xr3:uid="{C329F05E-829E-4C18-9855-8957298C15D4}" name="Toilet" dataDxfId="61" dataCellStyle="Percent"/>
    <tableColumn id="3" xr3:uid="{ED842518-4EE8-4778-A904-E64456308958}" name="Faucet" dataDxfId="60" dataCellStyle="Percent"/>
    <tableColumn id="4" xr3:uid="{4734649E-746F-48C6-9F53-48DBD423355B}" name="Faucet Aerator" dataDxfId="59" dataCellStyle="Percent"/>
    <tableColumn id="5" xr3:uid="{59CD1366-11BD-4019-913E-0781EE91AC2D}" name="Showerhead" dataDxfId="58" dataCellStyle="Percent"/>
    <tableColumn id="6" xr3:uid="{A233EBDD-11C7-43D6-AA59-A34B9B9AD6E9}" name="Toilet2" dataDxfId="57" dataCellStyle="Percent"/>
    <tableColumn id="7" xr3:uid="{16DE1248-BC5F-4127-B179-304772019538}" name="Urinal" dataDxfId="56" dataCellStyle="Percent"/>
    <tableColumn id="8" xr3:uid="{05D17F02-FDA2-49B4-A540-5F47BB841F81}" name="WBICs" dataDxfId="55" dataCellStyle="Percent"/>
    <tableColumn id="10" xr3:uid="{692729CB-B00F-426F-9C0A-4E6F0A0B3A4C}" name="SMSs" dataDxfId="54" dataCellStyle="Percent"/>
    <tableColumn id="9" xr3:uid="{608DEA88-FF1E-48C5-841E-F3B3B806CB35}" name="SSBs" dataDxfId="53" dataCellStyle="Percent"/>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7000000}" name="Table3" displayName="Table3" ref="BF6:BH30" totalsRowShown="0" headerRowDxfId="52" dataDxfId="51">
  <tableColumns count="3">
    <tableColumn id="1" xr3:uid="{00000000-0010-0000-0700-000001000000}" name="Year" dataDxfId="50">
      <calculatedColumnFormula>SUM(BF6+1)</calculatedColumnFormula>
    </tableColumn>
    <tableColumn id="2" xr3:uid="{00000000-0010-0000-0700-000002000000}" name="Price of natural gas (Mcf)" dataDxfId="49">
      <calculatedColumnFormula>IF(Introduction!$F$19="National Average",_xlfn.XLOOKUP($BF7,$R$7:$R$30,S$7:S$30,"",0),_xlfn.XLOOKUP($BF7,'Utility Cost'!$C$7:$C$30,'Utility Cost'!F$7:F$30,"",0))</calculatedColumnFormula>
    </tableColumn>
    <tableColumn id="3" xr3:uid="{00000000-0010-0000-0700-000003000000}" name="Price of electricity (kWh)" dataDxfId="48">
      <calculatedColumnFormula>IF(Introduction!$F$18="National Average",_xlfn.XLOOKUP($BF7,$R$7:$R$30,T$7:T$30,"",0),_xlfn.XLOOKUP($BF7,'Utility Cost'!$C$7:$C$30,'Utility Cost'!E$7:E$30,"",0))</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8000000}" name="Table4" displayName="Table4" ref="B6:E30" totalsRowShown="0" headerRowDxfId="47" dataDxfId="46">
  <autoFilter ref="B6:E30" xr:uid="{00000000-0009-0000-0100-000004000000}"/>
  <tableColumns count="4">
    <tableColumn id="1" xr3:uid="{00000000-0010-0000-0800-000001000000}" name="Year" dataDxfId="45"/>
    <tableColumn id="2" xr3:uid="{00000000-0010-0000-0800-000002000000}" name="Total Houses Using Electricity or Natural Gas" dataDxfId="44"/>
    <tableColumn id="3" xr3:uid="{00000000-0010-0000-0800-000003000000}" name="Number of houses using electricity" dataDxfId="43"/>
    <tableColumn id="4" xr3:uid="{00000000-0010-0000-0800-000004000000}" name="Number of houses using natural gas" dataDxfId="4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B000000}" name="Table1514" displayName="Table1514" ref="G6:H30" totalsRowShown="0" headerRowDxfId="41" dataDxfId="39" headerRowBorderDxfId="40" tableBorderDxfId="38">
  <autoFilter ref="G6:H30" xr:uid="{00000000-0009-0000-0100-00000D000000}"/>
  <tableColumns count="2">
    <tableColumn id="1" xr3:uid="{00000000-0010-0000-0B00-000001000000}" name="Year" dataDxfId="37"/>
    <tableColumn id="3" xr3:uid="{00000000-0010-0000-0B00-000003000000}" name="GDP Chained Price Index (FY2023)" dataDxfId="36" dataCellStyle="Normal 2"/>
  </tableColumns>
  <tableStyleInfo name="TableStyleLight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D77830A-2076-4BC1-96A3-45008F1D4D78}" name="Table17" displayName="Table17" ref="AN6:AP30" totalsRowShown="0" dataDxfId="34" headerRowBorderDxfId="35" tableBorderDxfId="33">
  <autoFilter ref="AN6:AP30" xr:uid="{CD77830A-2076-4BC1-96A3-45008F1D4D78}"/>
  <tableColumns count="3">
    <tableColumn id="1" xr3:uid="{EF21A71F-117B-448E-A6FF-C2066B7B8E18}" name="Year" dataDxfId="32"/>
    <tableColumn id="2" xr3:uid="{5836D501-3D63-4389-AB34-C05168B96B95}" name="Residential" dataDxfId="31" dataCellStyle="Currency">
      <calculatedColumnFormula>IF(Introduction!$F$17="National Average",_xlfn.XLOOKUP($AN7,$V$7:$V$30,W$7:W$30,"",0),_xlfn.XLOOKUP($AN7,'Utility Cost'!$C$7:$C$30,'Utility Cost'!D$7:D$30,"",0))</calculatedColumnFormula>
    </tableColumn>
    <tableColumn id="3" xr3:uid="{1AF3350F-6647-43F9-8AB8-816A6DB7CECB}" name="Commercial" dataDxfId="30" dataCellStyle="Currency">
      <calculatedColumnFormula>IF(Introduction!$F$20="National Average",_xlfn.XLOOKUP($AN7,$V$7:$V$30,X$7:X$30,"",0),_xlfn.XLOOKUP($AN7,'Utility Cost'!$C$7:$C$30,'Utility Cost'!H$7:H$30,"",0))</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5" dT="2022-08-12T12:04:05.01" personId="{68BCB49F-EC61-474C-85FB-A2BE71CBDD0B}" id="{94DFF18F-D620-473F-BFA5-A671316B8F73}">
    <text>Need to update table in summary workbook for this.</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5-09-26T04:57:27.46" personId="{950602E5-9EE2-4E87-BDF9-96B070704E21}" id="{306C5D96-9609-4225-A9E0-58A7215D9E71}">
    <text>Where is this data pulled from?</text>
  </threadedComment>
  <threadedComment ref="A1" dT="2025-09-26T17:24:41.17" personId="{950602E5-9EE2-4E87-BDF9-96B070704E21}" id="{8A946B78-ED31-4817-880C-BADFC4E64E5A}" parentId="{306C5D96-9609-4225-A9E0-58A7215D9E71}">
    <text>Pull from eGrid. Need to download for each year that’s available.</text>
  </threadedComment>
  <threadedComment ref="A1" dT="2025-09-30T22:02:00.35" personId="{3B872C6E-8948-404E-B468-4BA99E81C380}" id="{E033CD3D-DEDD-4D96-8024-0B490D3279FA}" parentId="{306C5D96-9609-4225-A9E0-58A7215D9E71}">
    <text xml:space="preserve">States are pasted incorrectly due to a difference in alphabetizing in eGRID data (state abbreviation) vs. workbook (state name). There are also inconsistencies in the years 2023-2025, 2014-2015, and 2007-2008, and all national averages, from the values I see from eGRID
</text>
  </threadedComment>
  <threadedComment ref="A4" dT="2025-11-20T15:00:49.85" personId="{3B872C6E-8948-404E-B468-4BA99E81C380}" id="{13D59412-CD6A-4444-9751-DB9D38A4D88A}">
    <text>No State level CO2e breakdown for 2008, 2007 used.</text>
  </threadedComment>
  <threadedComment ref="A7" dT="2025-06-26T15:30:41.78" personId="{68BCB49F-EC61-474C-85FB-A2BE71CBDD0B}" id="{23AF1706-BF85-4528-B8BF-E01CD023CD56}">
    <text>No egrid data for 2011, 2010 used.</text>
  </threadedComment>
  <threadedComment ref="A9" dT="2025-06-26T15:31:57.43" personId="{68BCB49F-EC61-474C-85FB-A2BE71CBDD0B}" id="{195B0022-A243-4321-901C-A219DB4FAEFE}">
    <text>No egrid data for 2013, 2012 used.</text>
  </threadedComment>
  <threadedComment ref="A11" dT="2025-06-26T15:32:33.98" personId="{68BCB49F-EC61-474C-85FB-A2BE71CBDD0B}" id="{9D4512B5-24E1-4E59-B6CA-EF0F829DFDC6}">
    <text>No egrid data for 2015, 2014 used.</text>
  </threadedComment>
  <threadedComment ref="A13" dT="2025-06-26T15:33:08.22" personId="{68BCB49F-EC61-474C-85FB-A2BE71CBDD0B}" id="{127953BB-9DB2-4D28-9581-3A8E1AD646DF}">
    <text>No egrid data for 2017, 2016 used.</text>
  </threadedComment>
  <threadedComment ref="A20" dT="2025-06-26T15:38:55.67" personId="{68BCB49F-EC61-474C-85FB-A2BE71CBDD0B}" id="{A996DA6A-59E5-4E7D-B530-1156F47FFA99}">
    <text>No 2024 or 2025 egrid data yet, 2023 used.</text>
  </threadedComment>
</ThreadedComments>
</file>

<file path=xl/threadedComments/threadedComment3.xml><?xml version="1.0" encoding="utf-8"?>
<ThreadedComments xmlns="http://schemas.microsoft.com/office/spreadsheetml/2018/threadedcomments" xmlns:x="http://schemas.openxmlformats.org/spreadsheetml/2006/main">
  <threadedComment ref="H7" dT="2022-08-10T12:28:33.81" personId="{68BCB49F-EC61-474C-85FB-A2BE71CBDD0B}" id="{1672A1F4-C620-44E4-812A-8CF590199BA4}">
    <text>need to expand GDP index to 2007</text>
  </threadedComment>
  <threadedComment ref="BG7" dT="2025-09-30T22:06:26.59" personId="{3B872C6E-8948-404E-B468-4BA99E81C380}" id="{108A28B4-8A5E-44E9-96BA-50F911BF9D9F}">
    <text xml:space="preserve">Consider extending 2nd XLOOKUP formula range through row 30 on Utility Cost page, so we don’t have to update the formula year to year. 
</text>
  </threadedComment>
  <threadedComment ref="BG7" dT="2025-10-01T03:17:44.58" personId="{950602E5-9EE2-4E87-BDF9-96B070704E21}" id="{372FF53A-A2AE-41D5-A3F0-BAEC0DE9A882}" parentId="{108A28B4-8A5E-44E9-96BA-50F911BF9D9F}">
    <text>Done</text>
  </threadedComment>
  <threadedComment ref="BH7" dT="2025-09-30T22:06:40.84" personId="{3B872C6E-8948-404E-B468-4BA99E81C380}" id="{37970B11-CBFE-4A0A-96FE-22C7D582581B}">
    <text xml:space="preserve">Consider extending 2nd XLOOKUP formula range through row 30 on Utility Cost page, so we don’t have to update the formula year to year. </text>
  </threadedComment>
  <threadedComment ref="BH7" dT="2025-10-01T03:17:40.30" personId="{950602E5-9EE2-4E87-BDF9-96B070704E21}" id="{4584600B-41C1-41F1-B32F-FF92E643C288}" parentId="{37970B11-CBFE-4A0A-96FE-22C7D582581B}">
    <text>Done</text>
  </threadedComment>
</ThreadedComments>
</file>

<file path=xl/threadedComments/threadedComment4.xml><?xml version="1.0" encoding="utf-8"?>
<ThreadedComments xmlns="http://schemas.microsoft.com/office/spreadsheetml/2018/threadedcomments" xmlns:x="http://schemas.openxmlformats.org/spreadsheetml/2006/main">
  <threadedComment ref="A5" dT="2025-09-30T22:02:33.11" personId="{3B872C6E-8948-404E-B468-4BA99E81C380}" id="{59AD64FD-CE65-445C-91CE-70B28DB59FF4}">
    <text>Where is this data from? Specifically 2007-2019?</text>
  </threadedComment>
  <threadedComment ref="AI5" dT="2025-09-30T22:03:05.09" personId="{3B872C6E-8948-404E-B468-4BA99E81C380}" id="{E1D35163-FE96-488D-BC2A-56957FFD3306}">
    <text>What are the units of “Loaded Water Heater” (used in this equation)?</text>
  </threadedComment>
  <threadedComment ref="AI5" dT="2025-10-01T02:33:15.14" personId="{950602E5-9EE2-4E87-BDF9-96B070704E21}" id="{A77DBFD8-F711-4914-A11C-EE649FFA0C2C}" parentId="{E1D35163-FE96-488D-BC2A-56957FFD3306}">
    <text>It’s Loaded Water Heater Efficiency (the full title was hidden), so it’s a percentage/unitless.</text>
  </threadedComment>
</ThreadedComments>
</file>

<file path=xl/threadedComments/threadedComment5.xml><?xml version="1.0" encoding="utf-8"?>
<ThreadedComments xmlns="http://schemas.microsoft.com/office/spreadsheetml/2018/threadedcomments" xmlns:x="http://schemas.openxmlformats.org/spreadsheetml/2006/main">
  <threadedComment ref="A1" dT="2025-06-26T15:57:12.14" personId="{68BCB49F-EC61-474C-85FB-A2BE71CBDD0B}" id="{4861EFF5-AB96-451D-BF57-E200C8D5194E}">
    <text>This page converts data on the lbs_mWh tab to tons/kWh. All raw data is entered on the previous sheet in lbs/mWh.</text>
  </threadedComment>
  <threadedComment ref="A4" dT="2025-11-20T15:00:16.42" personId="{3B872C6E-8948-404E-B468-4BA99E81C380}" id="{25FA5E6E-E9F4-4932-812B-48E96A1C7D49}">
    <text>No State level CO2e breakdown for 2008, 2007 used.</text>
  </threadedComment>
  <threadedComment ref="A7" dT="2025-06-26T15:30:41.78" personId="{68BCB49F-EC61-474C-85FB-A2BE71CBDD0B}" id="{496F4C37-4B56-4C03-848E-BB7A66C286B5}">
    <text>No egrid data for 2011, 2010 used.</text>
  </threadedComment>
  <threadedComment ref="A9" dT="2025-06-26T15:31:57.43" personId="{68BCB49F-EC61-474C-85FB-A2BE71CBDD0B}" id="{9D9F7289-D839-45FF-8243-FBBED8B70677}">
    <text>No egrid data for 2013, 2012 used.</text>
  </threadedComment>
  <threadedComment ref="A11" dT="2025-06-26T15:32:33.98" personId="{68BCB49F-EC61-474C-85FB-A2BE71CBDD0B}" id="{E301A009-5C63-4AA6-B235-F52C47DA2466}">
    <text>No egrid data for 2015, 2014 used.</text>
  </threadedComment>
  <threadedComment ref="A13" dT="2025-06-26T15:33:08.22" personId="{68BCB49F-EC61-474C-85FB-A2BE71CBDD0B}" id="{4D90F64B-EE45-481A-A635-EA6E8B66FAF2}">
    <text>No egrid data for 2017, 2016 used.</text>
  </threadedComment>
  <threadedComment ref="A20" dT="2025-06-26T15:38:55.67" personId="{68BCB49F-EC61-474C-85FB-A2BE71CBDD0B}" id="{92DFDD36-B594-43BA-B379-AF276425BB3D}">
    <text>No 2024 or 2025 egrid data yet, 2023 used.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vmlDrawing" Target="../drawings/vmlDrawing3.vml"/><Relationship Id="rId1" Type="http://schemas.openxmlformats.org/officeDocument/2006/relationships/printerSettings" Target="../printerSettings/printerSettings9.bin"/><Relationship Id="rId6" Type="http://schemas.openxmlformats.org/officeDocument/2006/relationships/table" Target="../tables/table9.xml"/><Relationship Id="rId5" Type="http://schemas.openxmlformats.org/officeDocument/2006/relationships/table" Target="../tables/table8.xml"/><Relationship Id="rId10" Type="http://schemas.microsoft.com/office/2017/10/relationships/threadedComment" Target="../threadedComments/threadedComment3.xml"/><Relationship Id="rId4" Type="http://schemas.openxmlformats.org/officeDocument/2006/relationships/table" Target="../tables/table7.xml"/><Relationship Id="rId9"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microsoft.com/office/2017/10/relationships/threadedComment" Target="../threadedComments/threadedComment5.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7.xml.rels><?xml version="1.0" encoding="UTF-8" standalone="yes"?>
<Relationships xmlns="http://schemas.openxmlformats.org/package/2006/relationships"><Relationship Id="rId8" Type="http://schemas.openxmlformats.org/officeDocument/2006/relationships/hyperlink" Target="https://www.epa.gov/energy/greenhouse-gases-equivalencies-calculator-calculations-and-references" TargetMode="External"/><Relationship Id="rId13" Type="http://schemas.openxmlformats.org/officeDocument/2006/relationships/table" Target="../tables/table14.xml"/><Relationship Id="rId3" Type="http://schemas.openxmlformats.org/officeDocument/2006/relationships/hyperlink" Target="http://www.onlineconversion.com/" TargetMode="External"/><Relationship Id="rId7" Type="http://schemas.openxmlformats.org/officeDocument/2006/relationships/hyperlink" Target="https://www.epa.gov/energy/greenhouse-gases-equivalencies-calculator-calculations-and-references" TargetMode="External"/><Relationship Id="rId12" Type="http://schemas.openxmlformats.org/officeDocument/2006/relationships/table" Target="../tables/table13.xml"/><Relationship Id="rId2" Type="http://schemas.openxmlformats.org/officeDocument/2006/relationships/hyperlink" Target="http://www.engineersedge.com/thermodynamics/heat.htm" TargetMode="External"/><Relationship Id="rId1" Type="http://schemas.openxmlformats.org/officeDocument/2006/relationships/hyperlink" Target="http://onlineconversion.com/energy.htm" TargetMode="External"/><Relationship Id="rId6" Type="http://schemas.openxmlformats.org/officeDocument/2006/relationships/hyperlink" Target="http://www.onlineconversion.com/energy.htm" TargetMode="External"/><Relationship Id="rId11" Type="http://schemas.openxmlformats.org/officeDocument/2006/relationships/table" Target="../tables/table12.xml"/><Relationship Id="rId5" Type="http://schemas.openxmlformats.org/officeDocument/2006/relationships/hyperlink" Target="http://www.onlineconversion.com/" TargetMode="External"/><Relationship Id="rId15" Type="http://schemas.openxmlformats.org/officeDocument/2006/relationships/comments" Target="../comments6.xml"/><Relationship Id="rId10" Type="http://schemas.openxmlformats.org/officeDocument/2006/relationships/vmlDrawing" Target="../drawings/vmlDrawing6.vml"/><Relationship Id="rId4" Type="http://schemas.openxmlformats.org/officeDocument/2006/relationships/hyperlink" Target="http://www.onlineconversion.com/energy.htm" TargetMode="External"/><Relationship Id="rId9" Type="http://schemas.openxmlformats.org/officeDocument/2006/relationships/printerSettings" Target="../printerSettings/printerSettings13.bin"/><Relationship Id="rId14" Type="http://schemas.openxmlformats.org/officeDocument/2006/relationships/table" Target="../tables/table1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http://www.epa.gov/watersense/data-and-information-used-watersense" TargetMode="External"/><Relationship Id="rId2" Type="http://schemas.openxmlformats.org/officeDocument/2006/relationships/hyperlink" Target="https://www.epa.gov/sites/production/files/2021-02/documents/watersense_final_homes_v2.0_supporting_statement.pdf" TargetMode="External"/><Relationship Id="rId1" Type="http://schemas.openxmlformats.org/officeDocument/2006/relationships/hyperlink" Target="https://eta.lbl.gov/publications/methodology-national-water-savings-0" TargetMode="External"/><Relationship Id="rId5" Type="http://schemas.openxmlformats.org/officeDocument/2006/relationships/printerSettings" Target="../printerSettings/printerSettings7.bin"/><Relationship Id="rId4" Type="http://schemas.openxmlformats.org/officeDocument/2006/relationships/hyperlink" Target="https://www.epa.gov/watersense/data-and-information-used-watersen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184B7-320B-4548-A0D0-22168009A1D3}">
  <sheetPr codeName="Sheet1">
    <tabColor rgb="FF00B050"/>
  </sheetPr>
  <dimension ref="A1:M24"/>
  <sheetViews>
    <sheetView tabSelected="1" zoomScaleNormal="100" workbookViewId="0">
      <selection activeCell="C9" sqref="C9"/>
    </sheetView>
  </sheetViews>
  <sheetFormatPr defaultRowHeight="12.75"/>
  <cols>
    <col min="1" max="1" width="6.42578125" customWidth="1"/>
    <col min="2" max="2" width="15.7109375" customWidth="1"/>
    <col min="3" max="3" width="21.7109375" bestFit="1" customWidth="1"/>
    <col min="4" max="4" width="15" customWidth="1"/>
    <col min="5" max="5" width="12.7109375" customWidth="1"/>
    <col min="6" max="6" width="16.7109375" bestFit="1" customWidth="1"/>
    <col min="7" max="8" width="9.140625" customWidth="1"/>
    <col min="10" max="10" width="6.28515625" customWidth="1"/>
    <col min="11" max="11" width="7.5703125" customWidth="1"/>
    <col min="12" max="12" width="9.140625" customWidth="1"/>
  </cols>
  <sheetData>
    <row r="1" spans="1:12" ht="21" customHeight="1">
      <c r="A1" s="245"/>
      <c r="B1" s="245"/>
      <c r="C1" s="374" t="s">
        <v>0</v>
      </c>
      <c r="D1" s="374"/>
      <c r="E1" s="374"/>
      <c r="F1" s="374"/>
      <c r="G1" s="374"/>
      <c r="H1" s="374"/>
      <c r="I1" s="247"/>
      <c r="J1" s="246"/>
      <c r="K1" s="245"/>
      <c r="L1" s="245"/>
    </row>
    <row r="2" spans="1:12" ht="21" customHeight="1">
      <c r="A2" s="245"/>
      <c r="B2" s="245"/>
      <c r="C2" s="374"/>
      <c r="D2" s="374"/>
      <c r="E2" s="374"/>
      <c r="F2" s="374"/>
      <c r="G2" s="374"/>
      <c r="H2" s="374"/>
      <c r="I2" s="247"/>
      <c r="J2" s="245"/>
      <c r="K2" s="245"/>
      <c r="L2" s="245"/>
    </row>
    <row r="3" spans="1:12" ht="31.5" customHeight="1">
      <c r="A3" s="245"/>
      <c r="B3" s="376" t="s">
        <v>1</v>
      </c>
      <c r="C3" s="376"/>
      <c r="D3" s="376"/>
      <c r="E3" s="376"/>
      <c r="F3" s="376"/>
      <c r="G3" s="376"/>
      <c r="H3" s="376"/>
      <c r="I3" s="376"/>
      <c r="J3" s="376"/>
      <c r="K3" s="376"/>
      <c r="L3" s="245"/>
    </row>
    <row r="4" spans="1:12" ht="30" customHeight="1">
      <c r="A4" s="245"/>
      <c r="B4" s="377" t="str">
        <f>"It provides estimates for gallons of water saved, energy saved (in kilowatt-hour equivalency), metric tons of greenhouse gas reduced (in carbon dioxide equivalents), and U.S. dollars saved for calendar year "&amp;current_year&amp;"."</f>
        <v>It provides estimates for gallons of water saved, energy saved (in kilowatt-hour equivalency), metric tons of greenhouse gas reduced (in carbon dioxide equivalents), and U.S. dollars saved for calendar year 2024.</v>
      </c>
      <c r="C4" s="377"/>
      <c r="D4" s="377"/>
      <c r="E4" s="377"/>
      <c r="F4" s="377"/>
      <c r="G4" s="377"/>
      <c r="H4" s="377"/>
      <c r="I4" s="377"/>
      <c r="J4" s="377"/>
      <c r="K4" s="377"/>
      <c r="L4" s="245"/>
    </row>
    <row r="5" spans="1:12" ht="14.25">
      <c r="A5" s="245"/>
      <c r="B5" s="253"/>
      <c r="C5" s="253"/>
      <c r="D5" s="253"/>
      <c r="E5" s="253"/>
      <c r="F5" s="253"/>
      <c r="G5" s="253"/>
      <c r="H5" s="253"/>
      <c r="I5" s="253"/>
      <c r="J5" s="253"/>
      <c r="K5" s="253"/>
      <c r="L5" s="245"/>
    </row>
    <row r="6" spans="1:12" ht="15.75" customHeight="1">
      <c r="A6" s="245"/>
      <c r="B6" s="375" t="s">
        <v>414</v>
      </c>
      <c r="C6" s="375"/>
      <c r="D6" s="375"/>
      <c r="E6" s="375"/>
      <c r="F6" s="375"/>
      <c r="G6" s="375"/>
      <c r="H6" s="375"/>
      <c r="I6" s="375"/>
      <c r="J6" s="375"/>
      <c r="K6" s="375"/>
      <c r="L6" s="245"/>
    </row>
    <row r="7" spans="1:12" ht="15.95" customHeight="1">
      <c r="A7" s="245"/>
      <c r="B7" s="375" t="s">
        <v>2</v>
      </c>
      <c r="C7" s="375"/>
      <c r="D7" s="375"/>
      <c r="E7" s="375"/>
      <c r="F7" s="375"/>
      <c r="G7" s="375"/>
      <c r="H7" s="375"/>
      <c r="I7" s="375"/>
      <c r="J7" s="375"/>
      <c r="K7" s="375"/>
      <c r="L7" s="245"/>
    </row>
    <row r="8" spans="1:12" ht="14.25">
      <c r="A8" s="245"/>
      <c r="B8" s="253"/>
      <c r="C8" s="253"/>
      <c r="D8" s="253"/>
      <c r="E8" s="253"/>
      <c r="F8" s="253"/>
      <c r="G8" s="253"/>
      <c r="H8" s="253"/>
      <c r="I8" s="253"/>
      <c r="J8" s="253"/>
      <c r="K8" s="253"/>
      <c r="L8" s="245"/>
    </row>
    <row r="9" spans="1:12" ht="14.25" customHeight="1">
      <c r="A9" s="245"/>
      <c r="B9" s="255" t="s">
        <v>3</v>
      </c>
      <c r="C9" s="254"/>
      <c r="D9" s="253"/>
      <c r="E9" s="253"/>
      <c r="F9" s="253"/>
      <c r="G9" s="253"/>
      <c r="H9" s="253"/>
      <c r="I9" s="253"/>
      <c r="J9" s="253"/>
      <c r="K9" s="253"/>
      <c r="L9" s="245"/>
    </row>
    <row r="10" spans="1:12" ht="14.25">
      <c r="A10" s="245"/>
      <c r="B10" s="255" t="s">
        <v>4</v>
      </c>
      <c r="C10" s="254"/>
      <c r="D10" s="253"/>
      <c r="E10" s="253"/>
      <c r="F10" s="253"/>
      <c r="G10" s="253"/>
      <c r="H10" s="253"/>
      <c r="I10" s="253"/>
      <c r="J10" s="253"/>
      <c r="K10" s="253"/>
      <c r="L10" s="245"/>
    </row>
    <row r="11" spans="1:12" ht="14.25">
      <c r="A11" s="245"/>
      <c r="B11" s="255" t="s">
        <v>5</v>
      </c>
      <c r="C11" s="363">
        <v>2024</v>
      </c>
      <c r="D11" s="253"/>
      <c r="E11" s="253"/>
      <c r="F11" s="253"/>
      <c r="G11" s="253"/>
      <c r="H11" s="253"/>
      <c r="I11" s="253"/>
      <c r="J11" s="253"/>
      <c r="K11" s="253"/>
      <c r="L11" s="245"/>
    </row>
    <row r="12" spans="1:12" ht="14.25">
      <c r="A12" s="245"/>
      <c r="B12" s="255"/>
      <c r="C12" s="363"/>
      <c r="D12" s="253"/>
      <c r="E12" s="253"/>
      <c r="F12" s="253"/>
      <c r="G12" s="253"/>
      <c r="H12" s="253"/>
      <c r="I12" s="253"/>
      <c r="J12" s="253"/>
      <c r="K12" s="253"/>
      <c r="L12" s="245"/>
    </row>
    <row r="13" spans="1:12" ht="14.25">
      <c r="A13" s="245"/>
      <c r="B13" s="375" t="s">
        <v>416</v>
      </c>
      <c r="C13" s="375"/>
      <c r="D13" s="375"/>
      <c r="E13" s="375"/>
      <c r="F13" s="375"/>
      <c r="G13" s="375"/>
      <c r="H13" s="375"/>
      <c r="I13" s="375"/>
      <c r="J13" s="375"/>
      <c r="K13" s="375"/>
      <c r="L13" s="245"/>
    </row>
    <row r="14" spans="1:12" ht="14.25">
      <c r="A14" s="245"/>
      <c r="B14" s="363" t="s">
        <v>6</v>
      </c>
      <c r="C14" s="363"/>
      <c r="D14" s="363"/>
      <c r="E14" s="363"/>
      <c r="F14" s="363"/>
      <c r="G14" s="363"/>
      <c r="H14" s="363"/>
      <c r="I14" s="363"/>
      <c r="J14" s="363"/>
      <c r="K14" s="363"/>
      <c r="L14" s="245"/>
    </row>
    <row r="15" spans="1:12" ht="14.25">
      <c r="A15" s="245"/>
      <c r="B15" s="375" t="s">
        <v>413</v>
      </c>
      <c r="C15" s="375"/>
      <c r="D15" s="375"/>
      <c r="E15" s="375"/>
      <c r="F15" s="375"/>
      <c r="G15" s="375"/>
      <c r="H15" s="375"/>
      <c r="I15" s="375"/>
      <c r="J15" s="375"/>
      <c r="K15" s="375"/>
      <c r="L15" s="245"/>
    </row>
    <row r="16" spans="1:12" ht="14.25">
      <c r="A16" s="245"/>
      <c r="B16" s="363"/>
      <c r="C16" s="363"/>
      <c r="D16" s="363"/>
      <c r="E16" s="363"/>
      <c r="F16" s="363"/>
      <c r="G16" s="363"/>
      <c r="H16" s="363"/>
      <c r="I16" s="363"/>
      <c r="J16" s="363"/>
      <c r="K16" s="363"/>
      <c r="L16" s="245"/>
    </row>
    <row r="17" spans="1:13" ht="14.25">
      <c r="A17" s="245"/>
      <c r="B17" s="255" t="s">
        <v>7</v>
      </c>
      <c r="C17" s="324"/>
      <c r="D17" s="253"/>
      <c r="E17" s="255" t="s">
        <v>403</v>
      </c>
      <c r="F17" s="324"/>
      <c r="G17" s="253"/>
      <c r="H17" s="253"/>
      <c r="I17" s="253"/>
      <c r="J17" s="253"/>
      <c r="K17" s="253"/>
      <c r="L17" s="245"/>
    </row>
    <row r="18" spans="1:13" ht="14.25">
      <c r="A18" s="245"/>
      <c r="B18" s="255"/>
      <c r="C18" s="253"/>
      <c r="D18" s="253"/>
      <c r="E18" s="255" t="s">
        <v>8</v>
      </c>
      <c r="F18" s="324"/>
      <c r="G18" s="253"/>
      <c r="H18" s="253"/>
      <c r="I18" s="253"/>
      <c r="J18" s="253"/>
      <c r="K18" s="253"/>
      <c r="L18" s="245"/>
    </row>
    <row r="19" spans="1:13" ht="14.25">
      <c r="A19" s="245"/>
      <c r="B19" s="255"/>
      <c r="C19" s="253"/>
      <c r="D19" s="253"/>
      <c r="E19" s="255" t="s">
        <v>9</v>
      </c>
      <c r="F19" s="324"/>
      <c r="G19" s="253"/>
      <c r="H19" s="253"/>
      <c r="I19" s="253"/>
      <c r="J19" s="253"/>
      <c r="K19" s="253"/>
      <c r="L19" s="245"/>
    </row>
    <row r="20" spans="1:13" ht="14.25">
      <c r="A20" s="245"/>
      <c r="B20" s="255"/>
      <c r="C20" s="253"/>
      <c r="D20" s="253"/>
      <c r="E20" s="255" t="s">
        <v>404</v>
      </c>
      <c r="F20" s="324"/>
      <c r="G20" s="253"/>
      <c r="H20" s="253"/>
      <c r="I20" s="253"/>
      <c r="J20" s="253"/>
      <c r="K20" s="253"/>
      <c r="L20" s="245"/>
    </row>
    <row r="21" spans="1:13" ht="14.25">
      <c r="A21" s="245"/>
      <c r="B21" s="373" t="str">
        <f>IF(AND(F17="National Average",F18="National Average",F19="National Average",F20="National Average"),"","Please enter your custom utility costs in the 'Utility Cost' worksheet")</f>
        <v>Please enter your custom utility costs in the 'Utility Cost' worksheet</v>
      </c>
      <c r="C21" s="373"/>
      <c r="D21" s="373"/>
      <c r="E21" s="373"/>
      <c r="F21" s="373"/>
      <c r="G21" s="373"/>
      <c r="H21" s="373"/>
      <c r="I21" s="373"/>
      <c r="J21" s="373"/>
      <c r="K21" s="373"/>
      <c r="L21" s="245"/>
    </row>
    <row r="22" spans="1:13" ht="14.25">
      <c r="A22" s="245"/>
      <c r="B22" s="373" t="str">
        <f>IF(AND(C10="Utility/District",C17="National Average"),"Utilities or districts must select a specific state in Cell C17 to receive savings estimates for homes.","")</f>
        <v/>
      </c>
      <c r="C22" s="373"/>
      <c r="D22" s="373"/>
      <c r="E22" s="373"/>
      <c r="F22" s="373"/>
      <c r="G22" s="373"/>
      <c r="H22" s="373"/>
      <c r="I22" s="373"/>
      <c r="J22" s="373"/>
      <c r="K22" s="373"/>
      <c r="L22" s="245"/>
      <c r="M22" s="368"/>
    </row>
    <row r="23" spans="1:13">
      <c r="A23" s="245"/>
      <c r="B23" s="247" t="s">
        <v>418</v>
      </c>
      <c r="C23" s="245"/>
      <c r="D23" s="245"/>
      <c r="E23" s="245"/>
      <c r="F23" s="245"/>
      <c r="G23" s="245"/>
      <c r="H23" s="245"/>
      <c r="I23" s="245"/>
      <c r="J23" s="245"/>
      <c r="K23" s="245"/>
      <c r="L23" s="245"/>
    </row>
    <row r="24" spans="1:13">
      <c r="A24" s="245"/>
      <c r="B24" s="247" t="s">
        <v>419</v>
      </c>
      <c r="C24" s="245"/>
      <c r="D24" s="245"/>
      <c r="E24" s="245"/>
      <c r="F24" s="245"/>
      <c r="G24" s="245"/>
      <c r="H24" s="245"/>
      <c r="I24" s="245"/>
      <c r="J24" s="245"/>
      <c r="K24" s="245"/>
      <c r="L24" s="245"/>
    </row>
  </sheetData>
  <sheetProtection algorithmName="SHA-512" hashValue="oaqqCbJjoG34D7TBWR23BpFCvNHLXCmjShf5MeAO8tg++eL3JHRadZzw1DAHkmOQxCRbUZ1Qz9lOXKqs/RNcqA==" saltValue="05rl5ZeckMiP1CQG7Hp21A==" spinCount="100000" sheet="1" selectLockedCells="1"/>
  <mergeCells count="9">
    <mergeCell ref="B22:K22"/>
    <mergeCell ref="C1:H2"/>
    <mergeCell ref="B13:K13"/>
    <mergeCell ref="B15:K15"/>
    <mergeCell ref="B3:K3"/>
    <mergeCell ref="B21:K21"/>
    <mergeCell ref="B4:K4"/>
    <mergeCell ref="B6:K6"/>
    <mergeCell ref="B7:K7"/>
  </mergeCells>
  <dataValidations count="2">
    <dataValidation type="list" allowBlank="1" showInputMessage="1" showErrorMessage="1" sqref="C10" xr:uid="{F7EB04D1-C326-463E-AD66-B399FFC46FDB}">
      <formula1>"Manufacturer, Retailer/Distributor, Builder, Utility/District"</formula1>
    </dataValidation>
    <dataValidation type="list" allowBlank="1" showInputMessage="1" showErrorMessage="1" sqref="F17:F20" xr:uid="{62B592F8-ECD4-4E13-BDB9-CDF7B93E029F}">
      <formula1>"National Average, Custom Value"</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CB46F4D-B2EC-4649-97A8-F40694512A5C}">
          <x14:formula1>
            <xm:f>lbs_mWh!$B$2:$BA$2</xm:f>
          </x14:formula1>
          <xm:sqref>C17</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988FD-7ADF-4EDF-861E-0E50BFB11D47}">
  <sheetPr codeName="Sheet17">
    <tabColor rgb="FFFFFF00"/>
  </sheetPr>
  <dimension ref="A1:BE55"/>
  <sheetViews>
    <sheetView workbookViewId="0">
      <selection activeCell="B39" sqref="B39"/>
    </sheetView>
  </sheetViews>
  <sheetFormatPr defaultColWidth="8.7109375" defaultRowHeight="12.75"/>
  <cols>
    <col min="2" max="2" width="20" bestFit="1" customWidth="1"/>
    <col min="3" max="3" width="15.85546875" bestFit="1" customWidth="1"/>
    <col min="4" max="4" width="16.5703125" customWidth="1"/>
    <col min="5" max="5" width="18.42578125" bestFit="1" customWidth="1"/>
    <col min="6" max="7" width="16.42578125" bestFit="1" customWidth="1"/>
    <col min="8" max="9" width="16.42578125" customWidth="1"/>
    <col min="10" max="10" width="14.85546875" bestFit="1" customWidth="1"/>
    <col min="11" max="11" width="17.42578125" bestFit="1" customWidth="1"/>
    <col min="12" max="12" width="19.28515625" customWidth="1"/>
    <col min="13" max="13" width="10.85546875" customWidth="1"/>
    <col min="14" max="14" width="9.140625" bestFit="1" customWidth="1"/>
    <col min="15" max="16" width="15" bestFit="1" customWidth="1"/>
    <col min="17" max="17" width="15.5703125" customWidth="1"/>
    <col min="18" max="18" width="15" bestFit="1" customWidth="1"/>
    <col min="19" max="19" width="13.5703125" customWidth="1"/>
    <col min="20" max="20" width="11.28515625" bestFit="1" customWidth="1"/>
    <col min="21" max="21" width="11.140625" bestFit="1" customWidth="1"/>
    <col min="22" max="22" width="11.140625" customWidth="1"/>
    <col min="23" max="23" width="12.7109375" bestFit="1" customWidth="1"/>
    <col min="24" max="24" width="9.140625" bestFit="1" customWidth="1"/>
    <col min="25" max="25" width="9.85546875" customWidth="1"/>
    <col min="26" max="26" width="9.85546875" bestFit="1" customWidth="1"/>
    <col min="27" max="27" width="11.140625" bestFit="1" customWidth="1"/>
    <col min="28" max="28" width="15.5703125" customWidth="1"/>
    <col min="29" max="29" width="13.5703125" customWidth="1"/>
    <col min="30" max="30" width="10.85546875" customWidth="1"/>
    <col min="34" max="35" width="10.140625" customWidth="1"/>
    <col min="37" max="37" width="9.85546875" customWidth="1"/>
    <col min="38" max="38" width="20.28515625" bestFit="1" customWidth="1"/>
    <col min="39" max="39" width="15" bestFit="1" customWidth="1"/>
    <col min="40" max="40" width="15.5703125" customWidth="1"/>
    <col min="41" max="41" width="13.5703125" customWidth="1"/>
    <col min="42" max="42" width="10.85546875" customWidth="1"/>
    <col min="43" max="44" width="10.140625" bestFit="1" customWidth="1"/>
    <col min="45" max="45" width="10.140625" customWidth="1"/>
    <col min="46" max="46" width="11.140625" bestFit="1" customWidth="1"/>
    <col min="51" max="51" width="12.85546875" customWidth="1"/>
    <col min="52" max="52" width="12" customWidth="1"/>
  </cols>
  <sheetData>
    <row r="1" spans="1:57" ht="0.95" customHeight="1"/>
    <row r="2" spans="1:57" ht="0.95" customHeight="1"/>
    <row r="3" spans="1:57" ht="0.75" customHeight="1">
      <c r="N3" s="407"/>
      <c r="O3" s="407"/>
      <c r="P3" s="407"/>
      <c r="Q3" s="407"/>
      <c r="S3" s="407"/>
      <c r="T3" s="407"/>
      <c r="U3" s="407"/>
      <c r="V3" s="407"/>
      <c r="W3" s="407"/>
      <c r="AV3" s="22"/>
      <c r="AW3" s="411" t="s">
        <v>75</v>
      </c>
      <c r="AX3" s="411"/>
      <c r="AY3" s="411"/>
      <c r="AZ3" s="411"/>
      <c r="BA3" s="411"/>
      <c r="BB3" s="411"/>
      <c r="BC3" s="411"/>
      <c r="BD3" s="411"/>
      <c r="BE3" s="411"/>
    </row>
    <row r="4" spans="1:57" ht="0.75" customHeight="1">
      <c r="N4" s="367"/>
      <c r="O4" s="367"/>
      <c r="P4" s="367"/>
      <c r="Q4" s="367"/>
      <c r="S4" s="367"/>
      <c r="T4" s="367"/>
      <c r="U4" s="367"/>
      <c r="V4" s="367"/>
      <c r="W4" s="367"/>
      <c r="AV4" s="200"/>
      <c r="AW4" s="285"/>
      <c r="AX4" s="285"/>
      <c r="AY4" s="285"/>
      <c r="AZ4" s="285"/>
      <c r="BA4" s="285"/>
      <c r="BB4" s="285"/>
      <c r="BC4" s="285"/>
      <c r="BD4" s="286"/>
      <c r="BE4" s="286"/>
    </row>
    <row r="5" spans="1:57">
      <c r="A5" s="406" t="s">
        <v>76</v>
      </c>
      <c r="B5" s="406"/>
      <c r="C5" s="406"/>
      <c r="D5" s="406"/>
      <c r="E5" s="406"/>
      <c r="F5" s="406"/>
      <c r="G5" s="406"/>
      <c r="H5" s="406"/>
      <c r="I5" s="406"/>
      <c r="J5" s="406"/>
      <c r="K5" s="406"/>
      <c r="L5" s="406"/>
      <c r="M5" s="166"/>
      <c r="N5" s="408" t="s">
        <v>77</v>
      </c>
      <c r="O5" s="409"/>
      <c r="P5" s="409"/>
      <c r="Q5" s="409"/>
      <c r="R5" s="409"/>
      <c r="S5" s="409"/>
      <c r="T5" s="409"/>
      <c r="U5" s="409"/>
      <c r="V5" s="409"/>
      <c r="W5" s="410"/>
      <c r="Y5" s="412" t="s">
        <v>78</v>
      </c>
      <c r="Z5" s="413"/>
      <c r="AA5" s="413"/>
      <c r="AB5" s="413"/>
      <c r="AC5" s="413"/>
      <c r="AD5" s="413"/>
      <c r="AE5" s="413"/>
      <c r="AF5" s="413"/>
      <c r="AG5" s="413"/>
      <c r="AH5" s="413"/>
      <c r="AI5" s="413"/>
      <c r="AK5" s="406" t="s">
        <v>79</v>
      </c>
      <c r="AL5" s="406"/>
      <c r="AM5" s="406"/>
      <c r="AN5" s="406"/>
      <c r="AO5" s="406"/>
      <c r="AP5" s="406"/>
      <c r="AQ5" s="406"/>
      <c r="AR5" s="406"/>
      <c r="AS5" s="406"/>
      <c r="AT5" s="406"/>
      <c r="AV5" s="204" t="s">
        <v>11</v>
      </c>
      <c r="AW5" s="205" t="s">
        <v>80</v>
      </c>
      <c r="AX5" s="205" t="s">
        <v>81</v>
      </c>
      <c r="AY5" s="205" t="s">
        <v>82</v>
      </c>
      <c r="AZ5" s="205" t="s">
        <v>83</v>
      </c>
      <c r="BA5" s="205" t="s">
        <v>84</v>
      </c>
      <c r="BB5" s="205" t="s">
        <v>85</v>
      </c>
      <c r="BC5" s="196" t="s">
        <v>86</v>
      </c>
      <c r="BD5" s="313" t="s">
        <v>87</v>
      </c>
      <c r="BE5" s="197" t="s">
        <v>88</v>
      </c>
    </row>
    <row r="6" spans="1:57">
      <c r="A6" s="181" t="s">
        <v>11</v>
      </c>
      <c r="B6" s="182" t="s">
        <v>89</v>
      </c>
      <c r="C6" s="182" t="s">
        <v>90</v>
      </c>
      <c r="D6" s="182" t="s">
        <v>91</v>
      </c>
      <c r="E6" s="182" t="s">
        <v>15</v>
      </c>
      <c r="F6" s="182" t="s">
        <v>92</v>
      </c>
      <c r="G6" s="182" t="s">
        <v>93</v>
      </c>
      <c r="H6" s="182" t="s">
        <v>86</v>
      </c>
      <c r="I6" s="182" t="s">
        <v>87</v>
      </c>
      <c r="J6" s="182" t="s">
        <v>88</v>
      </c>
      <c r="K6" s="182" t="s">
        <v>94</v>
      </c>
      <c r="L6" s="183" t="s">
        <v>95</v>
      </c>
      <c r="M6" s="167"/>
      <c r="N6" s="292" t="s">
        <v>11</v>
      </c>
      <c r="O6" s="293" t="s">
        <v>89</v>
      </c>
      <c r="P6" s="194" t="s">
        <v>90</v>
      </c>
      <c r="Q6" s="195" t="s">
        <v>91</v>
      </c>
      <c r="R6" s="195" t="s">
        <v>15</v>
      </c>
      <c r="S6" s="195" t="s">
        <v>92</v>
      </c>
      <c r="T6" s="195" t="s">
        <v>93</v>
      </c>
      <c r="U6" s="196" t="s">
        <v>86</v>
      </c>
      <c r="V6" s="313" t="s">
        <v>87</v>
      </c>
      <c r="W6" s="197" t="s">
        <v>88</v>
      </c>
      <c r="Y6" s="291" t="s">
        <v>11</v>
      </c>
      <c r="Z6" s="193" t="s">
        <v>89</v>
      </c>
      <c r="AA6" s="194" t="s">
        <v>90</v>
      </c>
      <c r="AB6" s="195" t="s">
        <v>91</v>
      </c>
      <c r="AC6" s="195" t="s">
        <v>15</v>
      </c>
      <c r="AD6" s="195" t="s">
        <v>92</v>
      </c>
      <c r="AE6" s="195" t="s">
        <v>93</v>
      </c>
      <c r="AF6" s="196" t="s">
        <v>86</v>
      </c>
      <c r="AG6" s="313" t="s">
        <v>87</v>
      </c>
      <c r="AH6" s="197" t="s">
        <v>88</v>
      </c>
      <c r="AI6" s="252" t="s">
        <v>96</v>
      </c>
      <c r="AK6" s="200" t="s">
        <v>97</v>
      </c>
      <c r="AL6" s="193" t="s">
        <v>89</v>
      </c>
      <c r="AM6" s="194" t="s">
        <v>90</v>
      </c>
      <c r="AN6" s="195" t="s">
        <v>91</v>
      </c>
      <c r="AO6" s="195" t="s">
        <v>15</v>
      </c>
      <c r="AP6" s="195" t="s">
        <v>92</v>
      </c>
      <c r="AQ6" s="195" t="s">
        <v>93</v>
      </c>
      <c r="AR6" s="196" t="s">
        <v>86</v>
      </c>
      <c r="AS6" s="313" t="s">
        <v>87</v>
      </c>
      <c r="AT6" s="197" t="s">
        <v>88</v>
      </c>
      <c r="AV6" s="198">
        <v>50</v>
      </c>
      <c r="AW6" s="173">
        <v>0</v>
      </c>
      <c r="AX6" s="173">
        <v>0</v>
      </c>
      <c r="AY6" s="173">
        <v>0</v>
      </c>
      <c r="AZ6" s="173">
        <v>0</v>
      </c>
      <c r="BA6" s="173">
        <v>0</v>
      </c>
      <c r="BB6" s="173">
        <v>0</v>
      </c>
      <c r="BC6" s="173">
        <v>0</v>
      </c>
      <c r="BD6" s="202">
        <v>0</v>
      </c>
      <c r="BE6" s="202">
        <v>0</v>
      </c>
    </row>
    <row r="7" spans="1:57">
      <c r="A7" s="179">
        <v>2007</v>
      </c>
      <c r="B7" s="172">
        <f t="shared" ref="B7:B22" si="0">AL7*O7</f>
        <v>0</v>
      </c>
      <c r="C7" s="172"/>
      <c r="D7" s="172"/>
      <c r="E7" s="172"/>
      <c r="F7" s="172"/>
      <c r="G7" s="172"/>
      <c r="H7" s="172"/>
      <c r="I7" s="172"/>
      <c r="J7" s="172"/>
      <c r="K7" s="172">
        <f>SUM(B7:J7)</f>
        <v>0</v>
      </c>
      <c r="L7" s="180">
        <f>SUM(K$7:K7)</f>
        <v>0</v>
      </c>
      <c r="N7" s="187">
        <v>2007</v>
      </c>
      <c r="O7" s="171">
        <v>1442.5306813182908</v>
      </c>
      <c r="P7" s="171"/>
      <c r="Q7" s="171"/>
      <c r="R7" s="171"/>
      <c r="S7" s="170"/>
      <c r="T7" s="170"/>
      <c r="U7" s="170"/>
      <c r="V7" s="188"/>
      <c r="W7" s="188"/>
      <c r="Y7" s="199">
        <v>2007</v>
      </c>
      <c r="Z7" s="169">
        <f>IF(partner_type="Manufacturer",Manufacturer!C7,IF(partner_type="Retailer/Distributor",'Retailer or Distributor'!C7,IF(partner_type="Utility/District",'Utility or District'!C7,Homes_calc!I7)))</f>
        <v>0</v>
      </c>
      <c r="AA7" s="169">
        <f>IF(partner_type="Manufacturer",Manufacturer!D7,IF(partner_type="Retailer/Distributor",'Retailer or Distributor'!D7,IF(partner_type="Utility/District",'Utility or District'!D7,Homes_calc!J7)))</f>
        <v>0</v>
      </c>
      <c r="AB7" s="169">
        <f>IF(partner_type="Manufacturer",Manufacturer!E7,IF(partner_type="Retailer/Distributor",'Retailer or Distributor'!E7,IF(partner_type="Utility/District",'Utility or District'!E7,Homes_calc!K7)))</f>
        <v>0</v>
      </c>
      <c r="AC7" s="169">
        <f>IF(partner_type="Manufacturer",Manufacturer!F7,IF(partner_type="Retailer/Distributor",'Retailer or Distributor'!F7,IF(partner_type="Utility/District",'Utility or District'!F7,Homes_calc!L7)))</f>
        <v>0</v>
      </c>
      <c r="AD7" s="169">
        <f>IF(partner_type="Manufacturer",Manufacturer!G7,IF(partner_type="Retailer/Distributor",'Retailer or Distributor'!G7,IF(partner_type="Utility/District",'Utility or District'!G7,Homes_calc!M7)))</f>
        <v>0</v>
      </c>
      <c r="AE7" s="169">
        <f>IF(partner_type="Manufacturer",Manufacturer!H7,IF(partner_type="Retailer/Distributor",'Retailer or Distributor'!H7,IF(partner_type="Utility/District",'Utility or District'!H7,Homes_calc!N7)))</f>
        <v>0</v>
      </c>
      <c r="AF7" s="169">
        <f>IF(partner_type="Manufacturer",Manufacturer!I7,IF(partner_type="Retailer/Distributor",'Retailer or Distributor'!I7,IF(partner_type="Utility/District",'Utility or District'!I7,Homes_calc!O7)))</f>
        <v>0</v>
      </c>
      <c r="AG7" s="169">
        <f>IF(partner_type="Manufacturer",Manufacturer!J7,IF(partner_type="Retailer/Distributor",'Retailer or Distributor'!J7,IF(partner_type="Utility/District",'Utility or District'!J7,Homes_calc!P7)))</f>
        <v>0</v>
      </c>
      <c r="AH7" s="169">
        <f>IF(partner_type="Manufacturer",Manufacturer!K7,IF(partner_type="Retailer/Distributor",'Retailer or Distributor'!K7,IF(partner_type="Utility/District",'Utility or District'!K7,Homes_calc!Q7)))</f>
        <v>0</v>
      </c>
      <c r="AI7" s="250">
        <f>SUM(ship[[#This Row],[Toilets]:[SSBs]])</f>
        <v>0</v>
      </c>
      <c r="AK7" s="187">
        <v>2007</v>
      </c>
      <c r="AL7" s="172">
        <f>IF($AK7&gt;current_year,"",SUMPRODUCT(Z$7:Z7,INDEX(retfunct[],50-(0),COUNT($AV6:AW6)):INDEX(retfunct[],50-($AK8-$AK$8),COUNT($AV6:AW6))))</f>
        <v>0</v>
      </c>
      <c r="AM7" s="172">
        <f>IF($AK7&gt;current_year,"",SUMPRODUCT(AA$7:AA7,INDEX(retfunct[],50-(0),COUNT($AV6:AX6)):INDEX(retfunct[],50-($AK8-$AK$8),COUNT($AV6:AX6))))</f>
        <v>0</v>
      </c>
      <c r="AN7" s="172">
        <f>IF($AK7&gt;current_year,"",SUMPRODUCT(AB$7:AB7,INDEX(retfunct[],50-(0),COUNT($AV6:AY6)):INDEX(retfunct[],50-($AK8-$AK$8),COUNT($AV6:AY6))))</f>
        <v>0</v>
      </c>
      <c r="AO7" s="172">
        <f>IF($AK7&gt;current_year,"",SUMPRODUCT(AC$7:AC7,INDEX(retfunct[],50-(0),COUNT($AV6:AZ6)):INDEX(retfunct[],50-($AK8-$AK$8),COUNT($AV6:AZ6))))</f>
        <v>0</v>
      </c>
      <c r="AP7" s="172">
        <f>IF($AK7&gt;current_year,"",SUMPRODUCT(AD$7:AD7,INDEX(retfunct[],50-(0),COUNT($AV6:BA6)):INDEX(retfunct[],50-($AK8-$AK$8),COUNT($AV6:BA6))))</f>
        <v>0</v>
      </c>
      <c r="AQ7" s="172">
        <f>IF($AK7&gt;current_year,"",SUMPRODUCT(AE$7:AE7,INDEX(retfunct[],50-(0),COUNT($AV6:BB6)):INDEX(retfunct[],50-($AK8-$AK$8),COUNT($AV6:BB6))))</f>
        <v>0</v>
      </c>
      <c r="AR7" s="172">
        <f>IF($AK7&gt;current_year,"",SUMPRODUCT(AF$7:AF7,INDEX(retfunct[],50-(0),COUNT($AV6:BC6)):INDEX(retfunct[],50-($AK8-$AK$8),COUNT($AV6:BC6))))</f>
        <v>0</v>
      </c>
      <c r="AS7" s="172">
        <f>IF($AK7&gt;current_year,"",SUMPRODUCT(AG$7:AG7,INDEX(retfunct[],50-(0),COUNT($AV6:BD6)):INDEX(retfunct[],50-($AK8-$AK$8),COUNT($AV6:BD6))))</f>
        <v>0</v>
      </c>
      <c r="AT7" s="172">
        <f>IF($AK7&gt;current_year,"",SUMPRODUCT(AH$7:AH7,INDEX(retfunct[],50-(0),COUNT($AV6:BE6)):INDEX(retfunct[],50-($AK8-$AK$8),COUNT($AV6:BE6))))</f>
        <v>0</v>
      </c>
      <c r="AV7" s="198">
        <v>49</v>
      </c>
      <c r="AW7" s="173">
        <v>0</v>
      </c>
      <c r="AX7" s="173">
        <v>0</v>
      </c>
      <c r="AY7" s="173">
        <v>0</v>
      </c>
      <c r="AZ7" s="173">
        <v>0</v>
      </c>
      <c r="BA7" s="173">
        <v>0</v>
      </c>
      <c r="BB7" s="173">
        <v>0</v>
      </c>
      <c r="BC7" s="173">
        <v>0</v>
      </c>
      <c r="BD7" s="202">
        <v>0</v>
      </c>
      <c r="BE7" s="202">
        <v>0</v>
      </c>
    </row>
    <row r="8" spans="1:57">
      <c r="A8" s="178">
        <v>2008</v>
      </c>
      <c r="B8" s="172">
        <f t="shared" si="0"/>
        <v>0</v>
      </c>
      <c r="C8" s="172">
        <f t="shared" ref="C8:C22" si="1">AM8*P8</f>
        <v>0</v>
      </c>
      <c r="D8" s="172">
        <f t="shared" ref="D8:D22" si="2">AN8*Q8</f>
        <v>0</v>
      </c>
      <c r="E8" s="172"/>
      <c r="F8" s="172"/>
      <c r="G8" s="172"/>
      <c r="H8" s="172"/>
      <c r="I8" s="172"/>
      <c r="J8" s="172"/>
      <c r="K8" s="172">
        <f t="shared" ref="K8:K22" si="3">SUM(B8:J8)</f>
        <v>0</v>
      </c>
      <c r="L8" s="180">
        <f>SUM(K$7:K8)</f>
        <v>0</v>
      </c>
      <c r="N8" s="187">
        <v>2008</v>
      </c>
      <c r="O8" s="171">
        <v>1483.7764565934347</v>
      </c>
      <c r="P8" s="171">
        <v>1768.2053995213462</v>
      </c>
      <c r="Q8" s="171">
        <v>1810.8010290510019</v>
      </c>
      <c r="R8" s="171"/>
      <c r="S8" s="172"/>
      <c r="T8" s="170"/>
      <c r="U8" s="170"/>
      <c r="V8" s="188"/>
      <c r="W8" s="188"/>
      <c r="Y8" s="199">
        <v>2008</v>
      </c>
      <c r="Z8" s="169">
        <f>IF(partner_type="Manufacturer",Manufacturer!C8,IF(partner_type="Retailer/Distributor",'Retailer or Distributor'!C8,IF(partner_type="Utility/District",'Utility or District'!C8,Homes_calc!I8)))</f>
        <v>0</v>
      </c>
      <c r="AA8" s="169">
        <f>IF(partner_type="Manufacturer",Manufacturer!D8,IF(partner_type="Retailer/Distributor",'Retailer or Distributor'!D8,IF(partner_type="Utility/District",'Utility or District'!D8,Homes_calc!J8)))</f>
        <v>0</v>
      </c>
      <c r="AB8" s="169">
        <f>IF(partner_type="Manufacturer",Manufacturer!E8,IF(partner_type="Retailer/Distributor",'Retailer or Distributor'!E8,IF(partner_type="Utility/District",'Utility or District'!E8,Homes_calc!K8)))</f>
        <v>0</v>
      </c>
      <c r="AC8" s="169">
        <f>IF(partner_type="Manufacturer",Manufacturer!F8,IF(partner_type="Retailer/Distributor",'Retailer or Distributor'!F8,IF(partner_type="Utility/District",'Utility or District'!F8,Homes_calc!L8)))</f>
        <v>0</v>
      </c>
      <c r="AD8" s="169">
        <f>IF(partner_type="Manufacturer",Manufacturer!G8,IF(partner_type="Retailer/Distributor",'Retailer or Distributor'!G8,IF(partner_type="Utility/District",'Utility or District'!G8,Homes_calc!M8)))</f>
        <v>0</v>
      </c>
      <c r="AE8" s="169">
        <f>IF(partner_type="Manufacturer",Manufacturer!H8,IF(partner_type="Retailer/Distributor",'Retailer or Distributor'!H8,IF(partner_type="Utility/District",'Utility or District'!H8,Homes_calc!N8)))</f>
        <v>0</v>
      </c>
      <c r="AF8" s="169">
        <f>IF(partner_type="Manufacturer",Manufacturer!I8,IF(partner_type="Retailer/Distributor",'Retailer or Distributor'!I8,IF(partner_type="Utility/District",'Utility or District'!I8,Homes_calc!O8)))</f>
        <v>0</v>
      </c>
      <c r="AG8" s="169">
        <f>IF(partner_type="Manufacturer",Manufacturer!J8,IF(partner_type="Retailer/Distributor",'Retailer or Distributor'!J8,IF(partner_type="Utility/District",'Utility or District'!J8,Homes_calc!P8)))</f>
        <v>0</v>
      </c>
      <c r="AH8" s="169">
        <f>IF(partner_type="Manufacturer",Manufacturer!K8,IF(partner_type="Retailer/Distributor",'Retailer or Distributor'!K8,IF(partner_type="Utility/District",'Utility or District'!K8,Homes_calc!Q8)))</f>
        <v>0</v>
      </c>
      <c r="AI8" s="249">
        <f>SUM(ship[[#This Row],[Toilets]:[SSBs]])</f>
        <v>0</v>
      </c>
      <c r="AK8" s="187">
        <v>2008</v>
      </c>
      <c r="AL8" s="172">
        <f>IF($AK8&gt;current_year,"",SUMPRODUCT(Z$7:Z8,INDEX(retfunct[],50-(0),COUNT($AV7:AW7)):INDEX(retfunct[],50-($AK9-$AK$8),COUNT($AV7:AW7))))</f>
        <v>0</v>
      </c>
      <c r="AM8" s="172">
        <f>IF($AK8&gt;current_year,"",SUMPRODUCT(AA$7:AA8,INDEX(retfunct[],50-(0),COUNT($AV7:AX7)):INDEX(retfunct[],50-($AK9-$AK$8),COUNT($AV7:AX7))))</f>
        <v>0</v>
      </c>
      <c r="AN8" s="172">
        <f>IF($AK8&gt;current_year,"",SUMPRODUCT(AB$7:AB8,INDEX(retfunct[],50-(0),COUNT($AV7:AY7)):INDEX(retfunct[],50-($AK9-$AK$8),COUNT($AV7:AY7))))</f>
        <v>0</v>
      </c>
      <c r="AO8" s="172">
        <f>IF($AK8&gt;current_year,"",SUMPRODUCT(AC$7:AC8,INDEX(retfunct[],50-(0),COUNT($AV7:AZ7)):INDEX(retfunct[],50-($AK9-$AK$8),COUNT($AV7:AZ7))))</f>
        <v>0</v>
      </c>
      <c r="AP8" s="172">
        <f>IF($AK8&gt;current_year,"",SUMPRODUCT(AD$7:AD8,INDEX(retfunct[],50-(0),COUNT($AV7:BA7)):INDEX(retfunct[],50-($AK9-$AK$8),COUNT($AV7:BA7))))</f>
        <v>0</v>
      </c>
      <c r="AQ8" s="172">
        <f>IF($AK8&gt;current_year,"",SUMPRODUCT(AE$7:AE8,INDEX(retfunct[],50-(0),COUNT($AV7:BB7)):INDEX(retfunct[],50-($AK9-$AK$8),COUNT($AV7:BB7))))</f>
        <v>0</v>
      </c>
      <c r="AR8" s="172">
        <f>IF($AK8&gt;current_year,"",SUMPRODUCT(AF$7:AF8,INDEX(retfunct[],50-(0),COUNT($AV7:BC7)):INDEX(retfunct[],50-($AK9-$AK$8),COUNT($AV7:BC7))))</f>
        <v>0</v>
      </c>
      <c r="AS8" s="172">
        <f>IF($AK8&gt;current_year,"",SUMPRODUCT(AG$7:AG8,INDEX(retfunct[],50-(0),COUNT($AV7:BD7)):INDEX(retfunct[],50-($AK9-$AK$8),COUNT($AV7:BD7))))</f>
        <v>0</v>
      </c>
      <c r="AT8" s="172">
        <f>IF($AK8&gt;current_year,"",SUMPRODUCT(AH$7:AH8,INDEX(retfunct[],50-(0),COUNT($AV7:BE7)):INDEX(retfunct[],50-($AK9-$AK$8),COUNT($AV7:BE7))))</f>
        <v>0</v>
      </c>
      <c r="AV8" s="198">
        <v>48</v>
      </c>
      <c r="AW8" s="173">
        <v>0</v>
      </c>
      <c r="AX8" s="173">
        <v>0</v>
      </c>
      <c r="AY8" s="173">
        <v>0</v>
      </c>
      <c r="AZ8" s="173">
        <v>0</v>
      </c>
      <c r="BA8" s="173">
        <v>0</v>
      </c>
      <c r="BB8" s="173">
        <v>0</v>
      </c>
      <c r="BC8" s="173">
        <v>0</v>
      </c>
      <c r="BD8" s="202">
        <v>0</v>
      </c>
      <c r="BE8" s="202">
        <v>0</v>
      </c>
    </row>
    <row r="9" spans="1:57">
      <c r="A9" s="179">
        <v>2009</v>
      </c>
      <c r="B9" s="172">
        <f t="shared" si="0"/>
        <v>0</v>
      </c>
      <c r="C9" s="172">
        <f t="shared" si="1"/>
        <v>0</v>
      </c>
      <c r="D9" s="172">
        <f t="shared" si="2"/>
        <v>0</v>
      </c>
      <c r="E9" s="172"/>
      <c r="F9" s="172"/>
      <c r="G9" s="172"/>
      <c r="H9" s="172"/>
      <c r="I9" s="172"/>
      <c r="J9" s="172"/>
      <c r="K9" s="172">
        <f t="shared" si="3"/>
        <v>0</v>
      </c>
      <c r="L9" s="180">
        <f>SUM(K$7:K9)</f>
        <v>0</v>
      </c>
      <c r="N9" s="187">
        <v>2009</v>
      </c>
      <c r="O9" s="171">
        <v>1462.214806958787</v>
      </c>
      <c r="P9" s="171">
        <v>1772.7600743936657</v>
      </c>
      <c r="Q9" s="171">
        <v>1809.6357186846458</v>
      </c>
      <c r="R9" s="171"/>
      <c r="S9" s="172"/>
      <c r="T9" s="170"/>
      <c r="U9" s="170"/>
      <c r="V9" s="188"/>
      <c r="W9" s="188"/>
      <c r="Y9" s="199">
        <v>2009</v>
      </c>
      <c r="Z9" s="169">
        <f>IF(partner_type="Manufacturer",Manufacturer!C9,IF(partner_type="Retailer/Distributor",'Retailer or Distributor'!C9,IF(partner_type="Utility/District",'Utility or District'!C9,Homes_calc!I9)))</f>
        <v>0</v>
      </c>
      <c r="AA9" s="169">
        <f>IF(partner_type="Manufacturer",Manufacturer!D9,IF(partner_type="Retailer/Distributor",'Retailer or Distributor'!D9,IF(partner_type="Utility/District",'Utility or District'!D9,Homes_calc!J9)))</f>
        <v>0</v>
      </c>
      <c r="AB9" s="169">
        <f>IF(partner_type="Manufacturer",Manufacturer!E9,IF(partner_type="Retailer/Distributor",'Retailer or Distributor'!E9,IF(partner_type="Utility/District",'Utility or District'!E9,Homes_calc!K9)))</f>
        <v>0</v>
      </c>
      <c r="AC9" s="169">
        <f>IF(partner_type="Manufacturer",Manufacturer!F9,IF(partner_type="Retailer/Distributor",'Retailer or Distributor'!F9,IF(partner_type="Utility/District",'Utility or District'!F9,Homes_calc!L9)))</f>
        <v>0</v>
      </c>
      <c r="AD9" s="169">
        <f>IF(partner_type="Manufacturer",Manufacturer!G9,IF(partner_type="Retailer/Distributor",'Retailer or Distributor'!G9,IF(partner_type="Utility/District",'Utility or District'!G9,Homes_calc!M9)))</f>
        <v>0</v>
      </c>
      <c r="AE9" s="169">
        <f>IF(partner_type="Manufacturer",Manufacturer!H9,IF(partner_type="Retailer/Distributor",'Retailer or Distributor'!H9,IF(partner_type="Utility/District",'Utility or District'!H9,Homes_calc!N9)))</f>
        <v>0</v>
      </c>
      <c r="AF9" s="169">
        <f>IF(partner_type="Manufacturer",Manufacturer!I9,IF(partner_type="Retailer/Distributor",'Retailer or Distributor'!I9,IF(partner_type="Utility/District",'Utility or District'!I9,Homes_calc!O9)))</f>
        <v>0</v>
      </c>
      <c r="AG9" s="169">
        <f>IF(partner_type="Manufacturer",Manufacturer!J9,IF(partner_type="Retailer/Distributor",'Retailer or Distributor'!J9,IF(partner_type="Utility/District",'Utility or District'!J9,Homes_calc!P9)))</f>
        <v>0</v>
      </c>
      <c r="AH9" s="169">
        <f>IF(partner_type="Manufacturer",Manufacturer!K9,IF(partner_type="Retailer/Distributor",'Retailer or Distributor'!K9,IF(partner_type="Utility/District",'Utility or District'!K9,Homes_calc!Q9)))</f>
        <v>0</v>
      </c>
      <c r="AI9" s="249">
        <f>SUM(ship[[#This Row],[Toilets]:[SSBs]])</f>
        <v>0</v>
      </c>
      <c r="AK9" s="187">
        <v>2009</v>
      </c>
      <c r="AL9" s="172">
        <f>IF($AK9&gt;current_year,"",SUMPRODUCT(Z$7:Z9,INDEX(retfunct[],50-(0),COUNT($AV8:AW8)):INDEX(retfunct[],50-($AK10-$AK$8),COUNT($AV8:AW8))))</f>
        <v>0</v>
      </c>
      <c r="AM9" s="172">
        <f>IF($AK9&gt;current_year,"",SUMPRODUCT(AA$7:AA9,INDEX(retfunct[],50-(0),COUNT($AV8:AX8)):INDEX(retfunct[],50-($AK10-$AK$8),COUNT($AV8:AX8))))</f>
        <v>0</v>
      </c>
      <c r="AN9" s="172">
        <f>IF($AK9&gt;current_year,"",SUMPRODUCT(AB$7:AB9,INDEX(retfunct[],50-(0),COUNT($AV8:AY8)):INDEX(retfunct[],50-($AK10-$AK$8),COUNT($AV8:AY8))))</f>
        <v>0</v>
      </c>
      <c r="AO9" s="172">
        <f>IF($AK9&gt;current_year,"",SUMPRODUCT(AC$7:AC9,INDEX(retfunct[],50-(0),COUNT($AV8:AZ8)):INDEX(retfunct[],50-($AK10-$AK$8),COUNT($AV8:AZ8))))</f>
        <v>0</v>
      </c>
      <c r="AP9" s="172">
        <f>IF($AK9&gt;current_year,"",SUMPRODUCT(AD$7:AD9,INDEX(retfunct[],50-(0),COUNT($AV8:BA8)):INDEX(retfunct[],50-($AK10-$AK$8),COUNT($AV8:BA8))))</f>
        <v>0</v>
      </c>
      <c r="AQ9" s="172">
        <f>IF($AK9&gt;current_year,"",SUMPRODUCT(AE$7:AE9,INDEX(retfunct[],50-(0),COUNT($AV8:BB8)):INDEX(retfunct[],50-($AK10-$AK$8),COUNT($AV8:BB8))))</f>
        <v>0</v>
      </c>
      <c r="AR9" s="172">
        <f>IF($AK9&gt;current_year,"",SUMPRODUCT(AF$7:AF9,INDEX(retfunct[],50-(0),COUNT($AV8:BC8)):INDEX(retfunct[],50-($AK10-$AK$8),COUNT($AV8:BC8))))</f>
        <v>0</v>
      </c>
      <c r="AS9" s="172">
        <f>IF($AK9&gt;current_year,"",SUMPRODUCT(AG$7:AG9,INDEX(retfunct[],50-(0),COUNT($AV8:BD8)):INDEX(retfunct[],50-($AK10-$AK$8),COUNT($AV8:BD8))))</f>
        <v>0</v>
      </c>
      <c r="AT9" s="172">
        <f>IF($AK9&gt;current_year,"",SUMPRODUCT(AH$7:AH9,INDEX(retfunct[],50-(0),COUNT($AV8:BE8)):INDEX(retfunct[],50-($AK10-$AK$8),COUNT($AV8:BE8))))</f>
        <v>0</v>
      </c>
      <c r="AV9" s="198">
        <v>47</v>
      </c>
      <c r="AW9" s="173">
        <v>0</v>
      </c>
      <c r="AX9" s="173">
        <v>0</v>
      </c>
      <c r="AY9" s="173">
        <v>0</v>
      </c>
      <c r="AZ9" s="173">
        <v>0</v>
      </c>
      <c r="BA9" s="173">
        <v>0</v>
      </c>
      <c r="BB9" s="173">
        <v>0</v>
      </c>
      <c r="BC9" s="173">
        <v>0</v>
      </c>
      <c r="BD9" s="202">
        <v>0</v>
      </c>
      <c r="BE9" s="202">
        <v>0</v>
      </c>
    </row>
    <row r="10" spans="1:57">
      <c r="A10" s="178">
        <v>2010</v>
      </c>
      <c r="B10" s="172">
        <f t="shared" si="0"/>
        <v>0</v>
      </c>
      <c r="C10" s="172">
        <f t="shared" si="1"/>
        <v>0</v>
      </c>
      <c r="D10" s="172">
        <f t="shared" si="2"/>
        <v>0</v>
      </c>
      <c r="E10" s="172">
        <f t="shared" ref="E10:E22" si="4">AO10*R10</f>
        <v>0</v>
      </c>
      <c r="F10" s="172"/>
      <c r="G10" s="172">
        <f t="shared" ref="G10:G22" si="5">AQ10*T10</f>
        <v>0</v>
      </c>
      <c r="H10" s="172"/>
      <c r="I10" s="172"/>
      <c r="J10" s="172"/>
      <c r="K10" s="172">
        <f t="shared" si="3"/>
        <v>0</v>
      </c>
      <c r="L10" s="180">
        <f>SUM(K$7:K10)</f>
        <v>0</v>
      </c>
      <c r="N10" s="187">
        <v>2010</v>
      </c>
      <c r="O10" s="171">
        <v>1434.7536952149644</v>
      </c>
      <c r="P10" s="171">
        <v>1774.1396673689546</v>
      </c>
      <c r="Q10" s="171">
        <v>1807.3950561751369</v>
      </c>
      <c r="R10" s="171">
        <v>1356.0744694429584</v>
      </c>
      <c r="S10" s="172"/>
      <c r="T10" s="171">
        <v>1375.3339707949438</v>
      </c>
      <c r="U10" s="172"/>
      <c r="V10" s="189"/>
      <c r="W10" s="189"/>
      <c r="Y10" s="199">
        <v>2010</v>
      </c>
      <c r="Z10" s="169">
        <f>IF(partner_type="Manufacturer",Manufacturer!C10,IF(partner_type="Retailer/Distributor",'Retailer or Distributor'!C10,IF(partner_type="Utility/District",'Utility or District'!C10,Homes_calc!I10)))</f>
        <v>0</v>
      </c>
      <c r="AA10" s="169">
        <f>IF(partner_type="Manufacturer",Manufacturer!D10,IF(partner_type="Retailer/Distributor",'Retailer or Distributor'!D10,IF(partner_type="Utility/District",'Utility or District'!D10,Homes_calc!J10)))</f>
        <v>0</v>
      </c>
      <c r="AB10" s="169">
        <f>IF(partner_type="Manufacturer",Manufacturer!E10,IF(partner_type="Retailer/Distributor",'Retailer or Distributor'!E10,IF(partner_type="Utility/District",'Utility or District'!E10,Homes_calc!K10)))</f>
        <v>0</v>
      </c>
      <c r="AC10" s="169">
        <f>IF(partner_type="Manufacturer",Manufacturer!F10,IF(partner_type="Retailer/Distributor",'Retailer or Distributor'!F10,IF(partner_type="Utility/District",'Utility or District'!F10,Homes_calc!L10)))</f>
        <v>0</v>
      </c>
      <c r="AD10" s="169">
        <f>IF(partner_type="Manufacturer",Manufacturer!G10,IF(partner_type="Retailer/Distributor",'Retailer or Distributor'!G10,IF(partner_type="Utility/District",'Utility or District'!G10,Homes_calc!M10)))</f>
        <v>0</v>
      </c>
      <c r="AE10" s="169">
        <f>IF(partner_type="Manufacturer",Manufacturer!H10,IF(partner_type="Retailer/Distributor",'Retailer or Distributor'!H10,IF(partner_type="Utility/District",'Utility or District'!H10,Homes_calc!N10)))</f>
        <v>0</v>
      </c>
      <c r="AF10" s="169">
        <f>IF(partner_type="Manufacturer",Manufacturer!I10,IF(partner_type="Retailer/Distributor",'Retailer or Distributor'!I10,IF(partner_type="Utility/District",'Utility or District'!I10,Homes_calc!O10)))</f>
        <v>0</v>
      </c>
      <c r="AG10" s="169">
        <f>IF(partner_type="Manufacturer",Manufacturer!J10,IF(partner_type="Retailer/Distributor",'Retailer or Distributor'!J10,IF(partner_type="Utility/District",'Utility or District'!J10,Homes_calc!P10)))</f>
        <v>0</v>
      </c>
      <c r="AH10" s="169">
        <f>IF(partner_type="Manufacturer",Manufacturer!K10,IF(partner_type="Retailer/Distributor",'Retailer or Distributor'!K10,IF(partner_type="Utility/District",'Utility or District'!K10,Homes_calc!Q10)))</f>
        <v>0</v>
      </c>
      <c r="AI10" s="249">
        <f>SUM(ship[[#This Row],[Toilets]:[SSBs]])</f>
        <v>0</v>
      </c>
      <c r="AK10" s="187">
        <v>2010</v>
      </c>
      <c r="AL10" s="172">
        <f>IF($AK10&gt;current_year,"",SUMPRODUCT(Z$7:Z10,INDEX(retfunct[],50-(0),COUNT($AV9:AW9)):INDEX(retfunct[],50-($AK11-$AK$8),COUNT($AV9:AW9))))</f>
        <v>0</v>
      </c>
      <c r="AM10" s="172">
        <f>IF($AK10&gt;current_year,"",SUMPRODUCT(AA$7:AA10,INDEX(retfunct[],50-(0),COUNT($AV9:AX9)):INDEX(retfunct[],50-($AK11-$AK$8),COUNT($AV9:AX9))))</f>
        <v>0</v>
      </c>
      <c r="AN10" s="172">
        <f>IF($AK10&gt;current_year,"",SUMPRODUCT(AB$7:AB10,INDEX(retfunct[],50-(0),COUNT($AV9:AY9)):INDEX(retfunct[],50-($AK11-$AK$8),COUNT($AV9:AY9))))</f>
        <v>0</v>
      </c>
      <c r="AO10" s="172">
        <f>IF($AK10&gt;current_year,"",SUMPRODUCT(AC$7:AC10,INDEX(retfunct[],50-(0),COUNT($AV9:AZ9)):INDEX(retfunct[],50-($AK11-$AK$8),COUNT($AV9:AZ9))))</f>
        <v>0</v>
      </c>
      <c r="AP10" s="172">
        <f>IF($AK10&gt;current_year,"",SUMPRODUCT(AD$7:AD10,INDEX(retfunct[],50-(0),COUNT($AV9:BA9)):INDEX(retfunct[],50-($AK11-$AK$8),COUNT($AV9:BA9))))</f>
        <v>0</v>
      </c>
      <c r="AQ10" s="172">
        <f>IF($AK10&gt;current_year,"",SUMPRODUCT(AE$7:AE10,INDEX(retfunct[],50-(0),COUNT($AV9:BB9)):INDEX(retfunct[],50-($AK11-$AK$8),COUNT($AV9:BB9))))</f>
        <v>0</v>
      </c>
      <c r="AR10" s="172">
        <f>IF($AK10&gt;current_year,"",SUMPRODUCT(AF$7:AF10,INDEX(retfunct[],50-(0),COUNT($AV9:BC9)):INDEX(retfunct[],50-($AK11-$AK$8),COUNT($AV9:BC9))))</f>
        <v>0</v>
      </c>
      <c r="AS10" s="172">
        <f>IF($AK10&gt;current_year,"",SUMPRODUCT(AG$7:AG10,INDEX(retfunct[],50-(0),COUNT($AV9:BD9)):INDEX(retfunct[],50-($AK11-$AK$8),COUNT($AV9:BD9))))</f>
        <v>0</v>
      </c>
      <c r="AT10" s="172">
        <f>IF($AK10&gt;current_year,"",SUMPRODUCT(AH$7:AH10,INDEX(retfunct[],50-(0),COUNT($AV9:BE9)):INDEX(retfunct[],50-($AK11-$AK$8),COUNT($AV9:BE9))))</f>
        <v>0</v>
      </c>
      <c r="AV10" s="198">
        <v>46</v>
      </c>
      <c r="AW10" s="173">
        <v>0</v>
      </c>
      <c r="AX10" s="173">
        <v>0</v>
      </c>
      <c r="AY10" s="173">
        <v>0</v>
      </c>
      <c r="AZ10" s="173">
        <v>0</v>
      </c>
      <c r="BA10" s="173">
        <v>0</v>
      </c>
      <c r="BB10" s="173">
        <v>0</v>
      </c>
      <c r="BC10" s="173">
        <v>0</v>
      </c>
      <c r="BD10" s="202">
        <v>0</v>
      </c>
      <c r="BE10" s="202">
        <v>0</v>
      </c>
    </row>
    <row r="11" spans="1:57">
      <c r="A11" s="179">
        <v>2011</v>
      </c>
      <c r="B11" s="172">
        <f t="shared" si="0"/>
        <v>0</v>
      </c>
      <c r="C11" s="172">
        <f t="shared" si="1"/>
        <v>0</v>
      </c>
      <c r="D11" s="172">
        <f t="shared" si="2"/>
        <v>0</v>
      </c>
      <c r="E11" s="172">
        <f t="shared" si="4"/>
        <v>0</v>
      </c>
      <c r="F11" s="172"/>
      <c r="G11" s="172">
        <f t="shared" si="5"/>
        <v>0</v>
      </c>
      <c r="H11" s="172"/>
      <c r="I11" s="172"/>
      <c r="J11" s="172"/>
      <c r="K11" s="172">
        <f t="shared" si="3"/>
        <v>0</v>
      </c>
      <c r="L11" s="180">
        <f>SUM(K$7:K11)</f>
        <v>0</v>
      </c>
      <c r="N11" s="187">
        <v>2011</v>
      </c>
      <c r="O11" s="171">
        <v>1428.4661661566818</v>
      </c>
      <c r="P11" s="171">
        <v>1787.8119529330936</v>
      </c>
      <c r="Q11" s="171">
        <v>1818.2289428025374</v>
      </c>
      <c r="R11" s="171">
        <v>1308.3344849336602</v>
      </c>
      <c r="S11" s="172"/>
      <c r="T11" s="171">
        <v>1375.3339707950945</v>
      </c>
      <c r="U11" s="172"/>
      <c r="V11" s="189"/>
      <c r="W11" s="189"/>
      <c r="Y11" s="199">
        <v>2011</v>
      </c>
      <c r="Z11" s="169">
        <f>IF(partner_type="Manufacturer",Manufacturer!C11,IF(partner_type="Retailer/Distributor",'Retailer or Distributor'!C11,IF(partner_type="Utility/District",'Utility or District'!C11,Homes_calc!I11)))</f>
        <v>0</v>
      </c>
      <c r="AA11" s="169">
        <f>IF(partner_type="Manufacturer",Manufacturer!D11,IF(partner_type="Retailer/Distributor",'Retailer or Distributor'!D11,IF(partner_type="Utility/District",'Utility or District'!D11,Homes_calc!J11)))</f>
        <v>0</v>
      </c>
      <c r="AB11" s="169">
        <f>IF(partner_type="Manufacturer",Manufacturer!E11,IF(partner_type="Retailer/Distributor",'Retailer or Distributor'!E11,IF(partner_type="Utility/District",'Utility or District'!E11,Homes_calc!K11)))</f>
        <v>0</v>
      </c>
      <c r="AC11" s="169">
        <f>IF(partner_type="Manufacturer",Manufacturer!F11,IF(partner_type="Retailer/Distributor",'Retailer or Distributor'!F11,IF(partner_type="Utility/District",'Utility or District'!F11,Homes_calc!L11)))</f>
        <v>0</v>
      </c>
      <c r="AD11" s="169">
        <f>IF(partner_type="Manufacturer",Manufacturer!G11,IF(partner_type="Retailer/Distributor",'Retailer or Distributor'!G11,IF(partner_type="Utility/District",'Utility or District'!G11,Homes_calc!M11)))</f>
        <v>0</v>
      </c>
      <c r="AE11" s="169">
        <f>IF(partner_type="Manufacturer",Manufacturer!H11,IF(partner_type="Retailer/Distributor",'Retailer or Distributor'!H11,IF(partner_type="Utility/District",'Utility or District'!H11,Homes_calc!N11)))</f>
        <v>0</v>
      </c>
      <c r="AF11" s="169">
        <f>IF(partner_type="Manufacturer",Manufacturer!I11,IF(partner_type="Retailer/Distributor",'Retailer or Distributor'!I11,IF(partner_type="Utility/District",'Utility or District'!I11,Homes_calc!O11)))</f>
        <v>0</v>
      </c>
      <c r="AG11" s="169">
        <f>IF(partner_type="Manufacturer",Manufacturer!J11,IF(partner_type="Retailer/Distributor",'Retailer or Distributor'!J11,IF(partner_type="Utility/District",'Utility or District'!J11,Homes_calc!P11)))</f>
        <v>0</v>
      </c>
      <c r="AH11" s="169">
        <f>IF(partner_type="Manufacturer",Manufacturer!K11,IF(partner_type="Retailer/Distributor",'Retailer or Distributor'!K11,IF(partner_type="Utility/District",'Utility or District'!K11,Homes_calc!Q11)))</f>
        <v>0</v>
      </c>
      <c r="AI11" s="249">
        <f>SUM(ship[[#This Row],[Toilets]:[SSBs]])</f>
        <v>0</v>
      </c>
      <c r="AK11" s="187">
        <v>2011</v>
      </c>
      <c r="AL11" s="172">
        <f>IF($AK11&gt;current_year,"",SUMPRODUCT(Z$7:Z11,INDEX(retfunct[],50-(0),COUNT($AV10:AW10)):INDEX(retfunct[],50-($AK12-$AK$8),COUNT($AV10:AW10))))</f>
        <v>0</v>
      </c>
      <c r="AM11" s="172">
        <f>IF($AK11&gt;current_year,"",SUMPRODUCT(AA$7:AA11,INDEX(retfunct[],50-(0),COUNT($AV10:AX10)):INDEX(retfunct[],50-($AK12-$AK$8),COUNT($AV10:AX10))))</f>
        <v>0</v>
      </c>
      <c r="AN11" s="172">
        <f>IF($AK11&gt;current_year,"",SUMPRODUCT(AB$7:AB11,INDEX(retfunct[],50-(0),COUNT($AV10:AY10)):INDEX(retfunct[],50-($AK12-$AK$8),COUNT($AV10:AY10))))</f>
        <v>0</v>
      </c>
      <c r="AO11" s="172">
        <f>IF($AK11&gt;current_year,"",SUMPRODUCT(AC$7:AC11,INDEX(retfunct[],50-(0),COUNT($AV10:AZ10)):INDEX(retfunct[],50-($AK12-$AK$8),COUNT($AV10:AZ10))))</f>
        <v>0</v>
      </c>
      <c r="AP11" s="172">
        <f>IF($AK11&gt;current_year,"",SUMPRODUCT(AD$7:AD11,INDEX(retfunct[],50-(0),COUNT($AV10:BA10)):INDEX(retfunct[],50-($AK12-$AK$8),COUNT($AV10:BA10))))</f>
        <v>0</v>
      </c>
      <c r="AQ11" s="172">
        <f>IF($AK11&gt;current_year,"",SUMPRODUCT(AE$7:AE11,INDEX(retfunct[],50-(0),COUNT($AV10:BB10)):INDEX(retfunct[],50-($AK12-$AK$8),COUNT($AV10:BB10))))</f>
        <v>0</v>
      </c>
      <c r="AR11" s="172">
        <f>IF($AK11&gt;current_year,"",SUMPRODUCT(AF$7:AF11,INDEX(retfunct[],50-(0),COUNT($AV10:BC10)):INDEX(retfunct[],50-($AK12-$AK$8),COUNT($AV10:BC10))))</f>
        <v>0</v>
      </c>
      <c r="AS11" s="172">
        <f>IF($AK11&gt;current_year,"",SUMPRODUCT(AG$7:AG11,INDEX(retfunct[],50-(0),COUNT($AV10:BD10)):INDEX(retfunct[],50-($AK12-$AK$8),COUNT($AV10:BD10))))</f>
        <v>0</v>
      </c>
      <c r="AT11" s="172">
        <f>IF($AK11&gt;current_year,"",SUMPRODUCT(AH$7:AH11,INDEX(retfunct[],50-(0),COUNT($AV10:BE10)):INDEX(retfunct[],50-($AK12-$AK$8),COUNT($AV10:BE10))))</f>
        <v>0</v>
      </c>
      <c r="AV11" s="198">
        <v>45</v>
      </c>
      <c r="AW11" s="173">
        <v>0</v>
      </c>
      <c r="AX11" s="173">
        <v>0</v>
      </c>
      <c r="AY11" s="173">
        <v>0</v>
      </c>
      <c r="AZ11" s="173">
        <v>0</v>
      </c>
      <c r="BA11" s="173">
        <v>0</v>
      </c>
      <c r="BB11" s="173">
        <v>0</v>
      </c>
      <c r="BC11" s="173">
        <v>0</v>
      </c>
      <c r="BD11" s="202">
        <v>0</v>
      </c>
      <c r="BE11" s="202">
        <v>0</v>
      </c>
    </row>
    <row r="12" spans="1:57">
      <c r="A12" s="178">
        <v>2012</v>
      </c>
      <c r="B12" s="172">
        <f t="shared" si="0"/>
        <v>0</v>
      </c>
      <c r="C12" s="172">
        <f t="shared" si="1"/>
        <v>0</v>
      </c>
      <c r="D12" s="172">
        <f t="shared" si="2"/>
        <v>0</v>
      </c>
      <c r="E12" s="172">
        <f t="shared" si="4"/>
        <v>0</v>
      </c>
      <c r="F12" s="172"/>
      <c r="G12" s="172">
        <f t="shared" si="5"/>
        <v>0</v>
      </c>
      <c r="H12" s="172">
        <f t="shared" ref="H12:H22" si="6">AR12*U12</f>
        <v>0</v>
      </c>
      <c r="I12" s="172"/>
      <c r="J12" s="172"/>
      <c r="K12" s="172">
        <f t="shared" si="3"/>
        <v>0</v>
      </c>
      <c r="L12" s="180">
        <f>SUM(K$7:K12)</f>
        <v>0</v>
      </c>
      <c r="N12" s="187">
        <v>2012</v>
      </c>
      <c r="O12" s="171">
        <v>1422.110456982216</v>
      </c>
      <c r="P12" s="171">
        <v>1797.0955369656181</v>
      </c>
      <c r="Q12" s="171">
        <v>1831.1909666379813</v>
      </c>
      <c r="R12" s="171">
        <v>1291.5266043475162</v>
      </c>
      <c r="S12" s="172"/>
      <c r="T12" s="171">
        <v>1375.3339707951134</v>
      </c>
      <c r="U12" s="171">
        <v>5991.0296562435333</v>
      </c>
      <c r="V12" s="189"/>
      <c r="W12" s="189"/>
      <c r="Y12" s="199">
        <v>2012</v>
      </c>
      <c r="Z12" s="169">
        <f>IF(partner_type="Manufacturer",Manufacturer!C12,IF(partner_type="Retailer/Distributor",'Retailer or Distributor'!C12,IF(partner_type="Utility/District",'Utility or District'!C12,Homes_calc!I12)))</f>
        <v>0</v>
      </c>
      <c r="AA12" s="169">
        <f>IF(partner_type="Manufacturer",Manufacturer!D12,IF(partner_type="Retailer/Distributor",'Retailer or Distributor'!D12,IF(partner_type="Utility/District",'Utility or District'!D12,Homes_calc!J12)))</f>
        <v>0</v>
      </c>
      <c r="AB12" s="169">
        <f>IF(partner_type="Manufacturer",Manufacturer!E12,IF(partner_type="Retailer/Distributor",'Retailer or Distributor'!E12,IF(partner_type="Utility/District",'Utility or District'!E12,Homes_calc!K12)))</f>
        <v>0</v>
      </c>
      <c r="AC12" s="169">
        <f>IF(partner_type="Manufacturer",Manufacturer!F12,IF(partner_type="Retailer/Distributor",'Retailer or Distributor'!F12,IF(partner_type="Utility/District",'Utility or District'!F12,Homes_calc!L12)))</f>
        <v>0</v>
      </c>
      <c r="AD12" s="169">
        <f>IF(partner_type="Manufacturer",Manufacturer!G12,IF(partner_type="Retailer/Distributor",'Retailer or Distributor'!G12,IF(partner_type="Utility/District",'Utility or District'!G12,Homes_calc!M12)))</f>
        <v>0</v>
      </c>
      <c r="AE12" s="169">
        <f>IF(partner_type="Manufacturer",Manufacturer!H12,IF(partner_type="Retailer/Distributor",'Retailer or Distributor'!H12,IF(partner_type="Utility/District",'Utility or District'!H12,Homes_calc!N12)))</f>
        <v>0</v>
      </c>
      <c r="AF12" s="169">
        <f>IF(partner_type="Manufacturer",Manufacturer!I12,IF(partner_type="Retailer/Distributor",'Retailer or Distributor'!I12,IF(partner_type="Utility/District",'Utility or District'!I12,Homes_calc!O12)))</f>
        <v>0</v>
      </c>
      <c r="AG12" s="169">
        <f>IF(partner_type="Manufacturer",Manufacturer!J12,IF(partner_type="Retailer/Distributor",'Retailer or Distributor'!J12,IF(partner_type="Utility/District",'Utility or District'!J12,Homes_calc!P12)))</f>
        <v>0</v>
      </c>
      <c r="AH12" s="169">
        <f>IF(partner_type="Manufacturer",Manufacturer!K12,IF(partner_type="Retailer/Distributor",'Retailer or Distributor'!K12,IF(partner_type="Utility/District",'Utility or District'!K12,Homes_calc!Q12)))</f>
        <v>0</v>
      </c>
      <c r="AI12" s="249">
        <f>SUM(ship[[#This Row],[Toilets]:[SSBs]])</f>
        <v>0</v>
      </c>
      <c r="AK12" s="187">
        <v>2012</v>
      </c>
      <c r="AL12" s="172">
        <f>IF($AK12&gt;current_year,"",SUMPRODUCT(Z$7:Z12,INDEX(retfunct[],50-(0),COUNT($AV11:AW11)):INDEX(retfunct[],50-($AK13-$AK$8),COUNT($AV11:AW11))))</f>
        <v>0</v>
      </c>
      <c r="AM12" s="172">
        <f>IF($AK12&gt;current_year,"",SUMPRODUCT(AA$7:AA12,INDEX(retfunct[],50-(0),COUNT($AV11:AX11)):INDEX(retfunct[],50-($AK13-$AK$8),COUNT($AV11:AX11))))</f>
        <v>0</v>
      </c>
      <c r="AN12" s="172">
        <f>IF($AK12&gt;current_year,"",SUMPRODUCT(AB$7:AB12,INDEX(retfunct[],50-(0),COUNT($AV11:AY11)):INDEX(retfunct[],50-($AK13-$AK$8),COUNT($AV11:AY11))))</f>
        <v>0</v>
      </c>
      <c r="AO12" s="172">
        <f>IF($AK12&gt;current_year,"",SUMPRODUCT(AC$7:AC12,INDEX(retfunct[],50-(0),COUNT($AV11:AZ11)):INDEX(retfunct[],50-($AK13-$AK$8),COUNT($AV11:AZ11))))</f>
        <v>0</v>
      </c>
      <c r="AP12" s="172">
        <f>IF($AK12&gt;current_year,"",SUMPRODUCT(AD$7:AD12,INDEX(retfunct[],50-(0),COUNT($AV11:BA11)):INDEX(retfunct[],50-($AK13-$AK$8),COUNT($AV11:BA11))))</f>
        <v>0</v>
      </c>
      <c r="AQ12" s="172">
        <f>IF($AK12&gt;current_year,"",SUMPRODUCT(AE$7:AE12,INDEX(retfunct[],50-(0),COUNT($AV11:BB11)):INDEX(retfunct[],50-($AK13-$AK$8),COUNT($AV11:BB11))))</f>
        <v>0</v>
      </c>
      <c r="AR12" s="172">
        <f>IF($AK12&gt;current_year,"",SUMPRODUCT(AF$7:AF12,INDEX(retfunct[],50-(0),COUNT($AV11:BC11)):INDEX(retfunct[],50-($AK13-$AK$8),COUNT($AV11:BC11))))</f>
        <v>0</v>
      </c>
      <c r="AS12" s="172">
        <f>IF($AK12&gt;current_year,"",SUMPRODUCT(AG$7:AG12,INDEX(retfunct[],50-(0),COUNT($AV11:BD11)):INDEX(retfunct[],50-($AK13-$AK$8),COUNT($AV11:BD11))))</f>
        <v>0</v>
      </c>
      <c r="AT12" s="172">
        <f>IF($AK12&gt;current_year,"",SUMPRODUCT(AH$7:AH12,INDEX(retfunct[],50-(0),COUNT($AV11:BE11)):INDEX(retfunct[],50-($AK13-$AK$8),COUNT($AV11:BE11))))</f>
        <v>0</v>
      </c>
      <c r="AV12" s="198">
        <v>44</v>
      </c>
      <c r="AW12" s="173">
        <v>0</v>
      </c>
      <c r="AX12" s="173">
        <v>0</v>
      </c>
      <c r="AY12" s="173">
        <v>0</v>
      </c>
      <c r="AZ12" s="173">
        <v>0</v>
      </c>
      <c r="BA12" s="173">
        <v>0</v>
      </c>
      <c r="BB12" s="173">
        <v>0</v>
      </c>
      <c r="BC12" s="173">
        <v>0</v>
      </c>
      <c r="BD12" s="202">
        <v>0</v>
      </c>
      <c r="BE12" s="202">
        <v>0</v>
      </c>
    </row>
    <row r="13" spans="1:57">
      <c r="A13" s="179">
        <v>2013</v>
      </c>
      <c r="B13" s="172">
        <f t="shared" si="0"/>
        <v>0</v>
      </c>
      <c r="C13" s="172">
        <f t="shared" si="1"/>
        <v>0</v>
      </c>
      <c r="D13" s="172">
        <f t="shared" si="2"/>
        <v>0</v>
      </c>
      <c r="E13" s="172">
        <f t="shared" si="4"/>
        <v>0</v>
      </c>
      <c r="F13" s="172"/>
      <c r="G13" s="172">
        <f t="shared" si="5"/>
        <v>0</v>
      </c>
      <c r="H13" s="172">
        <f t="shared" si="6"/>
        <v>0</v>
      </c>
      <c r="I13" s="172"/>
      <c r="J13" s="172"/>
      <c r="K13" s="172">
        <f t="shared" si="3"/>
        <v>0</v>
      </c>
      <c r="L13" s="180">
        <f>SUM(K$7:K13)</f>
        <v>0</v>
      </c>
      <c r="N13" s="187">
        <v>2013</v>
      </c>
      <c r="O13" s="171">
        <v>1416.1925762579021</v>
      </c>
      <c r="P13" s="171">
        <v>1802.8894752583783</v>
      </c>
      <c r="Q13" s="171">
        <v>1836.8569868914917</v>
      </c>
      <c r="R13" s="171">
        <v>1281.9586472010305</v>
      </c>
      <c r="S13" s="172"/>
      <c r="T13" s="171">
        <v>1375.3339707951004</v>
      </c>
      <c r="U13" s="171">
        <v>5800.9666263690415</v>
      </c>
      <c r="V13" s="189"/>
      <c r="W13" s="189"/>
      <c r="Y13" s="199">
        <v>2013</v>
      </c>
      <c r="Z13" s="169">
        <f>IF(partner_type="Manufacturer",Manufacturer!C13,IF(partner_type="Retailer/Distributor",'Retailer or Distributor'!C13,IF(partner_type="Utility/District",'Utility or District'!C13,Homes_calc!I13)))</f>
        <v>0</v>
      </c>
      <c r="AA13" s="169">
        <f>IF(partner_type="Manufacturer",Manufacturer!D13,IF(partner_type="Retailer/Distributor",'Retailer or Distributor'!D13,IF(partner_type="Utility/District",'Utility or District'!D13,Homes_calc!J13)))</f>
        <v>0</v>
      </c>
      <c r="AB13" s="169">
        <f>IF(partner_type="Manufacturer",Manufacturer!E13,IF(partner_type="Retailer/Distributor",'Retailer or Distributor'!E13,IF(partner_type="Utility/District",'Utility or District'!E13,Homes_calc!K13)))</f>
        <v>0</v>
      </c>
      <c r="AC13" s="169">
        <f>IF(partner_type="Manufacturer",Manufacturer!F13,IF(partner_type="Retailer/Distributor",'Retailer or Distributor'!F13,IF(partner_type="Utility/District",'Utility or District'!F13,Homes_calc!L13)))</f>
        <v>0</v>
      </c>
      <c r="AD13" s="169">
        <f>IF(partner_type="Manufacturer",Manufacturer!G13,IF(partner_type="Retailer/Distributor",'Retailer or Distributor'!G13,IF(partner_type="Utility/District",'Utility or District'!G13,Homes_calc!M13)))</f>
        <v>0</v>
      </c>
      <c r="AE13" s="169">
        <f>IF(partner_type="Manufacturer",Manufacturer!H13,IF(partner_type="Retailer/Distributor",'Retailer or Distributor'!H13,IF(partner_type="Utility/District",'Utility or District'!H13,Homes_calc!N13)))</f>
        <v>0</v>
      </c>
      <c r="AF13" s="169">
        <f>IF(partner_type="Manufacturer",Manufacturer!I13,IF(partner_type="Retailer/Distributor",'Retailer or Distributor'!I13,IF(partner_type="Utility/District",'Utility or District'!I13,Homes_calc!O13)))</f>
        <v>0</v>
      </c>
      <c r="AG13" s="169">
        <f>IF(partner_type="Manufacturer",Manufacturer!J13,IF(partner_type="Retailer/Distributor",'Retailer or Distributor'!J13,IF(partner_type="Utility/District",'Utility or District'!J13,Homes_calc!P13)))</f>
        <v>0</v>
      </c>
      <c r="AH13" s="169">
        <f>IF(partner_type="Manufacturer",Manufacturer!K13,IF(partner_type="Retailer/Distributor",'Retailer or Distributor'!K13,IF(partner_type="Utility/District",'Utility or District'!K13,Homes_calc!Q13)))</f>
        <v>0</v>
      </c>
      <c r="AI13" s="249">
        <f>SUM(ship[[#This Row],[Toilets]:[SSBs]])</f>
        <v>0</v>
      </c>
      <c r="AK13" s="187">
        <v>2013</v>
      </c>
      <c r="AL13" s="172">
        <f>IF($AK13&gt;current_year,"",SUMPRODUCT(Z$7:Z13,INDEX(retfunct[],50-(0),COUNT($AV12:AW12)):INDEX(retfunct[],50-($AK14-$AK$8),COUNT($AV12:AW12))))</f>
        <v>0</v>
      </c>
      <c r="AM13" s="172">
        <f>IF($AK13&gt;current_year,"",SUMPRODUCT(AA$7:AA13,INDEX(retfunct[],50-(0),COUNT($AV12:AX12)):INDEX(retfunct[],50-($AK14-$AK$8),COUNT($AV12:AX12))))</f>
        <v>0</v>
      </c>
      <c r="AN13" s="172">
        <f>IF($AK13&gt;current_year,"",SUMPRODUCT(AB$7:AB13,INDEX(retfunct[],50-(0),COUNT($AV12:AY12)):INDEX(retfunct[],50-($AK14-$AK$8),COUNT($AV12:AY12))))</f>
        <v>0</v>
      </c>
      <c r="AO13" s="172">
        <f>IF($AK13&gt;current_year,"",SUMPRODUCT(AC$7:AC13,INDEX(retfunct[],50-(0),COUNT($AV12:AZ12)):INDEX(retfunct[],50-($AK14-$AK$8),COUNT($AV12:AZ12))))</f>
        <v>0</v>
      </c>
      <c r="AP13" s="172">
        <f>IF($AK13&gt;current_year,"",SUMPRODUCT(AD$7:AD13,INDEX(retfunct[],50-(0),COUNT($AV12:BA12)):INDEX(retfunct[],50-($AK14-$AK$8),COUNT($AV12:BA12))))</f>
        <v>0</v>
      </c>
      <c r="AQ13" s="172">
        <f>IF($AK13&gt;current_year,"",SUMPRODUCT(AE$7:AE13,INDEX(retfunct[],50-(0),COUNT($AV12:BB12)):INDEX(retfunct[],50-($AK14-$AK$8),COUNT($AV12:BB12))))</f>
        <v>0</v>
      </c>
      <c r="AR13" s="172">
        <f>IF($AK13&gt;current_year,"",SUMPRODUCT(AF$7:AF13,INDEX(retfunct[],50-(0),COUNT($AV12:BC12)):INDEX(retfunct[],50-($AK14-$AK$8),COUNT($AV12:BC12))))</f>
        <v>0</v>
      </c>
      <c r="AS13" s="172">
        <f>IF($AK13&gt;current_year,"",SUMPRODUCT(AG$7:AG13,INDEX(retfunct[],50-(0),COUNT($AV12:BD12)):INDEX(retfunct[],50-($AK14-$AK$8),COUNT($AV12:BD12))))</f>
        <v>0</v>
      </c>
      <c r="AT13" s="172">
        <f>IF($AK13&gt;current_year,"",SUMPRODUCT(AH$7:AH13,INDEX(retfunct[],50-(0),COUNT($AV12:BE12)):INDEX(retfunct[],50-($AK14-$AK$8),COUNT($AV12:BE12))))</f>
        <v>0</v>
      </c>
      <c r="AV13" s="198">
        <v>43</v>
      </c>
      <c r="AW13" s="173">
        <v>3.8095238095239292E-3</v>
      </c>
      <c r="AX13" s="173">
        <v>0</v>
      </c>
      <c r="AY13" s="173">
        <v>0</v>
      </c>
      <c r="AZ13" s="173">
        <v>0</v>
      </c>
      <c r="BA13" s="173">
        <v>0</v>
      </c>
      <c r="BB13" s="173">
        <v>0</v>
      </c>
      <c r="BC13" s="173">
        <v>0</v>
      </c>
      <c r="BD13" s="202">
        <v>0</v>
      </c>
      <c r="BE13" s="202">
        <v>0</v>
      </c>
    </row>
    <row r="14" spans="1:57">
      <c r="A14" s="178">
        <v>2014</v>
      </c>
      <c r="B14" s="172">
        <f t="shared" si="0"/>
        <v>0</v>
      </c>
      <c r="C14" s="172">
        <f t="shared" si="1"/>
        <v>0</v>
      </c>
      <c r="D14" s="172">
        <f t="shared" si="2"/>
        <v>0</v>
      </c>
      <c r="E14" s="172">
        <f t="shared" si="4"/>
        <v>0</v>
      </c>
      <c r="F14" s="172"/>
      <c r="G14" s="172">
        <f t="shared" si="5"/>
        <v>0</v>
      </c>
      <c r="H14" s="172">
        <f t="shared" si="6"/>
        <v>0</v>
      </c>
      <c r="I14" s="172"/>
      <c r="J14" s="172"/>
      <c r="K14" s="172">
        <f t="shared" si="3"/>
        <v>0</v>
      </c>
      <c r="L14" s="180">
        <f>SUM(K$7:K14)</f>
        <v>0</v>
      </c>
      <c r="N14" s="187">
        <v>2014</v>
      </c>
      <c r="O14" s="171">
        <v>1411.3730148984973</v>
      </c>
      <c r="P14" s="171">
        <v>1804.8674285820293</v>
      </c>
      <c r="Q14" s="171">
        <v>1838.7500658887279</v>
      </c>
      <c r="R14" s="171">
        <v>1274.1380919484532</v>
      </c>
      <c r="S14" s="172"/>
      <c r="T14" s="171">
        <v>1375.333970795122</v>
      </c>
      <c r="U14" s="171">
        <v>5338.3430615669577</v>
      </c>
      <c r="V14" s="189"/>
      <c r="W14" s="189"/>
      <c r="Y14" s="199">
        <v>2014</v>
      </c>
      <c r="Z14" s="169">
        <f>IF(partner_type="Manufacturer",Manufacturer!C14,IF(partner_type="Retailer/Distributor",'Retailer or Distributor'!C14,IF(partner_type="Utility/District",'Utility or District'!C14,Homes_calc!I14)))</f>
        <v>0</v>
      </c>
      <c r="AA14" s="169">
        <f>IF(partner_type="Manufacturer",Manufacturer!D14,IF(partner_type="Retailer/Distributor",'Retailer or Distributor'!D14,IF(partner_type="Utility/District",'Utility or District'!D14,Homes_calc!J14)))</f>
        <v>0</v>
      </c>
      <c r="AB14" s="169">
        <f>IF(partner_type="Manufacturer",Manufacturer!E14,IF(partner_type="Retailer/Distributor",'Retailer or Distributor'!E14,IF(partner_type="Utility/District",'Utility or District'!E14,Homes_calc!K14)))</f>
        <v>0</v>
      </c>
      <c r="AC14" s="169">
        <f>IF(partner_type="Manufacturer",Manufacturer!F14,IF(partner_type="Retailer/Distributor",'Retailer or Distributor'!F14,IF(partner_type="Utility/District",'Utility or District'!F14,Homes_calc!L14)))</f>
        <v>0</v>
      </c>
      <c r="AD14" s="169">
        <f>IF(partner_type="Manufacturer",Manufacturer!G14,IF(partner_type="Retailer/Distributor",'Retailer or Distributor'!G14,IF(partner_type="Utility/District",'Utility or District'!G14,Homes_calc!M14)))</f>
        <v>0</v>
      </c>
      <c r="AE14" s="169">
        <f>IF(partner_type="Manufacturer",Manufacturer!H14,IF(partner_type="Retailer/Distributor",'Retailer or Distributor'!H14,IF(partner_type="Utility/District",'Utility or District'!H14,Homes_calc!N14)))</f>
        <v>0</v>
      </c>
      <c r="AF14" s="169">
        <f>IF(partner_type="Manufacturer",Manufacturer!I14,IF(partner_type="Retailer/Distributor",'Retailer or Distributor'!I14,IF(partner_type="Utility/District",'Utility or District'!I14,Homes_calc!O14)))</f>
        <v>0</v>
      </c>
      <c r="AG14" s="169">
        <f>IF(partner_type="Manufacturer",Manufacturer!J14,IF(partner_type="Retailer/Distributor",'Retailer or Distributor'!J14,IF(partner_type="Utility/District",'Utility or District'!J14,Homes_calc!P14)))</f>
        <v>0</v>
      </c>
      <c r="AH14" s="169">
        <f>IF(partner_type="Manufacturer",Manufacturer!K14,IF(partner_type="Retailer/Distributor",'Retailer or Distributor'!K14,IF(partner_type="Utility/District",'Utility or District'!K14,Homes_calc!Q14)))</f>
        <v>0</v>
      </c>
      <c r="AI14" s="249">
        <f>SUM(ship[[#This Row],[Toilets]:[SSBs]])</f>
        <v>0</v>
      </c>
      <c r="AK14" s="187">
        <v>2014</v>
      </c>
      <c r="AL14" s="172">
        <f>IF($AK14&gt;current_year,"",SUMPRODUCT(Z$7:Z14,INDEX(retfunct[],50-(0),COUNT($AV13:AW13)):INDEX(retfunct[],50-($AK15-$AK$8),COUNT($AV13:AW13))))</f>
        <v>0</v>
      </c>
      <c r="AM14" s="172">
        <f>IF($AK14&gt;current_year,"",SUMPRODUCT(AA$7:AA14,INDEX(retfunct[],50-(0),COUNT($AV13:AX13)):INDEX(retfunct[],50-($AK15-$AK$8),COUNT($AV13:AX13))))</f>
        <v>0</v>
      </c>
      <c r="AN14" s="172">
        <f>IF($AK14&gt;current_year,"",SUMPRODUCT(AB$7:AB14,INDEX(retfunct[],50-(0),COUNT($AV13:AY13)):INDEX(retfunct[],50-($AK15-$AK$8),COUNT($AV13:AY13))))</f>
        <v>0</v>
      </c>
      <c r="AO14" s="172">
        <f>IF($AK14&gt;current_year,"",SUMPRODUCT(AC$7:AC14,INDEX(retfunct[],50-(0),COUNT($AV13:AZ13)):INDEX(retfunct[],50-($AK15-$AK$8),COUNT($AV13:AZ13))))</f>
        <v>0</v>
      </c>
      <c r="AP14" s="172">
        <f>IF($AK14&gt;current_year,"",SUMPRODUCT(AD$7:AD14,INDEX(retfunct[],50-(0),COUNT($AV13:BA13)):INDEX(retfunct[],50-($AK15-$AK$8),COUNT($AV13:BA13))))</f>
        <v>0</v>
      </c>
      <c r="AQ14" s="172">
        <f>IF($AK14&gt;current_year,"",SUMPRODUCT(AE$7:AE14,INDEX(retfunct[],50-(0),COUNT($AV13:BB13)):INDEX(retfunct[],50-($AK15-$AK$8),COUNT($AV13:BB13))))</f>
        <v>0</v>
      </c>
      <c r="AR14" s="172">
        <f>IF($AK14&gt;current_year,"",SUMPRODUCT(AF$7:AF14,INDEX(retfunct[],50-(0),COUNT($AV13:BC13)):INDEX(retfunct[],50-($AK15-$AK$8),COUNT($AV13:BC13))))</f>
        <v>0</v>
      </c>
      <c r="AS14" s="172">
        <f>IF($AK14&gt;current_year,"",SUMPRODUCT(AG$7:AG14,INDEX(retfunct[],50-(0),COUNT($AV13:BD13)):INDEX(retfunct[],50-($AK15-$AK$8),COUNT($AV13:BD13))))</f>
        <v>0</v>
      </c>
      <c r="AT14" s="172">
        <f>IF($AK14&gt;current_year,"",SUMPRODUCT(AH$7:AH14,INDEX(retfunct[],50-(0),COUNT($AV13:BE13)):INDEX(retfunct[],50-($AK15-$AK$8),COUNT($AV13:BE13))))</f>
        <v>0</v>
      </c>
      <c r="AV14" s="198">
        <v>42</v>
      </c>
      <c r="AW14" s="173">
        <v>1.1428571428571566E-2</v>
      </c>
      <c r="AX14" s="173">
        <v>0</v>
      </c>
      <c r="AY14" s="173">
        <v>0</v>
      </c>
      <c r="AZ14" s="173">
        <v>0</v>
      </c>
      <c r="BA14" s="173">
        <v>0</v>
      </c>
      <c r="BB14" s="173">
        <v>0</v>
      </c>
      <c r="BC14" s="173">
        <v>0</v>
      </c>
      <c r="BD14" s="202">
        <v>0</v>
      </c>
      <c r="BE14" s="202">
        <v>0</v>
      </c>
    </row>
    <row r="15" spans="1:57">
      <c r="A15" s="179">
        <v>2015</v>
      </c>
      <c r="B15" s="172">
        <f t="shared" si="0"/>
        <v>0</v>
      </c>
      <c r="C15" s="172">
        <f t="shared" si="1"/>
        <v>0</v>
      </c>
      <c r="D15" s="172">
        <f t="shared" si="2"/>
        <v>0</v>
      </c>
      <c r="E15" s="172">
        <f t="shared" si="4"/>
        <v>0</v>
      </c>
      <c r="F15" s="172"/>
      <c r="G15" s="172">
        <f t="shared" si="5"/>
        <v>0</v>
      </c>
      <c r="H15" s="172">
        <f t="shared" si="6"/>
        <v>0</v>
      </c>
      <c r="I15" s="172"/>
      <c r="J15" s="172"/>
      <c r="K15" s="172">
        <f t="shared" si="3"/>
        <v>0</v>
      </c>
      <c r="L15" s="180">
        <f>SUM(K$7:K15)</f>
        <v>0</v>
      </c>
      <c r="N15" s="187">
        <v>2015</v>
      </c>
      <c r="O15" s="171">
        <v>1407.6744612203506</v>
      </c>
      <c r="P15" s="171">
        <v>1806.852488042113</v>
      </c>
      <c r="Q15" s="171">
        <v>1840.7564304765644</v>
      </c>
      <c r="R15" s="171">
        <v>1265.4330731416596</v>
      </c>
      <c r="S15" s="172"/>
      <c r="T15" s="171">
        <v>1375.3339707951197</v>
      </c>
      <c r="U15" s="171">
        <v>5063.2231645784132</v>
      </c>
      <c r="V15" s="189"/>
      <c r="W15" s="189"/>
      <c r="Y15" s="199">
        <v>2015</v>
      </c>
      <c r="Z15" s="169">
        <f>IF(partner_type="Manufacturer",Manufacturer!C15,IF(partner_type="Retailer/Distributor",'Retailer or Distributor'!C15,IF(partner_type="Utility/District",'Utility or District'!C15,Homes_calc!I15)))</f>
        <v>0</v>
      </c>
      <c r="AA15" s="169">
        <f>IF(partner_type="Manufacturer",Manufacturer!D15,IF(partner_type="Retailer/Distributor",'Retailer or Distributor'!D15,IF(partner_type="Utility/District",'Utility or District'!D15,Homes_calc!J15)))</f>
        <v>0</v>
      </c>
      <c r="AB15" s="169">
        <f>IF(partner_type="Manufacturer",Manufacturer!E15,IF(partner_type="Retailer/Distributor",'Retailer or Distributor'!E15,IF(partner_type="Utility/District",'Utility or District'!E15,Homes_calc!K15)))</f>
        <v>0</v>
      </c>
      <c r="AC15" s="169">
        <f>IF(partner_type="Manufacturer",Manufacturer!F15,IF(partner_type="Retailer/Distributor",'Retailer or Distributor'!F15,IF(partner_type="Utility/District",'Utility or District'!F15,Homes_calc!L15)))</f>
        <v>0</v>
      </c>
      <c r="AD15" s="169">
        <f>IF(partner_type="Manufacturer",Manufacturer!G15,IF(partner_type="Retailer/Distributor",'Retailer or Distributor'!G15,IF(partner_type="Utility/District",'Utility or District'!G15,Homes_calc!M15)))</f>
        <v>0</v>
      </c>
      <c r="AE15" s="169">
        <f>IF(partner_type="Manufacturer",Manufacturer!H15,IF(partner_type="Retailer/Distributor",'Retailer or Distributor'!H15,IF(partner_type="Utility/District",'Utility or District'!H15,Homes_calc!N15)))</f>
        <v>0</v>
      </c>
      <c r="AF15" s="169">
        <f>IF(partner_type="Manufacturer",Manufacturer!I15,IF(partner_type="Retailer/Distributor",'Retailer or Distributor'!I15,IF(partner_type="Utility/District",'Utility or District'!I15,Homes_calc!O15)))</f>
        <v>0</v>
      </c>
      <c r="AG15" s="169">
        <f>IF(partner_type="Manufacturer",Manufacturer!J15,IF(partner_type="Retailer/Distributor",'Retailer or Distributor'!J15,IF(partner_type="Utility/District",'Utility or District'!J15,Homes_calc!P15)))</f>
        <v>0</v>
      </c>
      <c r="AH15" s="169">
        <f>IF(partner_type="Manufacturer",Manufacturer!K15,IF(partner_type="Retailer/Distributor",'Retailer or Distributor'!K15,IF(partner_type="Utility/District",'Utility or District'!K15,Homes_calc!Q15)))</f>
        <v>0</v>
      </c>
      <c r="AI15" s="249">
        <f>SUM(ship[[#This Row],[Toilets]:[SSBs]])</f>
        <v>0</v>
      </c>
      <c r="AK15" s="187">
        <v>2015</v>
      </c>
      <c r="AL15" s="172">
        <f>IF($AK15&gt;current_year,"",SUMPRODUCT(Z$7:Z15,INDEX(retfunct[],50-(0),COUNT($AV14:AW14)):INDEX(retfunct[],50-($AK16-$AK$8),COUNT($AV14:AW14))))</f>
        <v>0</v>
      </c>
      <c r="AM15" s="172">
        <f>IF($AK15&gt;current_year,"",SUMPRODUCT(AA$7:AA15,INDEX(retfunct[],50-(0),COUNT($AV14:AX14)):INDEX(retfunct[],50-($AK16-$AK$8),COUNT($AV14:AX14))))</f>
        <v>0</v>
      </c>
      <c r="AN15" s="172">
        <f>IF($AK15&gt;current_year,"",SUMPRODUCT(AB$7:AB15,INDEX(retfunct[],50-(0),COUNT($AV14:AY14)):INDEX(retfunct[],50-($AK16-$AK$8),COUNT($AV14:AY14))))</f>
        <v>0</v>
      </c>
      <c r="AO15" s="172">
        <f>IF($AK15&gt;current_year,"",SUMPRODUCT(AC$7:AC15,INDEX(retfunct[],50-(0),COUNT($AV14:AZ14)):INDEX(retfunct[],50-($AK16-$AK$8),COUNT($AV14:AZ14))))</f>
        <v>0</v>
      </c>
      <c r="AP15" s="172">
        <f>IF($AK15&gt;current_year,"",SUMPRODUCT(AD$7:AD15,INDEX(retfunct[],50-(0),COUNT($AV14:BA14)):INDEX(retfunct[],50-($AK16-$AK$8),COUNT($AV14:BA14))))</f>
        <v>0</v>
      </c>
      <c r="AQ15" s="172">
        <f>IF($AK15&gt;current_year,"",SUMPRODUCT(AE$7:AE15,INDEX(retfunct[],50-(0),COUNT($AV14:BB14)):INDEX(retfunct[],50-($AK16-$AK$8),COUNT($AV14:BB14))))</f>
        <v>0</v>
      </c>
      <c r="AR15" s="172">
        <f>IF($AK15&gt;current_year,"",SUMPRODUCT(AF$7:AF15,INDEX(retfunct[],50-(0),COUNT($AV14:BC14)):INDEX(retfunct[],50-($AK16-$AK$8),COUNT($AV14:BC14))))</f>
        <v>0</v>
      </c>
      <c r="AS15" s="172">
        <f>IF($AK15&gt;current_year,"",SUMPRODUCT(AG$7:AG15,INDEX(retfunct[],50-(0),COUNT($AV14:BD14)):INDEX(retfunct[],50-($AK16-$AK$8),COUNT($AV14:BD14))))</f>
        <v>0</v>
      </c>
      <c r="AT15" s="172">
        <f>IF($AK15&gt;current_year,"",SUMPRODUCT(AH$7:AH15,INDEX(retfunct[],50-(0),COUNT($AV14:BE14)):INDEX(retfunct[],50-($AK16-$AK$8),COUNT($AV14:BE14))))</f>
        <v>0</v>
      </c>
      <c r="AV15" s="198">
        <v>41</v>
      </c>
      <c r="AW15" s="173">
        <v>2.285714285714302E-2</v>
      </c>
      <c r="AX15" s="173">
        <v>0</v>
      </c>
      <c r="AY15" s="173">
        <v>0</v>
      </c>
      <c r="AZ15" s="173">
        <v>0</v>
      </c>
      <c r="BA15" s="173">
        <v>0</v>
      </c>
      <c r="BB15" s="173">
        <v>0</v>
      </c>
      <c r="BC15" s="173">
        <v>0</v>
      </c>
      <c r="BD15" s="202">
        <v>0</v>
      </c>
      <c r="BE15" s="202">
        <v>0</v>
      </c>
    </row>
    <row r="16" spans="1:57">
      <c r="A16" s="178">
        <v>2016</v>
      </c>
      <c r="B16" s="172">
        <f t="shared" si="0"/>
        <v>0</v>
      </c>
      <c r="C16" s="172">
        <f t="shared" si="1"/>
        <v>0</v>
      </c>
      <c r="D16" s="172">
        <f t="shared" si="2"/>
        <v>0</v>
      </c>
      <c r="E16" s="172">
        <f t="shared" si="4"/>
        <v>0</v>
      </c>
      <c r="F16" s="172">
        <f t="shared" ref="F16:F22" si="7">AP16*S16</f>
        <v>0</v>
      </c>
      <c r="G16" s="172">
        <f t="shared" si="5"/>
        <v>0</v>
      </c>
      <c r="H16" s="172">
        <f t="shared" si="6"/>
        <v>0</v>
      </c>
      <c r="I16" s="172"/>
      <c r="J16" s="172"/>
      <c r="K16" s="172">
        <f t="shared" si="3"/>
        <v>0</v>
      </c>
      <c r="L16" s="180">
        <f>SUM(K$7:K16)</f>
        <v>0</v>
      </c>
      <c r="N16" s="187">
        <v>2016</v>
      </c>
      <c r="O16" s="171">
        <v>1398.3976309139773</v>
      </c>
      <c r="P16" s="171">
        <v>1803.2060859116293</v>
      </c>
      <c r="Q16" s="171">
        <v>1840.1749748651443</v>
      </c>
      <c r="R16" s="171">
        <v>1250.7108529649261</v>
      </c>
      <c r="S16" s="171">
        <v>788.24935177360408</v>
      </c>
      <c r="T16" s="171">
        <v>1375.3339707951222</v>
      </c>
      <c r="U16" s="171">
        <v>4730.4866248990447</v>
      </c>
      <c r="V16" s="189"/>
      <c r="W16" s="189"/>
      <c r="Y16" s="199">
        <v>2016</v>
      </c>
      <c r="Z16" s="169">
        <f>IF(partner_type="Manufacturer",Manufacturer!C16,IF(partner_type="Retailer/Distributor",'Retailer or Distributor'!C16,IF(partner_type="Utility/District",'Utility or District'!C16,Homes_calc!I16)))</f>
        <v>0</v>
      </c>
      <c r="AA16" s="169">
        <f>IF(partner_type="Manufacturer",Manufacturer!D16,IF(partner_type="Retailer/Distributor",'Retailer or Distributor'!D16,IF(partner_type="Utility/District",'Utility or District'!D16,Homes_calc!J16)))</f>
        <v>0</v>
      </c>
      <c r="AB16" s="169">
        <f>IF(partner_type="Manufacturer",Manufacturer!E16,IF(partner_type="Retailer/Distributor",'Retailer or Distributor'!E16,IF(partner_type="Utility/District",'Utility or District'!E16,Homes_calc!K16)))</f>
        <v>0</v>
      </c>
      <c r="AC16" s="169">
        <f>IF(partner_type="Manufacturer",Manufacturer!F16,IF(partner_type="Retailer/Distributor",'Retailer or Distributor'!F16,IF(partner_type="Utility/District",'Utility or District'!F16,Homes_calc!L16)))</f>
        <v>0</v>
      </c>
      <c r="AD16" s="169">
        <f>IF(partner_type="Manufacturer",Manufacturer!G16,IF(partner_type="Retailer/Distributor",'Retailer or Distributor'!G16,IF(partner_type="Utility/District",'Utility or District'!G16,Homes_calc!M16)))</f>
        <v>0</v>
      </c>
      <c r="AE16" s="169">
        <f>IF(partner_type="Manufacturer",Manufacturer!H16,IF(partner_type="Retailer/Distributor",'Retailer or Distributor'!H16,IF(partner_type="Utility/District",'Utility or District'!H16,Homes_calc!N16)))</f>
        <v>0</v>
      </c>
      <c r="AF16" s="169">
        <f>IF(partner_type="Manufacturer",Manufacturer!I16,IF(partner_type="Retailer/Distributor",'Retailer or Distributor'!I16,IF(partner_type="Utility/District",'Utility or District'!I16,Homes_calc!O16)))</f>
        <v>0</v>
      </c>
      <c r="AG16" s="169">
        <f>IF(partner_type="Manufacturer",Manufacturer!J16,IF(partner_type="Retailer/Distributor",'Retailer or Distributor'!J16,IF(partner_type="Utility/District",'Utility or District'!J16,Homes_calc!P16)))</f>
        <v>0</v>
      </c>
      <c r="AH16" s="169">
        <f>IF(partner_type="Manufacturer",Manufacturer!K16,IF(partner_type="Retailer/Distributor",'Retailer or Distributor'!K16,IF(partner_type="Utility/District",'Utility or District'!K16,Homes_calc!Q16)))</f>
        <v>0</v>
      </c>
      <c r="AI16" s="249">
        <f>SUM(ship[[#This Row],[Toilets]:[SSBs]])</f>
        <v>0</v>
      </c>
      <c r="AK16" s="187">
        <v>2016</v>
      </c>
      <c r="AL16" s="172">
        <f>IF($AK16&gt;current_year,"",SUMPRODUCT(Z$7:Z16,INDEX(retfunct[],50-(0),COUNT($AV15:AW15)):INDEX(retfunct[],50-($AK17-$AK$8),COUNT($AV15:AW15))))</f>
        <v>0</v>
      </c>
      <c r="AM16" s="172">
        <f>IF($AK16&gt;current_year,"",SUMPRODUCT(AA$7:AA16,INDEX(retfunct[],50-(0),COUNT($AV15:AX15)):INDEX(retfunct[],50-($AK17-$AK$8),COUNT($AV15:AX15))))</f>
        <v>0</v>
      </c>
      <c r="AN16" s="172">
        <f>IF($AK16&gt;current_year,"",SUMPRODUCT(AB$7:AB16,INDEX(retfunct[],50-(0),COUNT($AV15:AY15)):INDEX(retfunct[],50-($AK17-$AK$8),COUNT($AV15:AY15))))</f>
        <v>0</v>
      </c>
      <c r="AO16" s="172">
        <f>IF($AK16&gt;current_year,"",SUMPRODUCT(AC$7:AC16,INDEX(retfunct[],50-(0),COUNT($AV15:AZ15)):INDEX(retfunct[],50-($AK17-$AK$8),COUNT($AV15:AZ15))))</f>
        <v>0</v>
      </c>
      <c r="AP16" s="172">
        <f>IF($AK16&gt;current_year,"",SUMPRODUCT(AD$7:AD16,INDEX(retfunct[],50-(0),COUNT($AV15:BA15)):INDEX(retfunct[],50-($AK17-$AK$8),COUNT($AV15:BA15))))</f>
        <v>0</v>
      </c>
      <c r="AQ16" s="172">
        <f>IF($AK16&gt;current_year,"",SUMPRODUCT(AE$7:AE16,INDEX(retfunct[],50-(0),COUNT($AV15:BB15)):INDEX(retfunct[],50-($AK17-$AK$8),COUNT($AV15:BB15))))</f>
        <v>0</v>
      </c>
      <c r="AR16" s="172">
        <f>IF($AK16&gt;current_year,"",SUMPRODUCT(AF$7:AF16,INDEX(retfunct[],50-(0),COUNT($AV15:BC15)):INDEX(retfunct[],50-($AK17-$AK$8),COUNT($AV15:BC15))))</f>
        <v>0</v>
      </c>
      <c r="AS16" s="172">
        <f>IF($AK16&gt;current_year,"",SUMPRODUCT(AG$7:AG16,INDEX(retfunct[],50-(0),COUNT($AV15:BD15)):INDEX(retfunct[],50-($AK17-$AK$8),COUNT($AV15:BD15))))</f>
        <v>0</v>
      </c>
      <c r="AT16" s="172">
        <f>IF($AK16&gt;current_year,"",SUMPRODUCT(AH$7:AH16,INDEX(retfunct[],50-(0),COUNT($AV15:BE15)):INDEX(retfunct[],50-($AK17-$AK$8),COUNT($AV15:BE15))))</f>
        <v>0</v>
      </c>
      <c r="AV16" s="198">
        <v>40</v>
      </c>
      <c r="AW16" s="173">
        <v>3.8095238095238293E-2</v>
      </c>
      <c r="AX16" s="173">
        <v>0</v>
      </c>
      <c r="AY16" s="173">
        <v>0</v>
      </c>
      <c r="AZ16" s="173">
        <v>0</v>
      </c>
      <c r="BA16" s="173">
        <v>0</v>
      </c>
      <c r="BB16" s="173">
        <v>0</v>
      </c>
      <c r="BC16" s="173">
        <v>0</v>
      </c>
      <c r="BD16" s="202">
        <v>0</v>
      </c>
      <c r="BE16" s="202">
        <v>0</v>
      </c>
    </row>
    <row r="17" spans="1:57">
      <c r="A17" s="179">
        <v>2017</v>
      </c>
      <c r="B17" s="172">
        <f t="shared" si="0"/>
        <v>0</v>
      </c>
      <c r="C17" s="172">
        <f t="shared" si="1"/>
        <v>0</v>
      </c>
      <c r="D17" s="172">
        <f t="shared" si="2"/>
        <v>0</v>
      </c>
      <c r="E17" s="172">
        <f t="shared" si="4"/>
        <v>0</v>
      </c>
      <c r="F17" s="172">
        <f t="shared" si="7"/>
        <v>0</v>
      </c>
      <c r="G17" s="172">
        <f t="shared" si="5"/>
        <v>0</v>
      </c>
      <c r="H17" s="172">
        <f t="shared" si="6"/>
        <v>0</v>
      </c>
      <c r="I17" s="172"/>
      <c r="J17" s="172"/>
      <c r="K17" s="172">
        <f t="shared" si="3"/>
        <v>0</v>
      </c>
      <c r="L17" s="180">
        <f>SUM(K$7:K17)</f>
        <v>0</v>
      </c>
      <c r="N17" s="187">
        <v>2017</v>
      </c>
      <c r="O17" s="171">
        <v>1387.347085601936</v>
      </c>
      <c r="P17" s="171">
        <v>1794.9192788333949</v>
      </c>
      <c r="Q17" s="171">
        <v>1837.4903583944695</v>
      </c>
      <c r="R17" s="171">
        <v>1236.264159592175</v>
      </c>
      <c r="S17" s="171">
        <v>788.24935177358736</v>
      </c>
      <c r="T17" s="171">
        <v>1375.3339707951193</v>
      </c>
      <c r="U17" s="171">
        <v>4353.3100012826972</v>
      </c>
      <c r="V17" s="189"/>
      <c r="W17" s="189"/>
      <c r="Y17" s="199">
        <v>2017</v>
      </c>
      <c r="Z17" s="169">
        <f>IF(partner_type="Manufacturer",Manufacturer!C17,IF(partner_type="Retailer/Distributor",'Retailer or Distributor'!C17,IF(partner_type="Utility/District",'Utility or District'!C17,Homes_calc!I17)))</f>
        <v>0</v>
      </c>
      <c r="AA17" s="169">
        <f>IF(partner_type="Manufacturer",Manufacturer!D17,IF(partner_type="Retailer/Distributor",'Retailer or Distributor'!D17,IF(partner_type="Utility/District",'Utility or District'!D17,Homes_calc!J17)))</f>
        <v>0</v>
      </c>
      <c r="AB17" s="169">
        <f>IF(partner_type="Manufacturer",Manufacturer!E17,IF(partner_type="Retailer/Distributor",'Retailer or Distributor'!E17,IF(partner_type="Utility/District",'Utility or District'!E17,Homes_calc!K17)))</f>
        <v>0</v>
      </c>
      <c r="AC17" s="169">
        <f>IF(partner_type="Manufacturer",Manufacturer!F17,IF(partner_type="Retailer/Distributor",'Retailer or Distributor'!F17,IF(partner_type="Utility/District",'Utility or District'!F17,Homes_calc!L17)))</f>
        <v>0</v>
      </c>
      <c r="AD17" s="169">
        <f>IF(partner_type="Manufacturer",Manufacturer!G17,IF(partner_type="Retailer/Distributor",'Retailer or Distributor'!G17,IF(partner_type="Utility/District",'Utility or District'!G17,Homes_calc!M17)))</f>
        <v>0</v>
      </c>
      <c r="AE17" s="169">
        <f>IF(partner_type="Manufacturer",Manufacturer!H17,IF(partner_type="Retailer/Distributor",'Retailer or Distributor'!H17,IF(partner_type="Utility/District",'Utility or District'!H17,Homes_calc!N17)))</f>
        <v>0</v>
      </c>
      <c r="AF17" s="169">
        <f>IF(partner_type="Manufacturer",Manufacturer!I17,IF(partner_type="Retailer/Distributor",'Retailer or Distributor'!I17,IF(partner_type="Utility/District",'Utility or District'!I17,Homes_calc!O17)))</f>
        <v>0</v>
      </c>
      <c r="AG17" s="169">
        <f>IF(partner_type="Manufacturer",Manufacturer!J17,IF(partner_type="Retailer/Distributor",'Retailer or Distributor'!J17,IF(partner_type="Utility/District",'Utility or District'!J17,Homes_calc!P17)))</f>
        <v>0</v>
      </c>
      <c r="AH17" s="169">
        <f>IF(partner_type="Manufacturer",Manufacturer!K17,IF(partner_type="Retailer/Distributor",'Retailer or Distributor'!K17,IF(partner_type="Utility/District",'Utility or District'!K17,Homes_calc!Q17)))</f>
        <v>0</v>
      </c>
      <c r="AI17" s="249">
        <f>SUM(ship[[#This Row],[Toilets]:[SSBs]])</f>
        <v>0</v>
      </c>
      <c r="AK17" s="187">
        <v>2017</v>
      </c>
      <c r="AL17" s="172">
        <f>IF($AK17&gt;current_year,"",SUMPRODUCT(Z$7:Z17,INDEX(retfunct[],50-(0),COUNT($AV16:AW16)):INDEX(retfunct[],50-($AK18-$AK$8),COUNT($AV16:AW16))))</f>
        <v>0</v>
      </c>
      <c r="AM17" s="172">
        <f>IF($AK17&gt;current_year,"",SUMPRODUCT(AA$7:AA17,INDEX(retfunct[],50-(0),COUNT($AV16:AX16)):INDEX(retfunct[],50-($AK18-$AK$8),COUNT($AV16:AX16))))</f>
        <v>0</v>
      </c>
      <c r="AN17" s="172">
        <f>IF($AK17&gt;current_year,"",SUMPRODUCT(AB$7:AB17,INDEX(retfunct[],50-(0),COUNT($AV16:AY16)):INDEX(retfunct[],50-($AK18-$AK$8),COUNT($AV16:AY16))))</f>
        <v>0</v>
      </c>
      <c r="AO17" s="172">
        <f>IF($AK17&gt;current_year,"",SUMPRODUCT(AC$7:AC17,INDEX(retfunct[],50-(0),COUNT($AV16:AZ16)):INDEX(retfunct[],50-($AK18-$AK$8),COUNT($AV16:AZ16))))</f>
        <v>0</v>
      </c>
      <c r="AP17" s="172">
        <f>IF($AK17&gt;current_year,"",SUMPRODUCT(AD$7:AD17,INDEX(retfunct[],50-(0),COUNT($AV16:BA16)):INDEX(retfunct[],50-($AK18-$AK$8),COUNT($AV16:BA16))))</f>
        <v>0</v>
      </c>
      <c r="AQ17" s="172">
        <f>IF($AK17&gt;current_year,"",SUMPRODUCT(AE$7:AE17,INDEX(retfunct[],50-(0),COUNT($AV16:BB16)):INDEX(retfunct[],50-($AK18-$AK$8),COUNT($AV16:BB16))))</f>
        <v>0</v>
      </c>
      <c r="AR17" s="172">
        <f>IF($AK17&gt;current_year,"",SUMPRODUCT(AF$7:AF17,INDEX(retfunct[],50-(0),COUNT($AV16:BC16)):INDEX(retfunct[],50-($AK18-$AK$8),COUNT($AV16:BC16))))</f>
        <v>0</v>
      </c>
      <c r="AS17" s="172">
        <f>IF($AK17&gt;current_year,"",SUMPRODUCT(AG$7:AG17,INDEX(retfunct[],50-(0),COUNT($AV16:BD16)):INDEX(retfunct[],50-($AK18-$AK$8),COUNT($AV16:BD16))))</f>
        <v>0</v>
      </c>
      <c r="AT17" s="172">
        <f>IF($AK17&gt;current_year,"",SUMPRODUCT(AH$7:AH17,INDEX(retfunct[],50-(0),COUNT($AV16:BE16)):INDEX(retfunct[],50-($AK18-$AK$8),COUNT($AV16:BE16))))</f>
        <v>0</v>
      </c>
      <c r="AV17" s="198">
        <v>39</v>
      </c>
      <c r="AW17" s="173">
        <v>5.7142857142857273E-2</v>
      </c>
      <c r="AX17" s="173">
        <v>0</v>
      </c>
      <c r="AY17" s="173">
        <v>0</v>
      </c>
      <c r="AZ17" s="173">
        <v>0</v>
      </c>
      <c r="BA17" s="173">
        <v>0</v>
      </c>
      <c r="BB17" s="173">
        <v>0</v>
      </c>
      <c r="BC17" s="173">
        <v>0</v>
      </c>
      <c r="BD17" s="202">
        <v>0</v>
      </c>
      <c r="BE17" s="202">
        <v>0</v>
      </c>
    </row>
    <row r="18" spans="1:57">
      <c r="A18" s="178">
        <v>2018</v>
      </c>
      <c r="B18" s="172">
        <f t="shared" si="0"/>
        <v>0</v>
      </c>
      <c r="C18" s="172">
        <f t="shared" si="1"/>
        <v>0</v>
      </c>
      <c r="D18" s="172">
        <f t="shared" si="2"/>
        <v>0</v>
      </c>
      <c r="E18" s="172">
        <f t="shared" si="4"/>
        <v>0</v>
      </c>
      <c r="F18" s="172">
        <f t="shared" si="7"/>
        <v>0</v>
      </c>
      <c r="G18" s="172">
        <f t="shared" si="5"/>
        <v>0</v>
      </c>
      <c r="H18" s="172">
        <f t="shared" si="6"/>
        <v>0</v>
      </c>
      <c r="I18" s="172"/>
      <c r="J18" s="172">
        <f>AT18*W18</f>
        <v>0</v>
      </c>
      <c r="K18" s="172">
        <f t="shared" si="3"/>
        <v>0</v>
      </c>
      <c r="L18" s="180">
        <f>SUM(K$7:K18)</f>
        <v>0</v>
      </c>
      <c r="N18" s="187">
        <v>2018</v>
      </c>
      <c r="O18" s="171">
        <v>1374.1327205818013</v>
      </c>
      <c r="P18" s="171">
        <v>1786.1806301669396</v>
      </c>
      <c r="Q18" s="171">
        <v>1831.3296593755317</v>
      </c>
      <c r="R18" s="171">
        <v>1222.6333922513782</v>
      </c>
      <c r="S18" s="171">
        <v>788.24935177357827</v>
      </c>
      <c r="T18" s="171">
        <v>1375.3339707951279</v>
      </c>
      <c r="U18" s="171">
        <v>4079.5829758903096</v>
      </c>
      <c r="V18" s="189"/>
      <c r="W18" s="171">
        <v>53.379464943505937</v>
      </c>
      <c r="Y18" s="199">
        <v>2018</v>
      </c>
      <c r="Z18" s="169">
        <f>IF(partner_type="Manufacturer",Manufacturer!C18,IF(partner_type="Retailer/Distributor",'Retailer or Distributor'!C18,IF(partner_type="Utility/District",'Utility or District'!C18,Homes_calc!I18)))</f>
        <v>0</v>
      </c>
      <c r="AA18" s="169">
        <f>IF(partner_type="Manufacturer",Manufacturer!D18,IF(partner_type="Retailer/Distributor",'Retailer or Distributor'!D18,IF(partner_type="Utility/District",'Utility or District'!D18,Homes_calc!J18)))</f>
        <v>0</v>
      </c>
      <c r="AB18" s="169">
        <f>IF(partner_type="Manufacturer",Manufacturer!E18,IF(partner_type="Retailer/Distributor",'Retailer or Distributor'!E18,IF(partner_type="Utility/District",'Utility or District'!E18,Homes_calc!K18)))</f>
        <v>0</v>
      </c>
      <c r="AC18" s="169">
        <f>IF(partner_type="Manufacturer",Manufacturer!F18,IF(partner_type="Retailer/Distributor",'Retailer or Distributor'!F18,IF(partner_type="Utility/District",'Utility or District'!F18,Homes_calc!L18)))</f>
        <v>0</v>
      </c>
      <c r="AD18" s="169">
        <f>IF(partner_type="Manufacturer",Manufacturer!G18,IF(partner_type="Retailer/Distributor",'Retailer or Distributor'!G18,IF(partner_type="Utility/District",'Utility or District'!G18,Homes_calc!M18)))</f>
        <v>0</v>
      </c>
      <c r="AE18" s="169">
        <f>IF(partner_type="Manufacturer",Manufacturer!H18,IF(partner_type="Retailer/Distributor",'Retailer or Distributor'!H18,IF(partner_type="Utility/District",'Utility or District'!H18,Homes_calc!N18)))</f>
        <v>0</v>
      </c>
      <c r="AF18" s="169">
        <f>IF(partner_type="Manufacturer",Manufacturer!I18,IF(partner_type="Retailer/Distributor",'Retailer or Distributor'!I18,IF(partner_type="Utility/District",'Utility or District'!I18,Homes_calc!O18)))</f>
        <v>0</v>
      </c>
      <c r="AG18" s="169">
        <f>IF(partner_type="Manufacturer",Manufacturer!J18,IF(partner_type="Retailer/Distributor",'Retailer or Distributor'!J18,IF(partner_type="Utility/District",'Utility or District'!J18,Homes_calc!P18)))</f>
        <v>0</v>
      </c>
      <c r="AH18" s="169">
        <f>IF(partner_type="Manufacturer",Manufacturer!K18,IF(partner_type="Retailer/Distributor",'Retailer or Distributor'!K18,IF(partner_type="Utility/District",'Utility or District'!K18,Homes_calc!Q18)))</f>
        <v>0</v>
      </c>
      <c r="AI18" s="249">
        <f>SUM(ship[[#This Row],[Toilets]:[SSBs]])</f>
        <v>0</v>
      </c>
      <c r="AK18" s="187">
        <v>2018</v>
      </c>
      <c r="AL18" s="172">
        <f>IF($AK18&gt;current_year,"",SUMPRODUCT(Z$7:Z18,INDEX(retfunct[],50-(0),COUNT($AV17:AW17)):INDEX(retfunct[],50-($AK19-$AK$8),COUNT($AV17:AW17))))</f>
        <v>0</v>
      </c>
      <c r="AM18" s="172">
        <f>IF($AK18&gt;current_year,"",SUMPRODUCT(AA$7:AA18,INDEX(retfunct[],50-(0),COUNT($AV17:AX17)):INDEX(retfunct[],50-($AK19-$AK$8),COUNT($AV17:AX17))))</f>
        <v>0</v>
      </c>
      <c r="AN18" s="172">
        <f>IF($AK18&gt;current_year,"",SUMPRODUCT(AB$7:AB18,INDEX(retfunct[],50-(0),COUNT($AV17:AY17)):INDEX(retfunct[],50-($AK19-$AK$8),COUNT($AV17:AY17))))</f>
        <v>0</v>
      </c>
      <c r="AO18" s="172">
        <f>IF($AK18&gt;current_year,"",SUMPRODUCT(AC$7:AC18,INDEX(retfunct[],50-(0),COUNT($AV17:AZ17)):INDEX(retfunct[],50-($AK19-$AK$8),COUNT($AV17:AZ17))))</f>
        <v>0</v>
      </c>
      <c r="AP18" s="172">
        <f>IF($AK18&gt;current_year,"",SUMPRODUCT(AD$7:AD18,INDEX(retfunct[],50-(0),COUNT($AV17:BA17)):INDEX(retfunct[],50-($AK19-$AK$8),COUNT($AV17:BA17))))</f>
        <v>0</v>
      </c>
      <c r="AQ18" s="172">
        <f>IF($AK18&gt;current_year,"",SUMPRODUCT(AE$7:AE18,INDEX(retfunct[],50-(0),COUNT($AV17:BB17)):INDEX(retfunct[],50-($AK19-$AK$8),COUNT($AV17:BB17))))</f>
        <v>0</v>
      </c>
      <c r="AR18" s="172">
        <f>IF($AK18&gt;current_year,"",SUMPRODUCT(AF$7:AF18,INDEX(retfunct[],50-(0),COUNT($AV17:BC17)):INDEX(retfunct[],50-($AK19-$AK$8),COUNT($AV17:BC17))))</f>
        <v>0</v>
      </c>
      <c r="AS18" s="172">
        <f>IF($AK18&gt;current_year,"",SUMPRODUCT(AG$7:AG18,INDEX(retfunct[],50-(0),COUNT($AV17:BD17)):INDEX(retfunct[],50-($AK19-$AK$8),COUNT($AV17:BD17))))</f>
        <v>0</v>
      </c>
      <c r="AT18" s="172">
        <f>IF($AK18&gt;current_year,"",SUMPRODUCT(AH$7:AH18,INDEX(retfunct[],50-(0),COUNT($AV17:BE17)):INDEX(retfunct[],50-($AK19-$AK$8),COUNT($AV17:BE17))))</f>
        <v>0</v>
      </c>
      <c r="AV18" s="198">
        <v>38</v>
      </c>
      <c r="AW18" s="173">
        <v>8.0000000000000071E-2</v>
      </c>
      <c r="AX18" s="173">
        <v>0</v>
      </c>
      <c r="AY18" s="173">
        <v>0</v>
      </c>
      <c r="AZ18" s="173">
        <v>0</v>
      </c>
      <c r="BA18" s="173">
        <v>0</v>
      </c>
      <c r="BB18" s="173">
        <v>0</v>
      </c>
      <c r="BC18" s="173">
        <v>0</v>
      </c>
      <c r="BD18" s="202">
        <v>0</v>
      </c>
      <c r="BE18" s="202">
        <v>0</v>
      </c>
    </row>
    <row r="19" spans="1:57">
      <c r="A19" s="179">
        <v>2019</v>
      </c>
      <c r="B19" s="172">
        <f t="shared" si="0"/>
        <v>0</v>
      </c>
      <c r="C19" s="172">
        <f t="shared" si="1"/>
        <v>0</v>
      </c>
      <c r="D19" s="172">
        <f t="shared" si="2"/>
        <v>0</v>
      </c>
      <c r="E19" s="172">
        <f t="shared" si="4"/>
        <v>0</v>
      </c>
      <c r="F19" s="172">
        <f t="shared" si="7"/>
        <v>0</v>
      </c>
      <c r="G19" s="172">
        <f t="shared" si="5"/>
        <v>0</v>
      </c>
      <c r="H19" s="172">
        <f t="shared" si="6"/>
        <v>0</v>
      </c>
      <c r="I19" s="172"/>
      <c r="J19" s="172">
        <f>AT19*W19</f>
        <v>0</v>
      </c>
      <c r="K19" s="172">
        <f t="shared" si="3"/>
        <v>0</v>
      </c>
      <c r="L19" s="180">
        <f>SUM(K$7:K19)</f>
        <v>0</v>
      </c>
      <c r="N19" s="187">
        <v>2019</v>
      </c>
      <c r="O19" s="171">
        <v>1360.2217871160194</v>
      </c>
      <c r="P19" s="171">
        <v>1772.760819812032</v>
      </c>
      <c r="Q19" s="171">
        <v>1822.8341309783373</v>
      </c>
      <c r="R19" s="171">
        <v>1207.8991041213899</v>
      </c>
      <c r="S19" s="171">
        <v>788.24935177357031</v>
      </c>
      <c r="T19" s="171">
        <v>1375.3339707951197</v>
      </c>
      <c r="U19" s="171">
        <v>3841.5358088200505</v>
      </c>
      <c r="V19" s="189"/>
      <c r="W19" s="171">
        <v>50.84458679125062</v>
      </c>
      <c r="Y19" s="199">
        <v>2019</v>
      </c>
      <c r="Z19" s="169">
        <f>IF(partner_type="Manufacturer",Manufacturer!C19,IF(partner_type="Retailer/Distributor",'Retailer or Distributor'!C19,IF(partner_type="Utility/District",'Utility or District'!C19,Homes_calc!I19)))</f>
        <v>0</v>
      </c>
      <c r="AA19" s="169">
        <f>IF(partner_type="Manufacturer",Manufacturer!D19,IF(partner_type="Retailer/Distributor",'Retailer or Distributor'!D19,IF(partner_type="Utility/District",'Utility or District'!D19,Homes_calc!J19)))</f>
        <v>0</v>
      </c>
      <c r="AB19" s="169">
        <f>IF(partner_type="Manufacturer",Manufacturer!E19,IF(partner_type="Retailer/Distributor",'Retailer or Distributor'!E19,IF(partner_type="Utility/District",'Utility or District'!E19,Homes_calc!K19)))</f>
        <v>0</v>
      </c>
      <c r="AC19" s="169">
        <f>IF(partner_type="Manufacturer",Manufacturer!F19,IF(partner_type="Retailer/Distributor",'Retailer or Distributor'!F19,IF(partner_type="Utility/District",'Utility or District'!F19,Homes_calc!L19)))</f>
        <v>0</v>
      </c>
      <c r="AD19" s="169">
        <f>IF(partner_type="Manufacturer",Manufacturer!G19,IF(partner_type="Retailer/Distributor",'Retailer or Distributor'!G19,IF(partner_type="Utility/District",'Utility or District'!G19,Homes_calc!M19)))</f>
        <v>0</v>
      </c>
      <c r="AE19" s="169">
        <f>IF(partner_type="Manufacturer",Manufacturer!H19,IF(partner_type="Retailer/Distributor",'Retailer or Distributor'!H19,IF(partner_type="Utility/District",'Utility or District'!H19,Homes_calc!N19)))</f>
        <v>0</v>
      </c>
      <c r="AF19" s="169">
        <f>IF(partner_type="Manufacturer",Manufacturer!I19,IF(partner_type="Retailer/Distributor",'Retailer or Distributor'!I19,IF(partner_type="Utility/District",'Utility or District'!I19,Homes_calc!O19)))</f>
        <v>0</v>
      </c>
      <c r="AG19" s="169">
        <f>IF(partner_type="Manufacturer",Manufacturer!J19,IF(partner_type="Retailer/Distributor",'Retailer or Distributor'!J19,IF(partner_type="Utility/District",'Utility or District'!J19,Homes_calc!P19)))</f>
        <v>0</v>
      </c>
      <c r="AH19" s="169">
        <f>IF(partner_type="Manufacturer",Manufacturer!K19,IF(partner_type="Retailer/Distributor",'Retailer or Distributor'!K19,IF(partner_type="Utility/District",'Utility or District'!K19,Homes_calc!Q19)))</f>
        <v>0</v>
      </c>
      <c r="AI19" s="249">
        <f>SUM(ship[[#This Row],[Toilets]:[SSBs]])</f>
        <v>0</v>
      </c>
      <c r="AK19" s="187">
        <v>2019</v>
      </c>
      <c r="AL19" s="172">
        <f>IF($AK19&gt;current_year,"",SUMPRODUCT(Z$7:Z19,INDEX(retfunct[],50-(0),COUNT($AV18:AW18)):INDEX(retfunct[],50-($AK20-$AK$8),COUNT($AV18:AW18))))</f>
        <v>0</v>
      </c>
      <c r="AM19" s="172">
        <f>IF($AK19&gt;current_year,"",SUMPRODUCT(AA$7:AA19,INDEX(retfunct[],50-(0),COUNT($AV18:AX18)):INDEX(retfunct[],50-($AK20-$AK$8),COUNT($AV18:AX18))))</f>
        <v>0</v>
      </c>
      <c r="AN19" s="172">
        <f>IF($AK19&gt;current_year,"",SUMPRODUCT(AB$7:AB19,INDEX(retfunct[],50-(0),COUNT($AV18:AY18)):INDEX(retfunct[],50-($AK20-$AK$8),COUNT($AV18:AY18))))</f>
        <v>0</v>
      </c>
      <c r="AO19" s="172">
        <f>IF($AK19&gt;current_year,"",SUMPRODUCT(AC$7:AC19,INDEX(retfunct[],50-(0),COUNT($AV18:AZ18)):INDEX(retfunct[],50-($AK20-$AK$8),COUNT($AV18:AZ18))))</f>
        <v>0</v>
      </c>
      <c r="AP19" s="172">
        <f>IF($AK19&gt;current_year,"",SUMPRODUCT(AD$7:AD19,INDEX(retfunct[],50-(0),COUNT($AV18:BA18)):INDEX(retfunct[],50-($AK20-$AK$8),COUNT($AV18:BA18))))</f>
        <v>0</v>
      </c>
      <c r="AQ19" s="172">
        <f>IF($AK19&gt;current_year,"",SUMPRODUCT(AE$7:AE19,INDEX(retfunct[],50-(0),COUNT($AV18:BB18)):INDEX(retfunct[],50-($AK20-$AK$8),COUNT($AV18:BB18))))</f>
        <v>0</v>
      </c>
      <c r="AR19" s="172">
        <f>IF($AK19&gt;current_year,"",SUMPRODUCT(AF$7:AF19,INDEX(retfunct[],50-(0),COUNT($AV18:BC18)):INDEX(retfunct[],50-($AK20-$AK$8),COUNT($AV18:BC18))))</f>
        <v>0</v>
      </c>
      <c r="AS19" s="172">
        <f>IF($AK19&gt;current_year,"",SUMPRODUCT(AG$7:AG19,INDEX(retfunct[],50-(0),COUNT($AV18:BD18)):INDEX(retfunct[],50-($AK20-$AK$8),COUNT($AV18:BD18))))</f>
        <v>0</v>
      </c>
      <c r="AT19" s="172">
        <f>IF($AK19&gt;current_year,"",SUMPRODUCT(AH$7:AH19,INDEX(retfunct[],50-(0),COUNT($AV18:BE18)):INDEX(retfunct[],50-($AK20-$AK$8),COUNT($AV18:BE18))))</f>
        <v>0</v>
      </c>
      <c r="AV19" s="198">
        <v>37</v>
      </c>
      <c r="AW19" s="173">
        <v>0.10666666666666669</v>
      </c>
      <c r="AX19" s="173">
        <v>0</v>
      </c>
      <c r="AY19" s="173">
        <v>0</v>
      </c>
      <c r="AZ19" s="173">
        <v>0</v>
      </c>
      <c r="BA19" s="173">
        <v>0</v>
      </c>
      <c r="BB19" s="173">
        <v>0</v>
      </c>
      <c r="BC19" s="173">
        <v>0</v>
      </c>
      <c r="BD19" s="202">
        <v>0</v>
      </c>
      <c r="BE19" s="202">
        <v>0</v>
      </c>
    </row>
    <row r="20" spans="1:57">
      <c r="A20" s="178">
        <v>2020</v>
      </c>
      <c r="B20" s="172">
        <f t="shared" si="0"/>
        <v>0</v>
      </c>
      <c r="C20" s="172">
        <f t="shared" si="1"/>
        <v>0</v>
      </c>
      <c r="D20" s="172">
        <f t="shared" si="2"/>
        <v>0</v>
      </c>
      <c r="E20" s="172">
        <f t="shared" si="4"/>
        <v>0</v>
      </c>
      <c r="F20" s="172">
        <f t="shared" si="7"/>
        <v>0</v>
      </c>
      <c r="G20" s="172">
        <f t="shared" si="5"/>
        <v>0</v>
      </c>
      <c r="H20" s="172">
        <f t="shared" si="6"/>
        <v>0</v>
      </c>
      <c r="I20" s="172"/>
      <c r="J20" s="172">
        <f>AT20*W20</f>
        <v>0</v>
      </c>
      <c r="K20" s="172">
        <f t="shared" si="3"/>
        <v>0</v>
      </c>
      <c r="L20" s="180">
        <f>SUM(K$7:K20)</f>
        <v>0</v>
      </c>
      <c r="N20" s="187">
        <v>2020</v>
      </c>
      <c r="O20" s="171">
        <v>1344.0749833765581</v>
      </c>
      <c r="P20" s="171">
        <v>1755.8240165184141</v>
      </c>
      <c r="Q20" s="171">
        <v>1811.701203992787</v>
      </c>
      <c r="R20" s="171">
        <v>1192.8799372403855</v>
      </c>
      <c r="S20" s="171">
        <v>788.24935177357008</v>
      </c>
      <c r="T20" s="171">
        <v>1375.3339707951229</v>
      </c>
      <c r="U20" s="171">
        <v>3596.0233942520313</v>
      </c>
      <c r="V20" s="189"/>
      <c r="W20" s="171">
        <v>47.754358882225723</v>
      </c>
      <c r="Y20" s="199">
        <v>2020</v>
      </c>
      <c r="Z20" s="169">
        <f>IF(partner_type="Manufacturer",Manufacturer!C20,IF(partner_type="Retailer/Distributor",'Retailer or Distributor'!C20,IF(partner_type="Utility/District",'Utility or District'!C20,Homes_calc!I20)))</f>
        <v>0</v>
      </c>
      <c r="AA20" s="169">
        <f>IF(partner_type="Manufacturer",Manufacturer!D20,IF(partner_type="Retailer/Distributor",'Retailer or Distributor'!D20,IF(partner_type="Utility/District",'Utility or District'!D20,Homes_calc!J20)))</f>
        <v>0</v>
      </c>
      <c r="AB20" s="169">
        <f>IF(partner_type="Manufacturer",Manufacturer!E20,IF(partner_type="Retailer/Distributor",'Retailer or Distributor'!E20,IF(partner_type="Utility/District",'Utility or District'!E20,Homes_calc!K20)))</f>
        <v>0</v>
      </c>
      <c r="AC20" s="169">
        <f>IF(partner_type="Manufacturer",Manufacturer!F20,IF(partner_type="Retailer/Distributor",'Retailer or Distributor'!F20,IF(partner_type="Utility/District",'Utility or District'!F20,Homes_calc!L20)))</f>
        <v>0</v>
      </c>
      <c r="AD20" s="169">
        <f>IF(partner_type="Manufacturer",Manufacturer!G20,IF(partner_type="Retailer/Distributor",'Retailer or Distributor'!G20,IF(partner_type="Utility/District",'Utility or District'!G20,Homes_calc!M20)))</f>
        <v>0</v>
      </c>
      <c r="AE20" s="169">
        <f>IF(partner_type="Manufacturer",Manufacturer!H20,IF(partner_type="Retailer/Distributor",'Retailer or Distributor'!H20,IF(partner_type="Utility/District",'Utility or District'!H20,Homes_calc!N20)))</f>
        <v>0</v>
      </c>
      <c r="AF20" s="169">
        <f>IF(partner_type="Manufacturer",Manufacturer!I20,IF(partner_type="Retailer/Distributor",'Retailer or Distributor'!I20,IF(partner_type="Utility/District",'Utility or District'!I20,Homes_calc!O20)))</f>
        <v>0</v>
      </c>
      <c r="AG20" s="169">
        <f>IF(partner_type="Manufacturer",Manufacturer!J20,IF(partner_type="Retailer/Distributor",'Retailer or Distributor'!J20,IF(partner_type="Utility/District",'Utility or District'!J20,Homes_calc!P20)))</f>
        <v>0</v>
      </c>
      <c r="AH20" s="169">
        <f>IF(partner_type="Manufacturer",Manufacturer!K20,IF(partner_type="Retailer/Distributor",'Retailer or Distributor'!K20,IF(partner_type="Utility/District",'Utility or District'!K20,Homes_calc!Q20)))</f>
        <v>0</v>
      </c>
      <c r="AI20" s="249">
        <f>SUM(ship[[#This Row],[Toilets]:[SSBs]])</f>
        <v>0</v>
      </c>
      <c r="AK20" s="187">
        <v>2020</v>
      </c>
      <c r="AL20" s="172">
        <f>IF($AK20&gt;current_year,"",SUMPRODUCT(Z$7:Z20,INDEX(retfunct[],50-(0),COUNT($AV19:AW19)):INDEX(retfunct[],50-($AK21-$AK$8),COUNT($AV19:AW19))))</f>
        <v>0</v>
      </c>
      <c r="AM20" s="172">
        <f>IF($AK20&gt;current_year,"",SUMPRODUCT(AA$7:AA20,INDEX(retfunct[],50-(0),COUNT($AV19:AX19)):INDEX(retfunct[],50-($AK21-$AK$8),COUNT($AV19:AX19))))</f>
        <v>0</v>
      </c>
      <c r="AN20" s="172">
        <f>IF($AK20&gt;current_year,"",SUMPRODUCT(AB$7:AB20,INDEX(retfunct[],50-(0),COUNT($AV19:AY19)):INDEX(retfunct[],50-($AK21-$AK$8),COUNT($AV19:AY19))))</f>
        <v>0</v>
      </c>
      <c r="AO20" s="172">
        <f>IF($AK20&gt;current_year,"",SUMPRODUCT(AC$7:AC20,INDEX(retfunct[],50-(0),COUNT($AV19:AZ19)):INDEX(retfunct[],50-($AK21-$AK$8),COUNT($AV19:AZ19))))</f>
        <v>0</v>
      </c>
      <c r="AP20" s="172">
        <f>IF($AK20&gt;current_year,"",SUMPRODUCT(AD$7:AD20,INDEX(retfunct[],50-(0),COUNT($AV19:BA19)):INDEX(retfunct[],50-($AK21-$AK$8),COUNT($AV19:BA19))))</f>
        <v>0</v>
      </c>
      <c r="AQ20" s="172">
        <f>IF($AK20&gt;current_year,"",SUMPRODUCT(AE$7:AE20,INDEX(retfunct[],50-(0),COUNT($AV19:BB19)):INDEX(retfunct[],50-($AK21-$AK$8),COUNT($AV19:BB19))))</f>
        <v>0</v>
      </c>
      <c r="AR20" s="172">
        <f>IF($AK20&gt;current_year,"",SUMPRODUCT(AF$7:AF20,INDEX(retfunct[],50-(0),COUNT($AV19:BC19)):INDEX(retfunct[],50-($AK21-$AK$8),COUNT($AV19:BC19))))</f>
        <v>0</v>
      </c>
      <c r="AS20" s="172">
        <f>IF($AK20&gt;current_year,"",SUMPRODUCT(AG$7:AG20,INDEX(retfunct[],50-(0),COUNT($AV19:BD19)):INDEX(retfunct[],50-($AK21-$AK$8),COUNT($AV19:BD19))))</f>
        <v>0</v>
      </c>
      <c r="AT20" s="172">
        <f>IF($AK20&gt;current_year,"",SUMPRODUCT(AH$7:AH20,INDEX(retfunct[],50-(0),COUNT($AV19:BE19)):INDEX(retfunct[],50-($AK21-$AK$8),COUNT($AV19:BE19))))</f>
        <v>0</v>
      </c>
      <c r="AV20" s="198">
        <v>36</v>
      </c>
      <c r="AW20" s="173">
        <v>0.13714285714285712</v>
      </c>
      <c r="AX20" s="173">
        <v>0</v>
      </c>
      <c r="AY20" s="173">
        <v>0</v>
      </c>
      <c r="AZ20" s="173">
        <v>0</v>
      </c>
      <c r="BA20" s="173">
        <v>0</v>
      </c>
      <c r="BB20" s="173">
        <v>0</v>
      </c>
      <c r="BC20" s="173">
        <v>0</v>
      </c>
      <c r="BD20" s="202">
        <v>0</v>
      </c>
      <c r="BE20" s="202">
        <v>0</v>
      </c>
    </row>
    <row r="21" spans="1:57">
      <c r="A21" s="179">
        <v>2021</v>
      </c>
      <c r="B21" s="172">
        <f t="shared" si="0"/>
        <v>0</v>
      </c>
      <c r="C21" s="172">
        <f t="shared" si="1"/>
        <v>0</v>
      </c>
      <c r="D21" s="172">
        <f t="shared" si="2"/>
        <v>0</v>
      </c>
      <c r="E21" s="172">
        <f t="shared" si="4"/>
        <v>0</v>
      </c>
      <c r="F21" s="172">
        <f t="shared" si="7"/>
        <v>0</v>
      </c>
      <c r="G21" s="172">
        <f t="shared" si="5"/>
        <v>0</v>
      </c>
      <c r="H21" s="172">
        <f t="shared" si="6"/>
        <v>0</v>
      </c>
      <c r="I21" s="172"/>
      <c r="J21" s="172">
        <f>AT21*W21</f>
        <v>0</v>
      </c>
      <c r="K21" s="172">
        <f t="shared" si="3"/>
        <v>0</v>
      </c>
      <c r="L21" s="180">
        <f>SUM(K$7:K21)</f>
        <v>0</v>
      </c>
      <c r="N21" s="187">
        <v>2021</v>
      </c>
      <c r="O21" s="171">
        <v>1331.6787752644877</v>
      </c>
      <c r="P21" s="171">
        <v>1739.4167084454546</v>
      </c>
      <c r="Q21" s="171">
        <v>1797.7808177000754</v>
      </c>
      <c r="R21" s="171">
        <v>1174.0966620874672</v>
      </c>
      <c r="S21" s="171">
        <v>788.24935177357384</v>
      </c>
      <c r="T21" s="171">
        <v>1375.3339707951247</v>
      </c>
      <c r="U21" s="171">
        <v>3411.1701093979386</v>
      </c>
      <c r="V21" s="189"/>
      <c r="W21" s="171">
        <v>45.241452329391961</v>
      </c>
      <c r="Y21" s="199">
        <v>2021</v>
      </c>
      <c r="Z21" s="169">
        <f>IF(partner_type="Manufacturer",Manufacturer!C21,IF(partner_type="Retailer/Distributor",'Retailer or Distributor'!C21,IF(partner_type="Utility/District",'Utility or District'!C21,Homes_calc!I21)))</f>
        <v>0</v>
      </c>
      <c r="AA21" s="169">
        <f>IF(partner_type="Manufacturer",Manufacturer!D21,IF(partner_type="Retailer/Distributor",'Retailer or Distributor'!D21,IF(partner_type="Utility/District",'Utility or District'!D21,Homes_calc!J21)))</f>
        <v>0</v>
      </c>
      <c r="AB21" s="169">
        <f>IF(partner_type="Manufacturer",Manufacturer!E21,IF(partner_type="Retailer/Distributor",'Retailer or Distributor'!E21,IF(partner_type="Utility/District",'Utility or District'!E21,Homes_calc!K21)))</f>
        <v>0</v>
      </c>
      <c r="AC21" s="169">
        <f>IF(partner_type="Manufacturer",Manufacturer!F21,IF(partner_type="Retailer/Distributor",'Retailer or Distributor'!F21,IF(partner_type="Utility/District",'Utility or District'!F21,Homes_calc!L21)))</f>
        <v>0</v>
      </c>
      <c r="AD21" s="169">
        <f>IF(partner_type="Manufacturer",Manufacturer!G21,IF(partner_type="Retailer/Distributor",'Retailer or Distributor'!G21,IF(partner_type="Utility/District",'Utility or District'!G21,Homes_calc!M21)))</f>
        <v>0</v>
      </c>
      <c r="AE21" s="169">
        <f>IF(partner_type="Manufacturer",Manufacturer!H21,IF(partner_type="Retailer/Distributor",'Retailer or Distributor'!H21,IF(partner_type="Utility/District",'Utility or District'!H21,Homes_calc!N21)))</f>
        <v>0</v>
      </c>
      <c r="AF21" s="169">
        <f>IF(partner_type="Manufacturer",Manufacturer!I21,IF(partner_type="Retailer/Distributor",'Retailer or Distributor'!I21,IF(partner_type="Utility/District",'Utility or District'!I21,Homes_calc!O21)))</f>
        <v>0</v>
      </c>
      <c r="AG21" s="169">
        <f>IF(partner_type="Manufacturer",Manufacturer!J21,IF(partner_type="Retailer/Distributor",'Retailer or Distributor'!J21,IF(partner_type="Utility/District",'Utility or District'!J21,Homes_calc!P21)))</f>
        <v>0</v>
      </c>
      <c r="AH21" s="169">
        <f>IF(partner_type="Manufacturer",Manufacturer!K21,IF(partner_type="Retailer/Distributor",'Retailer or Distributor'!K21,IF(partner_type="Utility/District",'Utility or District'!K21,Homes_calc!Q21)))</f>
        <v>0</v>
      </c>
      <c r="AI21" s="249">
        <f>SUM(ship[[#This Row],[Toilets]:[SSBs]])</f>
        <v>0</v>
      </c>
      <c r="AK21" s="187">
        <v>2021</v>
      </c>
      <c r="AL21" s="172">
        <f>IF($AK21&gt;current_year,"",SUMPRODUCT(Z$7:Z21,INDEX(retfunct[],50-(0),COUNT($AV20:AW20)):INDEX(retfunct[],50-($AK22-$AK$8),COUNT($AV20:AW20))))</f>
        <v>0</v>
      </c>
      <c r="AM21" s="172">
        <f>IF($AK21&gt;current_year,"",SUMPRODUCT(AA$7:AA21,INDEX(retfunct[],50-(0),COUNT($AV20:AX20)):INDEX(retfunct[],50-($AK22-$AK$8),COUNT($AV20:AX20))))</f>
        <v>0</v>
      </c>
      <c r="AN21" s="172">
        <f>IF($AK21&gt;current_year,"",SUMPRODUCT(AB$7:AB21,INDEX(retfunct[],50-(0),COUNT($AV20:AY20)):INDEX(retfunct[],50-($AK22-$AK$8),COUNT($AV20:AY20))))</f>
        <v>0</v>
      </c>
      <c r="AO21" s="172">
        <f>IF($AK21&gt;current_year,"",SUMPRODUCT(AC$7:AC21,INDEX(retfunct[],50-(0),COUNT($AV20:AZ20)):INDEX(retfunct[],50-($AK22-$AK$8),COUNT($AV20:AZ20))))</f>
        <v>0</v>
      </c>
      <c r="AP21" s="172">
        <f>IF($AK21&gt;current_year,"",SUMPRODUCT(AD$7:AD21,INDEX(retfunct[],50-(0),COUNT($AV20:BA20)):INDEX(retfunct[],50-($AK22-$AK$8),COUNT($AV20:BA20))))</f>
        <v>0</v>
      </c>
      <c r="AQ21" s="172">
        <f>IF($AK21&gt;current_year,"",SUMPRODUCT(AE$7:AE21,INDEX(retfunct[],50-(0),COUNT($AV20:BB20)):INDEX(retfunct[],50-($AK22-$AK$8),COUNT($AV20:BB20))))</f>
        <v>0</v>
      </c>
      <c r="AR21" s="172">
        <f>IF($AK21&gt;current_year,"",SUMPRODUCT(AF$7:AF21,INDEX(retfunct[],50-(0),COUNT($AV20:BC20)):INDEX(retfunct[],50-($AK22-$AK$8),COUNT($AV20:BC20))))</f>
        <v>0</v>
      </c>
      <c r="AS21" s="172">
        <f>IF($AK21&gt;current_year,"",SUMPRODUCT(AG$7:AG21,INDEX(retfunct[],50-(0),COUNT($AV20:BD20)):INDEX(retfunct[],50-($AK22-$AK$8),COUNT($AV20:BD20))))</f>
        <v>0</v>
      </c>
      <c r="AT21" s="172">
        <f>IF($AK21&gt;current_year,"",SUMPRODUCT(AH$7:AH21,INDEX(retfunct[],50-(0),COUNT($AV20:BE20)):INDEX(retfunct[],50-($AK22-$AK$8),COUNT($AV20:BE20))))</f>
        <v>0</v>
      </c>
      <c r="AV21" s="198">
        <v>35</v>
      </c>
      <c r="AW21" s="173">
        <v>0.17142857142857137</v>
      </c>
      <c r="AX21" s="173">
        <v>0</v>
      </c>
      <c r="AY21" s="173">
        <v>0</v>
      </c>
      <c r="AZ21" s="173">
        <v>0</v>
      </c>
      <c r="BA21" s="173">
        <v>0</v>
      </c>
      <c r="BB21" s="173">
        <v>0</v>
      </c>
      <c r="BC21" s="173">
        <v>0</v>
      </c>
      <c r="BD21" s="202">
        <v>0</v>
      </c>
      <c r="BE21" s="202">
        <v>0</v>
      </c>
    </row>
    <row r="22" spans="1:57">
      <c r="A22" s="178">
        <v>2022</v>
      </c>
      <c r="B22" s="172">
        <f t="shared" si="0"/>
        <v>0</v>
      </c>
      <c r="C22" s="172">
        <f t="shared" si="1"/>
        <v>0</v>
      </c>
      <c r="D22" s="172">
        <f t="shared" si="2"/>
        <v>0</v>
      </c>
      <c r="E22" s="172">
        <f t="shared" si="4"/>
        <v>0</v>
      </c>
      <c r="F22" s="172">
        <f t="shared" si="7"/>
        <v>0</v>
      </c>
      <c r="G22" s="172">
        <f t="shared" si="5"/>
        <v>0</v>
      </c>
      <c r="H22" s="172">
        <f t="shared" si="6"/>
        <v>0</v>
      </c>
      <c r="I22" s="172">
        <f t="shared" ref="I22:I30" si="8">AS22*V22</f>
        <v>0</v>
      </c>
      <c r="J22" s="172">
        <f>AT22*W22</f>
        <v>0</v>
      </c>
      <c r="K22" s="172">
        <f t="shared" si="3"/>
        <v>0</v>
      </c>
      <c r="L22" s="180">
        <f>SUM(K$7:K22)</f>
        <v>0</v>
      </c>
      <c r="N22" s="187">
        <v>2022</v>
      </c>
      <c r="O22" s="171">
        <v>1320.5834731715229</v>
      </c>
      <c r="P22" s="171">
        <v>1722.9018314501448</v>
      </c>
      <c r="Q22" s="171">
        <v>1782.324317468941</v>
      </c>
      <c r="R22" s="171">
        <v>1155.1480978728448</v>
      </c>
      <c r="S22" s="171">
        <v>788.2493517735835</v>
      </c>
      <c r="T22" s="171">
        <v>1375.3339707951193</v>
      </c>
      <c r="U22" s="171">
        <v>3265.7585104888467</v>
      </c>
      <c r="V22" s="171">
        <v>7925.6172252447059</v>
      </c>
      <c r="W22" s="171">
        <v>43.798365653838822</v>
      </c>
      <c r="Y22" s="199">
        <v>2022</v>
      </c>
      <c r="Z22" s="169">
        <f>IF(partner_type="Manufacturer",Manufacturer!C22,IF(partner_type="Retailer/Distributor",'Retailer or Distributor'!C22,IF(partner_type="Utility/District",'Utility or District'!C22,Homes_calc!I22)))</f>
        <v>0</v>
      </c>
      <c r="AA22" s="169">
        <f>IF(partner_type="Manufacturer",Manufacturer!D22,IF(partner_type="Retailer/Distributor",'Retailer or Distributor'!D22,IF(partner_type="Utility/District",'Utility or District'!D22,Homes_calc!J22)))</f>
        <v>0</v>
      </c>
      <c r="AB22" s="169">
        <f>IF(partner_type="Manufacturer",Manufacturer!E22,IF(partner_type="Retailer/Distributor",'Retailer or Distributor'!E22,IF(partner_type="Utility/District",'Utility or District'!E22,Homes_calc!K22)))</f>
        <v>0</v>
      </c>
      <c r="AC22" s="169">
        <f>IF(partner_type="Manufacturer",Manufacturer!F22,IF(partner_type="Retailer/Distributor",'Retailer or Distributor'!F22,IF(partner_type="Utility/District",'Utility or District'!F22,Homes_calc!L22)))</f>
        <v>0</v>
      </c>
      <c r="AD22" s="169">
        <f>IF(partner_type="Manufacturer",Manufacturer!G22,IF(partner_type="Retailer/Distributor",'Retailer or Distributor'!G22,IF(partner_type="Utility/District",'Utility or District'!G22,Homes_calc!M22)))</f>
        <v>0</v>
      </c>
      <c r="AE22" s="169">
        <f>IF(partner_type="Manufacturer",Manufacturer!H22,IF(partner_type="Retailer/Distributor",'Retailer or Distributor'!H22,IF(partner_type="Utility/District",'Utility or District'!H22,Homes_calc!N22)))</f>
        <v>0</v>
      </c>
      <c r="AF22" s="169">
        <f>IF(partner_type="Manufacturer",Manufacturer!I22,IF(partner_type="Retailer/Distributor",'Retailer or Distributor'!I22,IF(partner_type="Utility/District",'Utility or District'!I22,Homes_calc!O22)))</f>
        <v>0</v>
      </c>
      <c r="AG22" s="169">
        <f>IF(partner_type="Manufacturer",Manufacturer!J22,IF(partner_type="Retailer/Distributor",'Retailer or Distributor'!J22,IF(partner_type="Utility/District",'Utility or District'!J22,Homes_calc!P22)))</f>
        <v>0</v>
      </c>
      <c r="AH22" s="169">
        <f>IF(partner_type="Manufacturer",Manufacturer!K22,IF(partner_type="Retailer/Distributor",'Retailer or Distributor'!K22,IF(partner_type="Utility/District",'Utility or District'!K22,Homes_calc!Q22)))</f>
        <v>0</v>
      </c>
      <c r="AI22" s="249">
        <f>SUM(ship[[#This Row],[Toilets]:[SSBs]])</f>
        <v>0</v>
      </c>
      <c r="AK22" s="187">
        <v>2022</v>
      </c>
      <c r="AL22" s="172">
        <f>IF($AK22&gt;current_year,"",SUMPRODUCT(Z$7:Z22,INDEX(retfunct[],50-(0),COUNT($AV21:AW21)):INDEX(retfunct[],50-($AK23-$AK$8),COUNT($AV21:AW21))))</f>
        <v>0</v>
      </c>
      <c r="AM22" s="172">
        <f>IF($AK22&gt;current_year,"",SUMPRODUCT(AA$7:AA22,INDEX(retfunct[],50-(0),COUNT($AV21:AX21)):INDEX(retfunct[],50-($AK23-$AK$8),COUNT($AV21:AX21))))</f>
        <v>0</v>
      </c>
      <c r="AN22" s="172">
        <f>IF($AK22&gt;current_year,"",SUMPRODUCT(AB$7:AB22,INDEX(retfunct[],50-(0),COUNT($AV21:AY21)):INDEX(retfunct[],50-($AK23-$AK$8),COUNT($AV21:AY21))))</f>
        <v>0</v>
      </c>
      <c r="AO22" s="172">
        <f>IF($AK22&gt;current_year,"",SUMPRODUCT(AC$7:AC22,INDEX(retfunct[],50-(0),COUNT($AV21:AZ21)):INDEX(retfunct[],50-($AK23-$AK$8),COUNT($AV21:AZ21))))</f>
        <v>0</v>
      </c>
      <c r="AP22" s="172">
        <f>IF($AK22&gt;current_year,"",SUMPRODUCT(AD$7:AD22,INDEX(retfunct[],50-(0),COUNT($AV21:BA21)):INDEX(retfunct[],50-($AK23-$AK$8),COUNT($AV21:BA21))))</f>
        <v>0</v>
      </c>
      <c r="AQ22" s="172">
        <f>IF($AK22&gt;current_year,"",SUMPRODUCT(AE$7:AE22,INDEX(retfunct[],50-(0),COUNT($AV21:BB21)):INDEX(retfunct[],50-($AK23-$AK$8),COUNT($AV21:BB21))))</f>
        <v>0</v>
      </c>
      <c r="AR22" s="172">
        <f>IF($AK22&gt;current_year,"",SUMPRODUCT(AF$7:AF22,INDEX(retfunct[],50-(0),COUNT($AV21:BC21)):INDEX(retfunct[],50-($AK23-$AK$8),COUNT($AV21:BC21))))</f>
        <v>0</v>
      </c>
      <c r="AS22" s="172">
        <f>IF($AK22&gt;current_year,"",SUMPRODUCT(AG$7:AG22,INDEX(retfunct[],50-(0),COUNT($AV21:BD21)):INDEX(retfunct[],50-($AK23-$AK$8),COUNT($AV21:BD21))))</f>
        <v>0</v>
      </c>
      <c r="AT22" s="172">
        <f>IF($AK22&gt;current_year,"",SUMPRODUCT(AH$7:AH22,INDEX(retfunct[],50-(0),COUNT($AV21:BE21)):INDEX(retfunct[],50-($AK23-$AK$8),COUNT($AV21:BE21))))</f>
        <v>0</v>
      </c>
      <c r="AV22" s="198">
        <v>34</v>
      </c>
      <c r="AW22" s="173">
        <v>0.20952380952380945</v>
      </c>
      <c r="AX22" s="173">
        <v>0</v>
      </c>
      <c r="AY22" s="173">
        <v>0</v>
      </c>
      <c r="AZ22" s="173">
        <v>0</v>
      </c>
      <c r="BA22" s="173">
        <v>0</v>
      </c>
      <c r="BB22" s="173">
        <v>0</v>
      </c>
      <c r="BC22" s="173">
        <v>0</v>
      </c>
      <c r="BD22" s="202">
        <v>0</v>
      </c>
      <c r="BE22" s="202">
        <v>0</v>
      </c>
    </row>
    <row r="23" spans="1:57">
      <c r="A23" s="178">
        <v>2023</v>
      </c>
      <c r="B23" s="172">
        <f t="shared" ref="B23:B30" si="9">AL23*O23</f>
        <v>0</v>
      </c>
      <c r="C23" s="172">
        <f t="shared" ref="C23:C30" si="10">AM23*P23</f>
        <v>0</v>
      </c>
      <c r="D23" s="172">
        <f t="shared" ref="D23:D30" si="11">AN23*Q23</f>
        <v>0</v>
      </c>
      <c r="E23" s="172">
        <f t="shared" ref="E23:E30" si="12">AO23*R23</f>
        <v>0</v>
      </c>
      <c r="F23" s="172">
        <f t="shared" ref="F23:F30" si="13">AP23*S23</f>
        <v>0</v>
      </c>
      <c r="G23" s="172">
        <f t="shared" ref="G23:G30" si="14">AQ23*T23</f>
        <v>0</v>
      </c>
      <c r="H23" s="172">
        <f t="shared" ref="H23:H30" si="15">AR23*U23</f>
        <v>0</v>
      </c>
      <c r="I23" s="172">
        <f t="shared" si="8"/>
        <v>0</v>
      </c>
      <c r="J23" s="172">
        <f t="shared" ref="J23:J30" si="16">AT23*W23</f>
        <v>0</v>
      </c>
      <c r="K23" s="172">
        <f t="shared" ref="K23:K30" si="17">SUM(B23:J23)</f>
        <v>0</v>
      </c>
      <c r="L23" s="180">
        <f>SUM(K$7:K23)</f>
        <v>0</v>
      </c>
      <c r="N23" s="187">
        <v>2023</v>
      </c>
      <c r="O23" s="171">
        <v>1310.4016746428031</v>
      </c>
      <c r="P23" s="171">
        <v>1705.1275903773478</v>
      </c>
      <c r="Q23" s="171">
        <v>1765.7723345985924</v>
      </c>
      <c r="R23" s="171">
        <v>1135.9947483254239</v>
      </c>
      <c r="S23" s="171">
        <v>788.2493517735835</v>
      </c>
      <c r="T23" s="171">
        <v>1375.3339707951216</v>
      </c>
      <c r="U23" s="171">
        <v>3141.123167163887</v>
      </c>
      <c r="V23" s="171">
        <v>7879.0867445256044</v>
      </c>
      <c r="W23" s="171">
        <v>42.513217592850502</v>
      </c>
      <c r="Y23" s="199">
        <v>2023</v>
      </c>
      <c r="Z23" s="169">
        <f>IF(partner_type="Manufacturer",Manufacturer!C23,IF(partner_type="Retailer/Distributor",'Retailer or Distributor'!C23,IF(partner_type="Utility/District",'Utility or District'!C23,Homes_calc!I23)))</f>
        <v>0</v>
      </c>
      <c r="AA23" s="169">
        <f>IF(partner_type="Manufacturer",Manufacturer!D23,IF(partner_type="Retailer/Distributor",'Retailer or Distributor'!D23,IF(partner_type="Utility/District",'Utility or District'!D23,Homes_calc!J23)))</f>
        <v>0</v>
      </c>
      <c r="AB23" s="169">
        <f>IF(partner_type="Manufacturer",Manufacturer!E23,IF(partner_type="Retailer/Distributor",'Retailer or Distributor'!E23,IF(partner_type="Utility/District",'Utility or District'!E23,Homes_calc!K23)))</f>
        <v>0</v>
      </c>
      <c r="AC23" s="169">
        <f>IF(partner_type="Manufacturer",Manufacturer!F23,IF(partner_type="Retailer/Distributor",'Retailer or Distributor'!F23,IF(partner_type="Utility/District",'Utility or District'!F23,Homes_calc!L23)))</f>
        <v>0</v>
      </c>
      <c r="AD23" s="169">
        <f>IF(partner_type="Manufacturer",Manufacturer!G23,IF(partner_type="Retailer/Distributor",'Retailer or Distributor'!G23,IF(partner_type="Utility/District",'Utility or District'!G23,Homes_calc!M23)))</f>
        <v>0</v>
      </c>
      <c r="AE23" s="169">
        <f>IF(partner_type="Manufacturer",Manufacturer!H23,IF(partner_type="Retailer/Distributor",'Retailer or Distributor'!H23,IF(partner_type="Utility/District",'Utility or District'!H23,Homes_calc!N23)))</f>
        <v>0</v>
      </c>
      <c r="AF23" s="169">
        <f>IF(partner_type="Manufacturer",Manufacturer!I23,IF(partner_type="Retailer/Distributor",'Retailer or Distributor'!I23,IF(partner_type="Utility/District",'Utility or District'!I23,Homes_calc!O23)))</f>
        <v>0</v>
      </c>
      <c r="AG23" s="169">
        <f>IF(partner_type="Manufacturer",Manufacturer!J23,IF(partner_type="Retailer/Distributor",'Retailer or Distributor'!J23,IF(partner_type="Utility/District",'Utility or District'!J23,Homes_calc!P23)))</f>
        <v>0</v>
      </c>
      <c r="AH23" s="169">
        <f>IF(partner_type="Manufacturer",Manufacturer!K23,IF(partner_type="Retailer/Distributor",'Retailer or Distributor'!K23,IF(partner_type="Utility/District",'Utility or District'!K23,Homes_calc!Q23)))</f>
        <v>0</v>
      </c>
      <c r="AI23" s="249">
        <f>SUM(ship[[#This Row],[Toilets]:[SSBs]])</f>
        <v>0</v>
      </c>
      <c r="AK23" s="187">
        <v>2023</v>
      </c>
      <c r="AL23" s="172">
        <f>IF($AK23&gt;current_year,"",SUMPRODUCT(Z$7:Z23,INDEX(retfunct[],50-(0),COUNT($AV22:AW22)):INDEX(retfunct[],50-($AK24-$AK$8),COUNT($AV22:AW22))))</f>
        <v>0</v>
      </c>
      <c r="AM23" s="172">
        <f>IF($AK23&gt;current_year,"",SUMPRODUCT(AA$7:AA23,INDEX(retfunct[],50-(0),COUNT($AV22:AX22)):INDEX(retfunct[],50-($AK24-$AK$8),COUNT($AV22:AX22))))</f>
        <v>0</v>
      </c>
      <c r="AN23" s="172">
        <f>IF($AK23&gt;current_year,"",SUMPRODUCT(AB$7:AB23,INDEX(retfunct[],50-(0),COUNT($AV22:AY22)):INDEX(retfunct[],50-($AK24-$AK$8),COUNT($AV22:AY22))))</f>
        <v>0</v>
      </c>
      <c r="AO23" s="172">
        <f>IF($AK23&gt;current_year,"",SUMPRODUCT(AC$7:AC23,INDEX(retfunct[],50-(0),COUNT($AV22:AZ22)):INDEX(retfunct[],50-($AK24-$AK$8),COUNT($AV22:AZ22))))</f>
        <v>0</v>
      </c>
      <c r="AP23" s="172">
        <f>IF($AK23&gt;current_year,"",SUMPRODUCT(AD$7:AD23,INDEX(retfunct[],50-(0),COUNT($AV22:BA22)):INDEX(retfunct[],50-($AK24-$AK$8),COUNT($AV22:BA22))))</f>
        <v>0</v>
      </c>
      <c r="AQ23" s="172">
        <f>IF($AK23&gt;current_year,"",SUMPRODUCT(AE$7:AE23,INDEX(retfunct[],50-(0),COUNT($AV22:BB22)):INDEX(retfunct[],50-($AK24-$AK$8),COUNT($AV22:BB22))))</f>
        <v>0</v>
      </c>
      <c r="AR23" s="172">
        <f>IF($AK23&gt;current_year,"",SUMPRODUCT(AF$7:AF23,INDEX(retfunct[],50-(0),COUNT($AV22:BC22)):INDEX(retfunct[],50-($AK24-$AK$8),COUNT($AV22:BC22))))</f>
        <v>0</v>
      </c>
      <c r="AS23" s="172">
        <f>IF($AK23&gt;current_year,"",SUMPRODUCT(AG$7:AG23,INDEX(retfunct[],50-(0),COUNT($AV22:BD22)):INDEX(retfunct[],50-($AK24-$AK$8),COUNT($AV22:BD22))))</f>
        <v>0</v>
      </c>
      <c r="AT23" s="172">
        <f>IF($AK23&gt;current_year,"",SUMPRODUCT(AH$7:AH23,INDEX(retfunct[],50-(0),COUNT($AV22:BE22)):INDEX(retfunct[],50-($AK24-$AK$8),COUNT($AV22:BE22))))</f>
        <v>0</v>
      </c>
      <c r="AV23" s="198">
        <v>33</v>
      </c>
      <c r="AW23" s="168">
        <v>0.25142857142857133</v>
      </c>
      <c r="AX23" s="168">
        <v>0</v>
      </c>
      <c r="AY23" s="168">
        <v>0</v>
      </c>
      <c r="AZ23" s="168">
        <v>0</v>
      </c>
      <c r="BA23" s="168">
        <v>0</v>
      </c>
      <c r="BB23" s="168">
        <v>0</v>
      </c>
      <c r="BC23" s="168">
        <v>0</v>
      </c>
      <c r="BD23" s="203">
        <v>0</v>
      </c>
      <c r="BE23" s="203">
        <v>0</v>
      </c>
    </row>
    <row r="24" spans="1:57">
      <c r="A24" s="179">
        <v>2024</v>
      </c>
      <c r="B24" s="172">
        <f t="shared" si="9"/>
        <v>0</v>
      </c>
      <c r="C24" s="172">
        <f t="shared" si="10"/>
        <v>0</v>
      </c>
      <c r="D24" s="172">
        <f t="shared" si="11"/>
        <v>0</v>
      </c>
      <c r="E24" s="172">
        <f t="shared" si="12"/>
        <v>0</v>
      </c>
      <c r="F24" s="172">
        <f t="shared" si="13"/>
        <v>0</v>
      </c>
      <c r="G24" s="172">
        <f t="shared" si="14"/>
        <v>0</v>
      </c>
      <c r="H24" s="172">
        <f t="shared" si="15"/>
        <v>0</v>
      </c>
      <c r="I24" s="172">
        <f t="shared" si="8"/>
        <v>0</v>
      </c>
      <c r="J24" s="172">
        <f t="shared" si="16"/>
        <v>0</v>
      </c>
      <c r="K24" s="172">
        <f t="shared" si="17"/>
        <v>0</v>
      </c>
      <c r="L24" s="180">
        <f>SUM(K$7:K24)</f>
        <v>0</v>
      </c>
      <c r="N24" s="187">
        <v>2024</v>
      </c>
      <c r="O24" s="171">
        <v>1310.4016746428031</v>
      </c>
      <c r="P24" s="171">
        <v>1705.1275903773478</v>
      </c>
      <c r="Q24" s="171">
        <v>1765.7723345985924</v>
      </c>
      <c r="R24" s="171">
        <v>1135.9947483254239</v>
      </c>
      <c r="S24" s="171">
        <v>788.2493517735835</v>
      </c>
      <c r="T24" s="171">
        <v>1375.3339707951216</v>
      </c>
      <c r="U24" s="171">
        <v>3141.123167163887</v>
      </c>
      <c r="V24" s="171">
        <v>7879.0867445256044</v>
      </c>
      <c r="W24" s="171">
        <v>42.513217592850502</v>
      </c>
      <c r="Y24" s="199">
        <v>2024</v>
      </c>
      <c r="Z24" s="169">
        <f>IF(partner_type="Manufacturer",Manufacturer!C24,IF(partner_type="Retailer/Distributor",'Retailer or Distributor'!C24,IF(partner_type="Utility/District",'Utility or District'!C24,Homes_calc!I24)))</f>
        <v>0</v>
      </c>
      <c r="AA24" s="169">
        <f>IF(partner_type="Manufacturer",Manufacturer!D24,IF(partner_type="Retailer/Distributor",'Retailer or Distributor'!D24,IF(partner_type="Utility/District",'Utility or District'!D24,Homes_calc!J24)))</f>
        <v>0</v>
      </c>
      <c r="AB24" s="169">
        <f>IF(partner_type="Manufacturer",Manufacturer!E24,IF(partner_type="Retailer/Distributor",'Retailer or Distributor'!E24,IF(partner_type="Utility/District",'Utility or District'!E24,Homes_calc!K24)))</f>
        <v>0</v>
      </c>
      <c r="AC24" s="169">
        <f>IF(partner_type="Manufacturer",Manufacturer!F24,IF(partner_type="Retailer/Distributor",'Retailer or Distributor'!F24,IF(partner_type="Utility/District",'Utility or District'!F24,Homes_calc!L24)))</f>
        <v>0</v>
      </c>
      <c r="AD24" s="169">
        <f>IF(partner_type="Manufacturer",Manufacturer!G24,IF(partner_type="Retailer/Distributor",'Retailer or Distributor'!G24,IF(partner_type="Utility/District",'Utility or District'!G24,Homes_calc!M24)))</f>
        <v>0</v>
      </c>
      <c r="AE24" s="169">
        <f>IF(partner_type="Manufacturer",Manufacturer!H24,IF(partner_type="Retailer/Distributor",'Retailer or Distributor'!H24,IF(partner_type="Utility/District",'Utility or District'!H24,Homes_calc!N24)))</f>
        <v>0</v>
      </c>
      <c r="AF24" s="169">
        <f>IF(partner_type="Manufacturer",Manufacturer!I24,IF(partner_type="Retailer/Distributor",'Retailer or Distributor'!I24,IF(partner_type="Utility/District",'Utility or District'!I24,Homes_calc!O24)))</f>
        <v>0</v>
      </c>
      <c r="AG24" s="169">
        <f>IF(partner_type="Manufacturer",Manufacturer!J24,IF(partner_type="Retailer/Distributor",'Retailer or Distributor'!J24,IF(partner_type="Utility/District",'Utility or District'!J24,Homes_calc!P24)))</f>
        <v>0</v>
      </c>
      <c r="AH24" s="169">
        <f>IF(partner_type="Manufacturer",Manufacturer!K24,IF(partner_type="Retailer/Distributor",'Retailer or Distributor'!K24,IF(partner_type="Utility/District",'Utility or District'!K24,Homes_calc!Q24)))</f>
        <v>0</v>
      </c>
      <c r="AI24" s="249">
        <f>SUM(ship[[#This Row],[Toilets]:[SSBs]])</f>
        <v>0</v>
      </c>
      <c r="AK24" s="187">
        <v>2024</v>
      </c>
      <c r="AL24" s="172">
        <f>IF($AK24&gt;current_year,"",SUMPRODUCT(Z$7:Z24,INDEX(retfunct[],50-(0),COUNT($AV23:AW23)):INDEX(retfunct[],50-($AK25-$AK$8),COUNT($AV23:AW23))))</f>
        <v>0</v>
      </c>
      <c r="AM24" s="172">
        <f>IF($AK24&gt;current_year,"",SUMPRODUCT(AA$7:AA24,INDEX(retfunct[],50-(0),COUNT($AV23:AX23)):INDEX(retfunct[],50-($AK25-$AK$8),COUNT($AV23:AX23))))</f>
        <v>0</v>
      </c>
      <c r="AN24" s="172">
        <f>IF($AK24&gt;current_year,"",SUMPRODUCT(AB$7:AB24,INDEX(retfunct[],50-(0),COUNT($AV23:AY23)):INDEX(retfunct[],50-($AK25-$AK$8),COUNT($AV23:AY23))))</f>
        <v>0</v>
      </c>
      <c r="AO24" s="172">
        <f>IF($AK24&gt;current_year,"",SUMPRODUCT(AC$7:AC24,INDEX(retfunct[],50-(0),COUNT($AV23:AZ23)):INDEX(retfunct[],50-($AK25-$AK$8),COUNT($AV23:AZ23))))</f>
        <v>0</v>
      </c>
      <c r="AP24" s="172">
        <f>IF($AK24&gt;current_year,"",SUMPRODUCT(AD$7:AD24,INDEX(retfunct[],50-(0),COUNT($AV23:BA23)):INDEX(retfunct[],50-($AK25-$AK$8),COUNT($AV23:BA23))))</f>
        <v>0</v>
      </c>
      <c r="AQ24" s="172">
        <f>IF($AK24&gt;current_year,"",SUMPRODUCT(AE$7:AE24,INDEX(retfunct[],50-(0),COUNT($AV23:BB23)):INDEX(retfunct[],50-($AK25-$AK$8),COUNT($AV23:BB23))))</f>
        <v>0</v>
      </c>
      <c r="AR24" s="172">
        <f>IF($AK24&gt;current_year,"",SUMPRODUCT(AF$7:AF24,INDEX(retfunct[],50-(0),COUNT($AV23:BC23)):INDEX(retfunct[],50-($AK25-$AK$8),COUNT($AV23:BC23))))</f>
        <v>0</v>
      </c>
      <c r="AS24" s="172">
        <f>IF($AK24&gt;current_year,"",SUMPRODUCT(AG$7:AG24,INDEX(retfunct[],50-(0),COUNT($AV23:BD23)):INDEX(retfunct[],50-($AK25-$AK$8),COUNT($AV23:BD23))))</f>
        <v>0</v>
      </c>
      <c r="AT24" s="172">
        <f>IF($AK24&gt;current_year,"",SUMPRODUCT(AH$7:AH24,INDEX(retfunct[],50-(0),COUNT($AV23:BE23)):INDEX(retfunct[],50-($AK25-$AK$8),COUNT($AV23:BE23))))</f>
        <v>0</v>
      </c>
      <c r="AV24" s="198">
        <v>32</v>
      </c>
      <c r="AW24" s="168">
        <v>0.29714285714285704</v>
      </c>
      <c r="AX24" s="168">
        <v>0</v>
      </c>
      <c r="AY24" s="168">
        <v>0</v>
      </c>
      <c r="AZ24" s="168">
        <v>0</v>
      </c>
      <c r="BA24" s="168">
        <v>0</v>
      </c>
      <c r="BB24" s="168">
        <v>0</v>
      </c>
      <c r="BC24" s="168">
        <v>0</v>
      </c>
      <c r="BD24" s="203">
        <v>0</v>
      </c>
      <c r="BE24" s="203">
        <v>0</v>
      </c>
    </row>
    <row r="25" spans="1:57">
      <c r="A25" s="178">
        <v>2025</v>
      </c>
      <c r="B25" s="172" t="e">
        <f t="shared" si="9"/>
        <v>#VALUE!</v>
      </c>
      <c r="C25" s="172" t="e">
        <f t="shared" si="10"/>
        <v>#VALUE!</v>
      </c>
      <c r="D25" s="172" t="e">
        <f t="shared" si="11"/>
        <v>#VALUE!</v>
      </c>
      <c r="E25" s="172" t="e">
        <f t="shared" si="12"/>
        <v>#VALUE!</v>
      </c>
      <c r="F25" s="172" t="e">
        <f t="shared" si="13"/>
        <v>#VALUE!</v>
      </c>
      <c r="G25" s="172" t="e">
        <f t="shared" si="14"/>
        <v>#VALUE!</v>
      </c>
      <c r="H25" s="172" t="e">
        <f t="shared" si="15"/>
        <v>#VALUE!</v>
      </c>
      <c r="I25" s="172" t="e">
        <f t="shared" si="8"/>
        <v>#VALUE!</v>
      </c>
      <c r="J25" s="172" t="e">
        <f t="shared" si="16"/>
        <v>#VALUE!</v>
      </c>
      <c r="K25" s="172" t="e">
        <f t="shared" si="17"/>
        <v>#VALUE!</v>
      </c>
      <c r="L25" s="180" t="e">
        <f>SUM(K$7:K25)</f>
        <v>#VALUE!</v>
      </c>
      <c r="N25" s="187">
        <v>2025</v>
      </c>
      <c r="O25" s="171" t="s">
        <v>98</v>
      </c>
      <c r="P25" s="171" t="s">
        <v>98</v>
      </c>
      <c r="Q25" s="171" t="s">
        <v>98</v>
      </c>
      <c r="R25" s="171" t="s">
        <v>98</v>
      </c>
      <c r="S25" s="172" t="s">
        <v>98</v>
      </c>
      <c r="T25" s="172" t="s">
        <v>98</v>
      </c>
      <c r="U25" s="172" t="s">
        <v>98</v>
      </c>
      <c r="V25" s="189" t="s">
        <v>98</v>
      </c>
      <c r="W25" s="189" t="s">
        <v>98</v>
      </c>
      <c r="Y25" s="199">
        <v>2025</v>
      </c>
      <c r="Z25" s="169">
        <f>IF(partner_type="Manufacturer",Manufacturer!C25,IF(partner_type="Retailer/Distributor",'Retailer or Distributor'!C25,IF(partner_type="Utility/District",'Utility or District'!C25,Homes_calc!I25)))</f>
        <v>0</v>
      </c>
      <c r="AA25" s="169">
        <f>IF(partner_type="Manufacturer",Manufacturer!D25,IF(partner_type="Retailer/Distributor",'Retailer or Distributor'!D25,IF(partner_type="Utility/District",'Utility or District'!D25,Homes_calc!J25)))</f>
        <v>0</v>
      </c>
      <c r="AB25" s="169">
        <f>IF(partner_type="Manufacturer",Manufacturer!E25,IF(partner_type="Retailer/Distributor",'Retailer or Distributor'!E25,IF(partner_type="Utility/District",'Utility or District'!E25,Homes_calc!K25)))</f>
        <v>0</v>
      </c>
      <c r="AC25" s="169">
        <f>IF(partner_type="Manufacturer",Manufacturer!F25,IF(partner_type="Retailer/Distributor",'Retailer or Distributor'!F25,IF(partner_type="Utility/District",'Utility or District'!F25,Homes_calc!L25)))</f>
        <v>0</v>
      </c>
      <c r="AD25" s="169">
        <f>IF(partner_type="Manufacturer",Manufacturer!G25,IF(partner_type="Retailer/Distributor",'Retailer or Distributor'!G25,IF(partner_type="Utility/District",'Utility or District'!G25,Homes_calc!M25)))</f>
        <v>0</v>
      </c>
      <c r="AE25" s="169">
        <f>IF(partner_type="Manufacturer",Manufacturer!H25,IF(partner_type="Retailer/Distributor",'Retailer or Distributor'!H25,IF(partner_type="Utility/District",'Utility or District'!H25,Homes_calc!N25)))</f>
        <v>0</v>
      </c>
      <c r="AF25" s="169">
        <f>IF(partner_type="Manufacturer",Manufacturer!I25,IF(partner_type="Retailer/Distributor",'Retailer or Distributor'!I25,IF(partner_type="Utility/District",'Utility or District'!I25,Homes_calc!O25)))</f>
        <v>0</v>
      </c>
      <c r="AG25" s="169">
        <f>IF(partner_type="Manufacturer",Manufacturer!J25,IF(partner_type="Retailer/Distributor",'Retailer or Distributor'!J25,IF(partner_type="Utility/District",'Utility or District'!J25,Homes_calc!P25)))</f>
        <v>0</v>
      </c>
      <c r="AH25" s="169">
        <f>IF(partner_type="Manufacturer",Manufacturer!K25,IF(partner_type="Retailer/Distributor",'Retailer or Distributor'!K25,IF(partner_type="Utility/District",'Utility or District'!K25,Homes_calc!Q25)))</f>
        <v>0</v>
      </c>
      <c r="AI25" s="249">
        <f>SUM(ship[[#This Row],[Toilets]:[SSBs]])</f>
        <v>0</v>
      </c>
      <c r="AK25" s="187">
        <v>2025</v>
      </c>
      <c r="AL25" s="172" t="str">
        <f>IF($AK25&gt;current_year,"",SUMPRODUCT(Z$7:Z25,INDEX(retfunct[],50-(0),COUNT($AV24:AW24)):INDEX(retfunct[],50-($AK26-$AK$8),COUNT($AV24:AW24))))</f>
        <v/>
      </c>
      <c r="AM25" s="172" t="str">
        <f>IF($AK25&gt;current_year,"",SUMPRODUCT(AA$7:AA25,INDEX(retfunct[],50-(0),COUNT($AV24:AX24)):INDEX(retfunct[],50-($AK26-$AK$8),COUNT($AV24:AX24))))</f>
        <v/>
      </c>
      <c r="AN25" s="172" t="str">
        <f>IF($AK25&gt;current_year,"",SUMPRODUCT(AB$7:AB25,INDEX(retfunct[],50-(0),COUNT($AV24:AY24)):INDEX(retfunct[],50-($AK26-$AK$8),COUNT($AV24:AY24))))</f>
        <v/>
      </c>
      <c r="AO25" s="172" t="str">
        <f>IF($AK25&gt;current_year,"",SUMPRODUCT(AC$7:AC25,INDEX(retfunct[],50-(0),COUNT($AV24:AZ24)):INDEX(retfunct[],50-($AK26-$AK$8),COUNT($AV24:AZ24))))</f>
        <v/>
      </c>
      <c r="AP25" s="172" t="str">
        <f>IF($AK25&gt;current_year,"",SUMPRODUCT(AD$7:AD25,INDEX(retfunct[],50-(0),COUNT($AV24:BA24)):INDEX(retfunct[],50-($AK26-$AK$8),COUNT($AV24:BA24))))</f>
        <v/>
      </c>
      <c r="AQ25" s="172" t="str">
        <f>IF($AK25&gt;current_year,"",SUMPRODUCT(AE$7:AE25,INDEX(retfunct[],50-(0),COUNT($AV24:BB24)):INDEX(retfunct[],50-($AK26-$AK$8),COUNT($AV24:BB24))))</f>
        <v/>
      </c>
      <c r="AR25" s="172" t="str">
        <f>IF($AK25&gt;current_year,"",SUMPRODUCT(AF$7:AF25,INDEX(retfunct[],50-(0),COUNT($AV24:BC24)):INDEX(retfunct[],50-($AK26-$AK$8),COUNT($AV24:BC24))))</f>
        <v/>
      </c>
      <c r="AS25" s="172" t="str">
        <f>IF($AK25&gt;current_year,"",SUMPRODUCT(AG$7:AG25,INDEX(retfunct[],50-(0),COUNT($AV24:BD24)):INDEX(retfunct[],50-($AK26-$AK$8),COUNT($AV24:BD24))))</f>
        <v/>
      </c>
      <c r="AT25" s="172" t="str">
        <f>IF($AK25&gt;current_year,"",SUMPRODUCT(AH$7:AH25,INDEX(retfunct[],50-(0),COUNT($AV24:BE24)):INDEX(retfunct[],50-($AK26-$AK$8),COUNT($AV24:BE24))))</f>
        <v/>
      </c>
      <c r="AV25" s="198">
        <v>31</v>
      </c>
      <c r="AW25" s="168">
        <v>0.34666666666666657</v>
      </c>
      <c r="AX25" s="168">
        <v>0</v>
      </c>
      <c r="AY25" s="168">
        <v>0</v>
      </c>
      <c r="AZ25" s="168">
        <v>0</v>
      </c>
      <c r="BA25" s="168">
        <v>0</v>
      </c>
      <c r="BB25" s="168">
        <v>0</v>
      </c>
      <c r="BC25" s="168">
        <v>0</v>
      </c>
      <c r="BD25" s="203">
        <v>0</v>
      </c>
      <c r="BE25" s="203">
        <v>0</v>
      </c>
    </row>
    <row r="26" spans="1:57">
      <c r="A26" s="178">
        <v>2026</v>
      </c>
      <c r="B26" s="172" t="e">
        <f t="shared" si="9"/>
        <v>#VALUE!</v>
      </c>
      <c r="C26" s="172" t="e">
        <f t="shared" si="10"/>
        <v>#VALUE!</v>
      </c>
      <c r="D26" s="172" t="e">
        <f t="shared" si="11"/>
        <v>#VALUE!</v>
      </c>
      <c r="E26" s="172" t="e">
        <f t="shared" si="12"/>
        <v>#VALUE!</v>
      </c>
      <c r="F26" s="172" t="e">
        <f t="shared" si="13"/>
        <v>#VALUE!</v>
      </c>
      <c r="G26" s="172" t="e">
        <f t="shared" si="14"/>
        <v>#VALUE!</v>
      </c>
      <c r="H26" s="172" t="e">
        <f t="shared" si="15"/>
        <v>#VALUE!</v>
      </c>
      <c r="I26" s="172" t="e">
        <f t="shared" si="8"/>
        <v>#VALUE!</v>
      </c>
      <c r="J26" s="172" t="e">
        <f t="shared" si="16"/>
        <v>#VALUE!</v>
      </c>
      <c r="K26" s="172" t="e">
        <f t="shared" si="17"/>
        <v>#VALUE!</v>
      </c>
      <c r="L26" s="180" t="e">
        <f>SUM(K$7:K26)</f>
        <v>#VALUE!</v>
      </c>
      <c r="N26" s="187">
        <v>2026</v>
      </c>
      <c r="O26" s="171" t="s">
        <v>98</v>
      </c>
      <c r="P26" s="171" t="s">
        <v>98</v>
      </c>
      <c r="Q26" s="171" t="s">
        <v>98</v>
      </c>
      <c r="R26" s="171" t="s">
        <v>98</v>
      </c>
      <c r="S26" s="172" t="s">
        <v>98</v>
      </c>
      <c r="T26" s="172" t="s">
        <v>98</v>
      </c>
      <c r="U26" s="172" t="s">
        <v>98</v>
      </c>
      <c r="V26" s="189" t="s">
        <v>98</v>
      </c>
      <c r="W26" s="189" t="s">
        <v>98</v>
      </c>
      <c r="Y26" s="199">
        <v>2026</v>
      </c>
      <c r="Z26" s="169">
        <f>IF(partner_type="Manufacturer",Manufacturer!C26,IF(partner_type="Retailer/Distributor",'Retailer or Distributor'!C26,IF(partner_type="Utility/District",'Utility or District'!C26,Homes_calc!I26)))</f>
        <v>0</v>
      </c>
      <c r="AA26" s="169">
        <f>IF(partner_type="Manufacturer",Manufacturer!D26,IF(partner_type="Retailer/Distributor",'Retailer or Distributor'!D26,IF(partner_type="Utility/District",'Utility or District'!D26,Homes_calc!J26)))</f>
        <v>0</v>
      </c>
      <c r="AB26" s="169">
        <f>IF(partner_type="Manufacturer",Manufacturer!E26,IF(partner_type="Retailer/Distributor",'Retailer or Distributor'!E26,IF(partner_type="Utility/District",'Utility or District'!E26,Homes_calc!K26)))</f>
        <v>0</v>
      </c>
      <c r="AC26" s="169">
        <f>IF(partner_type="Manufacturer",Manufacturer!F26,IF(partner_type="Retailer/Distributor",'Retailer or Distributor'!F26,IF(partner_type="Utility/District",'Utility or District'!F26,Homes_calc!L26)))</f>
        <v>0</v>
      </c>
      <c r="AD26" s="169">
        <f>IF(partner_type="Manufacturer",Manufacturer!G26,IF(partner_type="Retailer/Distributor",'Retailer or Distributor'!G26,IF(partner_type="Utility/District",'Utility or District'!G26,Homes_calc!M26)))</f>
        <v>0</v>
      </c>
      <c r="AE26" s="169">
        <f>IF(partner_type="Manufacturer",Manufacturer!H26,IF(partner_type="Retailer/Distributor",'Retailer or Distributor'!H26,IF(partner_type="Utility/District",'Utility or District'!H26,Homes_calc!N26)))</f>
        <v>0</v>
      </c>
      <c r="AF26" s="169">
        <f>IF(partner_type="Manufacturer",Manufacturer!I26,IF(partner_type="Retailer/Distributor",'Retailer or Distributor'!I26,IF(partner_type="Utility/District",'Utility or District'!I26,Homes_calc!O26)))</f>
        <v>0</v>
      </c>
      <c r="AG26" s="169">
        <f>IF(partner_type="Manufacturer",Manufacturer!J26,IF(partner_type="Retailer/Distributor",'Retailer or Distributor'!J26,IF(partner_type="Utility/District",'Utility or District'!J26,Homes_calc!P26)))</f>
        <v>0</v>
      </c>
      <c r="AH26" s="169">
        <f>IF(partner_type="Manufacturer",Manufacturer!K26,IF(partner_type="Retailer/Distributor",'Retailer or Distributor'!K26,IF(partner_type="Utility/District",'Utility or District'!K26,Homes_calc!Q26)))</f>
        <v>0</v>
      </c>
      <c r="AI26" s="249">
        <f>SUM(ship[[#This Row],[Toilets]:[SSBs]])</f>
        <v>0</v>
      </c>
      <c r="AK26" s="187">
        <v>2026</v>
      </c>
      <c r="AL26" s="172" t="str">
        <f>IF($AK26&gt;current_year,"",SUMPRODUCT(Z$7:Z26,INDEX(retfunct[],50-(0),COUNT($AV25:AW25)):INDEX(retfunct[],50-($AK27-$AK$8),COUNT($AV25:AW25))))</f>
        <v/>
      </c>
      <c r="AM26" s="172" t="str">
        <f>IF($AK26&gt;current_year,"",SUMPRODUCT(AA$7:AA26,INDEX(retfunct[],50-(0),COUNT($AV25:AX25)):INDEX(retfunct[],50-($AK27-$AK$8),COUNT($AV25:AX25))))</f>
        <v/>
      </c>
      <c r="AN26" s="172" t="str">
        <f>IF($AK26&gt;current_year,"",SUMPRODUCT(AB$7:AB26,INDEX(retfunct[],50-(0),COUNT($AV25:AY25)):INDEX(retfunct[],50-($AK27-$AK$8),COUNT($AV25:AY25))))</f>
        <v/>
      </c>
      <c r="AO26" s="172" t="str">
        <f>IF($AK26&gt;current_year,"",SUMPRODUCT(AC$7:AC26,INDEX(retfunct[],50-(0),COUNT($AV25:AZ25)):INDEX(retfunct[],50-($AK27-$AK$8),COUNT($AV25:AZ25))))</f>
        <v/>
      </c>
      <c r="AP26" s="172" t="str">
        <f>IF($AK26&gt;current_year,"",SUMPRODUCT(AD$7:AD26,INDEX(retfunct[],50-(0),COUNT($AV25:BA25)):INDEX(retfunct[],50-($AK27-$AK$8),COUNT($AV25:BA25))))</f>
        <v/>
      </c>
      <c r="AQ26" s="172" t="str">
        <f>IF($AK26&gt;current_year,"",SUMPRODUCT(AE$7:AE26,INDEX(retfunct[],50-(0),COUNT($AV25:BB25)):INDEX(retfunct[],50-($AK27-$AK$8),COUNT($AV25:BB25))))</f>
        <v/>
      </c>
      <c r="AR26" s="172" t="str">
        <f>IF($AK26&gt;current_year,"",SUMPRODUCT(AF$7:AF26,INDEX(retfunct[],50-(0),COUNT($AV25:BC25)):INDEX(retfunct[],50-($AK27-$AK$8),COUNT($AV25:BC25))))</f>
        <v/>
      </c>
      <c r="AS26" s="172" t="str">
        <f>IF($AK26&gt;current_year,"",SUMPRODUCT(AG$7:AG26,INDEX(retfunct[],50-(0),COUNT($AV25:BD25)):INDEX(retfunct[],50-($AK27-$AK$8),COUNT($AV25:BD25))))</f>
        <v/>
      </c>
      <c r="AT26" s="172" t="str">
        <f>IF($AK26&gt;current_year,"",SUMPRODUCT(AH$7:AH26,INDEX(retfunct[],50-(0),COUNT($AV25:BE25)):INDEX(retfunct[],50-($AK27-$AK$8),COUNT($AV25:BE25))))</f>
        <v/>
      </c>
      <c r="AV26" s="198">
        <v>30</v>
      </c>
      <c r="AW26" s="168">
        <v>0.39999999999999991</v>
      </c>
      <c r="AX26" s="168">
        <v>0</v>
      </c>
      <c r="AY26" s="168">
        <v>0</v>
      </c>
      <c r="AZ26" s="168">
        <v>0</v>
      </c>
      <c r="BA26" s="168">
        <v>0</v>
      </c>
      <c r="BB26" s="168">
        <v>0</v>
      </c>
      <c r="BC26" s="168">
        <v>0</v>
      </c>
      <c r="BD26" s="203">
        <v>0</v>
      </c>
      <c r="BE26" s="203">
        <v>0</v>
      </c>
    </row>
    <row r="27" spans="1:57">
      <c r="A27" s="179">
        <v>2027</v>
      </c>
      <c r="B27" s="172" t="e">
        <f t="shared" si="9"/>
        <v>#VALUE!</v>
      </c>
      <c r="C27" s="172" t="e">
        <f t="shared" si="10"/>
        <v>#VALUE!</v>
      </c>
      <c r="D27" s="172" t="e">
        <f t="shared" si="11"/>
        <v>#VALUE!</v>
      </c>
      <c r="E27" s="172" t="e">
        <f t="shared" si="12"/>
        <v>#VALUE!</v>
      </c>
      <c r="F27" s="172" t="e">
        <f t="shared" si="13"/>
        <v>#VALUE!</v>
      </c>
      <c r="G27" s="172" t="e">
        <f t="shared" si="14"/>
        <v>#VALUE!</v>
      </c>
      <c r="H27" s="172" t="e">
        <f t="shared" si="15"/>
        <v>#VALUE!</v>
      </c>
      <c r="I27" s="172" t="e">
        <f t="shared" si="8"/>
        <v>#VALUE!</v>
      </c>
      <c r="J27" s="172" t="e">
        <f t="shared" si="16"/>
        <v>#VALUE!</v>
      </c>
      <c r="K27" s="172" t="e">
        <f t="shared" si="17"/>
        <v>#VALUE!</v>
      </c>
      <c r="L27" s="180" t="e">
        <f>SUM(K$7:K27)</f>
        <v>#VALUE!</v>
      </c>
      <c r="N27" s="187">
        <v>2027</v>
      </c>
      <c r="O27" s="171" t="s">
        <v>98</v>
      </c>
      <c r="P27" s="171" t="s">
        <v>98</v>
      </c>
      <c r="Q27" s="171" t="s">
        <v>98</v>
      </c>
      <c r="R27" s="171" t="s">
        <v>98</v>
      </c>
      <c r="S27" s="172" t="s">
        <v>98</v>
      </c>
      <c r="T27" s="172" t="s">
        <v>98</v>
      </c>
      <c r="U27" s="172" t="s">
        <v>98</v>
      </c>
      <c r="V27" s="189" t="s">
        <v>98</v>
      </c>
      <c r="W27" s="189" t="s">
        <v>98</v>
      </c>
      <c r="Y27" s="199">
        <v>2027</v>
      </c>
      <c r="Z27" s="169">
        <f>IF(partner_type="Manufacturer",Manufacturer!C27,IF(partner_type="Retailer/Distributor",'Retailer or Distributor'!C27,IF(partner_type="Utility/District",'Utility or District'!C27,Homes_calc!I27)))</f>
        <v>0</v>
      </c>
      <c r="AA27" s="169">
        <f>IF(partner_type="Manufacturer",Manufacturer!D27,IF(partner_type="Retailer/Distributor",'Retailer or Distributor'!D27,IF(partner_type="Utility/District",'Utility or District'!D27,Homes_calc!J27)))</f>
        <v>0</v>
      </c>
      <c r="AB27" s="169">
        <f>IF(partner_type="Manufacturer",Manufacturer!E27,IF(partner_type="Retailer/Distributor",'Retailer or Distributor'!E27,IF(partner_type="Utility/District",'Utility or District'!E27,Homes_calc!K27)))</f>
        <v>0</v>
      </c>
      <c r="AC27" s="169">
        <f>IF(partner_type="Manufacturer",Manufacturer!F27,IF(partner_type="Retailer/Distributor",'Retailer or Distributor'!F27,IF(partner_type="Utility/District",'Utility or District'!F27,Homes_calc!L27)))</f>
        <v>0</v>
      </c>
      <c r="AD27" s="169">
        <f>IF(partner_type="Manufacturer",Manufacturer!G27,IF(partner_type="Retailer/Distributor",'Retailer or Distributor'!G27,IF(partner_type="Utility/District",'Utility or District'!G27,Homes_calc!M27)))</f>
        <v>0</v>
      </c>
      <c r="AE27" s="169">
        <f>IF(partner_type="Manufacturer",Manufacturer!H27,IF(partner_type="Retailer/Distributor",'Retailer or Distributor'!H27,IF(partner_type="Utility/District",'Utility or District'!H27,Homes_calc!N27)))</f>
        <v>0</v>
      </c>
      <c r="AF27" s="169">
        <f>IF(partner_type="Manufacturer",Manufacturer!I27,IF(partner_type="Retailer/Distributor",'Retailer or Distributor'!I27,IF(partner_type="Utility/District",'Utility or District'!I27,Homes_calc!O27)))</f>
        <v>0</v>
      </c>
      <c r="AG27" s="169">
        <f>IF(partner_type="Manufacturer",Manufacturer!J27,IF(partner_type="Retailer/Distributor",'Retailer or Distributor'!J27,IF(partner_type="Utility/District",'Utility or District'!J27,Homes_calc!P27)))</f>
        <v>0</v>
      </c>
      <c r="AH27" s="169">
        <f>IF(partner_type="Manufacturer",Manufacturer!K27,IF(partner_type="Retailer/Distributor",'Retailer or Distributor'!K27,IF(partner_type="Utility/District",'Utility or District'!K27,Homes_calc!Q27)))</f>
        <v>0</v>
      </c>
      <c r="AI27" s="249">
        <f>SUM(ship[[#This Row],[Toilets]:[SSBs]])</f>
        <v>0</v>
      </c>
      <c r="AK27" s="187">
        <v>2027</v>
      </c>
      <c r="AL27" s="172" t="str">
        <f>IF($AK27&gt;current_year,"",SUMPRODUCT(Z$7:Z27,INDEX(retfunct[],50-(0),COUNT($AV26:AW26)):INDEX(retfunct[],50-($AK28-$AK$8),COUNT($AV26:AW26))))</f>
        <v/>
      </c>
      <c r="AM27" s="172" t="str">
        <f>IF($AK27&gt;current_year,"",SUMPRODUCT(AA$7:AA27,INDEX(retfunct[],50-(0),COUNT($AV26:AX26)):INDEX(retfunct[],50-($AK28-$AK$8),COUNT($AV26:AX26))))</f>
        <v/>
      </c>
      <c r="AN27" s="172" t="str">
        <f>IF($AK27&gt;current_year,"",SUMPRODUCT(AB$7:AB27,INDEX(retfunct[],50-(0),COUNT($AV26:AY26)):INDEX(retfunct[],50-($AK28-$AK$8),COUNT($AV26:AY26))))</f>
        <v/>
      </c>
      <c r="AO27" s="172" t="str">
        <f>IF($AK27&gt;current_year,"",SUMPRODUCT(AC$7:AC27,INDEX(retfunct[],50-(0),COUNT($AV26:AZ26)):INDEX(retfunct[],50-($AK28-$AK$8),COUNT($AV26:AZ26))))</f>
        <v/>
      </c>
      <c r="AP27" s="172" t="str">
        <f>IF($AK27&gt;current_year,"",SUMPRODUCT(AD$7:AD27,INDEX(retfunct[],50-(0),COUNT($AV26:BA26)):INDEX(retfunct[],50-($AK28-$AK$8),COUNT($AV26:BA26))))</f>
        <v/>
      </c>
      <c r="AQ27" s="172" t="str">
        <f>IF($AK27&gt;current_year,"",SUMPRODUCT(AE$7:AE27,INDEX(retfunct[],50-(0),COUNT($AV26:BB26)):INDEX(retfunct[],50-($AK28-$AK$8),COUNT($AV26:BB26))))</f>
        <v/>
      </c>
      <c r="AR27" s="172" t="str">
        <f>IF($AK27&gt;current_year,"",SUMPRODUCT(AF$7:AF27,INDEX(retfunct[],50-(0),COUNT($AV26:BC26)):INDEX(retfunct[],50-($AK28-$AK$8),COUNT($AV26:BC26))))</f>
        <v/>
      </c>
      <c r="AS27" s="172" t="str">
        <f>IF($AK27&gt;current_year,"",SUMPRODUCT(AG$7:AG27,INDEX(retfunct[],50-(0),COUNT($AV26:BD26)):INDEX(retfunct[],50-($AK28-$AK$8),COUNT($AV26:BD26))))</f>
        <v/>
      </c>
      <c r="AT27" s="172" t="str">
        <f>IF($AK27&gt;current_year,"",SUMPRODUCT(AH$7:AH27,INDEX(retfunct[],50-(0),COUNT($AV26:BE26)):INDEX(retfunct[],50-($AK28-$AK$8),COUNT($AV26:BE26))))</f>
        <v/>
      </c>
      <c r="AV27" s="198">
        <v>29</v>
      </c>
      <c r="AW27" s="168">
        <v>0.45714285714285707</v>
      </c>
      <c r="AX27" s="168">
        <v>0</v>
      </c>
      <c r="AY27" s="168">
        <v>0</v>
      </c>
      <c r="AZ27" s="168">
        <v>0</v>
      </c>
      <c r="BA27" s="168">
        <v>0</v>
      </c>
      <c r="BB27" s="168">
        <v>0</v>
      </c>
      <c r="BC27" s="168">
        <v>0</v>
      </c>
      <c r="BD27" s="203">
        <v>0</v>
      </c>
      <c r="BE27" s="203">
        <v>0</v>
      </c>
    </row>
    <row r="28" spans="1:57">
      <c r="A28" s="178">
        <v>2028</v>
      </c>
      <c r="B28" s="172" t="e">
        <f t="shared" si="9"/>
        <v>#VALUE!</v>
      </c>
      <c r="C28" s="172" t="e">
        <f t="shared" si="10"/>
        <v>#VALUE!</v>
      </c>
      <c r="D28" s="172" t="e">
        <f t="shared" si="11"/>
        <v>#VALUE!</v>
      </c>
      <c r="E28" s="172" t="e">
        <f t="shared" si="12"/>
        <v>#VALUE!</v>
      </c>
      <c r="F28" s="172" t="e">
        <f t="shared" si="13"/>
        <v>#VALUE!</v>
      </c>
      <c r="G28" s="172" t="e">
        <f t="shared" si="14"/>
        <v>#VALUE!</v>
      </c>
      <c r="H28" s="172" t="e">
        <f t="shared" si="15"/>
        <v>#VALUE!</v>
      </c>
      <c r="I28" s="172" t="e">
        <f t="shared" si="8"/>
        <v>#VALUE!</v>
      </c>
      <c r="J28" s="172" t="e">
        <f t="shared" si="16"/>
        <v>#VALUE!</v>
      </c>
      <c r="K28" s="172" t="e">
        <f t="shared" si="17"/>
        <v>#VALUE!</v>
      </c>
      <c r="L28" s="180" t="e">
        <f>SUM(K$7:K28)</f>
        <v>#VALUE!</v>
      </c>
      <c r="N28" s="187">
        <v>2028</v>
      </c>
      <c r="O28" s="171" t="s">
        <v>98</v>
      </c>
      <c r="P28" s="171" t="s">
        <v>98</v>
      </c>
      <c r="Q28" s="171" t="s">
        <v>98</v>
      </c>
      <c r="R28" s="171" t="s">
        <v>98</v>
      </c>
      <c r="S28" s="172" t="s">
        <v>98</v>
      </c>
      <c r="T28" s="172" t="s">
        <v>98</v>
      </c>
      <c r="U28" s="172" t="s">
        <v>98</v>
      </c>
      <c r="V28" s="189" t="s">
        <v>98</v>
      </c>
      <c r="W28" s="189" t="s">
        <v>98</v>
      </c>
      <c r="Y28" s="199">
        <v>2028</v>
      </c>
      <c r="Z28" s="169">
        <f>IF(partner_type="Manufacturer",Manufacturer!C28,IF(partner_type="Retailer/Distributor",'Retailer or Distributor'!C28,IF(partner_type="Utility/District",'Utility or District'!C28,Homes_calc!I28)))</f>
        <v>0</v>
      </c>
      <c r="AA28" s="169">
        <f>IF(partner_type="Manufacturer",Manufacturer!D28,IF(partner_type="Retailer/Distributor",'Retailer or Distributor'!D28,IF(partner_type="Utility/District",'Utility or District'!D28,Homes_calc!J28)))</f>
        <v>0</v>
      </c>
      <c r="AB28" s="169">
        <f>IF(partner_type="Manufacturer",Manufacturer!E28,IF(partner_type="Retailer/Distributor",'Retailer or Distributor'!E28,IF(partner_type="Utility/District",'Utility or District'!E28,Homes_calc!K28)))</f>
        <v>0</v>
      </c>
      <c r="AC28" s="169">
        <f>IF(partner_type="Manufacturer",Manufacturer!F28,IF(partner_type="Retailer/Distributor",'Retailer or Distributor'!F28,IF(partner_type="Utility/District",'Utility or District'!F28,Homes_calc!L28)))</f>
        <v>0</v>
      </c>
      <c r="AD28" s="169">
        <f>IF(partner_type="Manufacturer",Manufacturer!G28,IF(partner_type="Retailer/Distributor",'Retailer or Distributor'!G28,IF(partner_type="Utility/District",'Utility or District'!G28,Homes_calc!M28)))</f>
        <v>0</v>
      </c>
      <c r="AE28" s="169">
        <f>IF(partner_type="Manufacturer",Manufacturer!H28,IF(partner_type="Retailer/Distributor",'Retailer or Distributor'!H28,IF(partner_type="Utility/District",'Utility or District'!H28,Homes_calc!N28)))</f>
        <v>0</v>
      </c>
      <c r="AF28" s="169">
        <f>IF(partner_type="Manufacturer",Manufacturer!I28,IF(partner_type="Retailer/Distributor",'Retailer or Distributor'!I28,IF(partner_type="Utility/District",'Utility or District'!I28,Homes_calc!O28)))</f>
        <v>0</v>
      </c>
      <c r="AG28" s="169">
        <f>IF(partner_type="Manufacturer",Manufacturer!J28,IF(partner_type="Retailer/Distributor",'Retailer or Distributor'!J28,IF(partner_type="Utility/District",'Utility or District'!J28,Homes_calc!P28)))</f>
        <v>0</v>
      </c>
      <c r="AH28" s="169">
        <f>IF(partner_type="Manufacturer",Manufacturer!K28,IF(partner_type="Retailer/Distributor",'Retailer or Distributor'!K28,IF(partner_type="Utility/District",'Utility or District'!K28,Homes_calc!Q28)))</f>
        <v>0</v>
      </c>
      <c r="AI28" s="249">
        <f>SUM(ship[[#This Row],[Toilets]:[SSBs]])</f>
        <v>0</v>
      </c>
      <c r="AK28" s="187">
        <v>2028</v>
      </c>
      <c r="AL28" s="172" t="str">
        <f>IF($AK28&gt;current_year,"",SUMPRODUCT(Z$7:Z28,INDEX(retfunct[],50-(0),COUNT($AV27:AW27)):INDEX(retfunct[],50-($AK29-$AK$8),COUNT($AV27:AW27))))</f>
        <v/>
      </c>
      <c r="AM28" s="172" t="str">
        <f>IF($AK28&gt;current_year,"",SUMPRODUCT(AA$7:AA28,INDEX(retfunct[],50-(0),COUNT($AV27:AX27)):INDEX(retfunct[],50-($AK29-$AK$8),COUNT($AV27:AX27))))</f>
        <v/>
      </c>
      <c r="AN28" s="172" t="str">
        <f>IF($AK28&gt;current_year,"",SUMPRODUCT(AB$7:AB28,INDEX(retfunct[],50-(0),COUNT($AV27:AY27)):INDEX(retfunct[],50-($AK29-$AK$8),COUNT($AV27:AY27))))</f>
        <v/>
      </c>
      <c r="AO28" s="172" t="str">
        <f>IF($AK28&gt;current_year,"",SUMPRODUCT(AC$7:AC28,INDEX(retfunct[],50-(0),COUNT($AV27:AZ27)):INDEX(retfunct[],50-($AK29-$AK$8),COUNT($AV27:AZ27))))</f>
        <v/>
      </c>
      <c r="AP28" s="172" t="str">
        <f>IF($AK28&gt;current_year,"",SUMPRODUCT(AD$7:AD28,INDEX(retfunct[],50-(0),COUNT($AV27:BA27)):INDEX(retfunct[],50-($AK29-$AK$8),COUNT($AV27:BA27))))</f>
        <v/>
      </c>
      <c r="AQ28" s="172" t="str">
        <f>IF($AK28&gt;current_year,"",SUMPRODUCT(AE$7:AE28,INDEX(retfunct[],50-(0),COUNT($AV27:BB27)):INDEX(retfunct[],50-($AK29-$AK$8),COUNT($AV27:BB27))))</f>
        <v/>
      </c>
      <c r="AR28" s="172" t="str">
        <f>IF($AK28&gt;current_year,"",SUMPRODUCT(AF$7:AF28,INDEX(retfunct[],50-(0),COUNT($AV27:BC27)):INDEX(retfunct[],50-($AK29-$AK$8),COUNT($AV27:BC27))))</f>
        <v/>
      </c>
      <c r="AS28" s="172" t="str">
        <f>IF($AK28&gt;current_year,"",SUMPRODUCT(AG$7:AG28,INDEX(retfunct[],50-(0),COUNT($AV27:BD27)):INDEX(retfunct[],50-($AK29-$AK$8),COUNT($AV27:BD27))))</f>
        <v/>
      </c>
      <c r="AT28" s="172" t="str">
        <f>IF($AK28&gt;current_year,"",SUMPRODUCT(AH$7:AH28,INDEX(retfunct[],50-(0),COUNT($AV27:BE27)):INDEX(retfunct[],50-($AK29-$AK$8),COUNT($AV27:BE27))))</f>
        <v/>
      </c>
      <c r="AV28" s="198">
        <v>28</v>
      </c>
      <c r="AW28" s="168">
        <v>0.51142857142857134</v>
      </c>
      <c r="AX28" s="168">
        <v>0</v>
      </c>
      <c r="AY28" s="168">
        <v>0</v>
      </c>
      <c r="AZ28" s="168">
        <v>0</v>
      </c>
      <c r="BA28" s="168">
        <v>1.0000000000000009E-2</v>
      </c>
      <c r="BB28" s="168">
        <v>1.0000000000000009E-2</v>
      </c>
      <c r="BC28" s="168">
        <v>0</v>
      </c>
      <c r="BD28" s="203">
        <v>0</v>
      </c>
      <c r="BE28" s="203">
        <v>0</v>
      </c>
    </row>
    <row r="29" spans="1:57">
      <c r="A29" s="178">
        <v>2029</v>
      </c>
      <c r="B29" s="172" t="e">
        <f t="shared" si="9"/>
        <v>#VALUE!</v>
      </c>
      <c r="C29" s="172" t="e">
        <f t="shared" si="10"/>
        <v>#VALUE!</v>
      </c>
      <c r="D29" s="172" t="e">
        <f t="shared" si="11"/>
        <v>#VALUE!</v>
      </c>
      <c r="E29" s="172" t="e">
        <f t="shared" si="12"/>
        <v>#VALUE!</v>
      </c>
      <c r="F29" s="172" t="e">
        <f t="shared" si="13"/>
        <v>#VALUE!</v>
      </c>
      <c r="G29" s="172" t="e">
        <f t="shared" si="14"/>
        <v>#VALUE!</v>
      </c>
      <c r="H29" s="172" t="e">
        <f t="shared" si="15"/>
        <v>#VALUE!</v>
      </c>
      <c r="I29" s="172" t="e">
        <f t="shared" si="8"/>
        <v>#VALUE!</v>
      </c>
      <c r="J29" s="172" t="e">
        <f t="shared" si="16"/>
        <v>#VALUE!</v>
      </c>
      <c r="K29" s="172" t="e">
        <f t="shared" si="17"/>
        <v>#VALUE!</v>
      </c>
      <c r="L29" s="180" t="e">
        <f>SUM(K$7:K29)</f>
        <v>#VALUE!</v>
      </c>
      <c r="N29" s="187">
        <v>2029</v>
      </c>
      <c r="O29" s="171" t="s">
        <v>98</v>
      </c>
      <c r="P29" s="171" t="s">
        <v>98</v>
      </c>
      <c r="Q29" s="171" t="s">
        <v>98</v>
      </c>
      <c r="R29" s="171" t="s">
        <v>98</v>
      </c>
      <c r="S29" s="172" t="s">
        <v>98</v>
      </c>
      <c r="T29" s="172" t="s">
        <v>98</v>
      </c>
      <c r="U29" s="172" t="s">
        <v>98</v>
      </c>
      <c r="V29" s="189" t="s">
        <v>98</v>
      </c>
      <c r="W29" s="189" t="s">
        <v>98</v>
      </c>
      <c r="Y29" s="199">
        <v>2029</v>
      </c>
      <c r="Z29" s="169">
        <f>IF(partner_type="Manufacturer",Manufacturer!C29,IF(partner_type="Retailer/Distributor",'Retailer or Distributor'!C29,IF(partner_type="Utility/District",'Utility or District'!C29,Homes_calc!I29)))</f>
        <v>0</v>
      </c>
      <c r="AA29" s="169">
        <f>IF(partner_type="Manufacturer",Manufacturer!D29,IF(partner_type="Retailer/Distributor",'Retailer or Distributor'!D29,IF(partner_type="Utility/District",'Utility or District'!D29,Homes_calc!J29)))</f>
        <v>0</v>
      </c>
      <c r="AB29" s="169">
        <f>IF(partner_type="Manufacturer",Manufacturer!E29,IF(partner_type="Retailer/Distributor",'Retailer or Distributor'!E29,IF(partner_type="Utility/District",'Utility or District'!E29,Homes_calc!K29)))</f>
        <v>0</v>
      </c>
      <c r="AC29" s="169">
        <f>IF(partner_type="Manufacturer",Manufacturer!F29,IF(partner_type="Retailer/Distributor",'Retailer or Distributor'!F29,IF(partner_type="Utility/District",'Utility or District'!F29,Homes_calc!L29)))</f>
        <v>0</v>
      </c>
      <c r="AD29" s="169">
        <f>IF(partner_type="Manufacturer",Manufacturer!G29,IF(partner_type="Retailer/Distributor",'Retailer or Distributor'!G29,IF(partner_type="Utility/District",'Utility or District'!G29,Homes_calc!M29)))</f>
        <v>0</v>
      </c>
      <c r="AE29" s="169">
        <f>IF(partner_type="Manufacturer",Manufacturer!H29,IF(partner_type="Retailer/Distributor",'Retailer or Distributor'!H29,IF(partner_type="Utility/District",'Utility or District'!H29,Homes_calc!N29)))</f>
        <v>0</v>
      </c>
      <c r="AF29" s="169">
        <f>IF(partner_type="Manufacturer",Manufacturer!I29,IF(partner_type="Retailer/Distributor",'Retailer or Distributor'!I29,IF(partner_type="Utility/District",'Utility or District'!I29,Homes_calc!O29)))</f>
        <v>0</v>
      </c>
      <c r="AG29" s="169">
        <f>IF(partner_type="Manufacturer",Manufacturer!J29,IF(partner_type="Retailer/Distributor",'Retailer or Distributor'!J29,IF(partner_type="Utility/District",'Utility or District'!J29,Homes_calc!P29)))</f>
        <v>0</v>
      </c>
      <c r="AH29" s="169">
        <f>IF(partner_type="Manufacturer",Manufacturer!K29,IF(partner_type="Retailer/Distributor",'Retailer or Distributor'!K29,IF(partner_type="Utility/District",'Utility or District'!K29,Homes_calc!Q29)))</f>
        <v>0</v>
      </c>
      <c r="AI29" s="249">
        <f>SUM(ship[[#This Row],[Toilets]:[SSBs]])</f>
        <v>0</v>
      </c>
      <c r="AK29" s="187">
        <v>2029</v>
      </c>
      <c r="AL29" s="172" t="str">
        <f>IF($AK29&gt;current_year,"",SUMPRODUCT(Z$7:Z29,INDEX(retfunct[],50-(0),COUNT($AV28:AW28)):INDEX(retfunct[],50-($AK30-$AK$8),COUNT($AV28:AW28))))</f>
        <v/>
      </c>
      <c r="AM29" s="172" t="str">
        <f>IF($AK29&gt;current_year,"",SUMPRODUCT(AA$7:AA29,INDEX(retfunct[],50-(0),COUNT($AV28:AX28)):INDEX(retfunct[],50-($AK30-$AK$8),COUNT($AV28:AX28))))</f>
        <v/>
      </c>
      <c r="AN29" s="172" t="str">
        <f>IF($AK29&gt;current_year,"",SUMPRODUCT(AB$7:AB29,INDEX(retfunct[],50-(0),COUNT($AV28:AY28)):INDEX(retfunct[],50-($AK30-$AK$8),COUNT($AV28:AY28))))</f>
        <v/>
      </c>
      <c r="AO29" s="172" t="str">
        <f>IF($AK29&gt;current_year,"",SUMPRODUCT(AC$7:AC29,INDEX(retfunct[],50-(0),COUNT($AV28:AZ28)):INDEX(retfunct[],50-($AK30-$AK$8),COUNT($AV28:AZ28))))</f>
        <v/>
      </c>
      <c r="AP29" s="172" t="str">
        <f>IF($AK29&gt;current_year,"",SUMPRODUCT(AD$7:AD29,INDEX(retfunct[],50-(0),COUNT($AV28:BA28)):INDEX(retfunct[],50-($AK30-$AK$8),COUNT($AV28:BA28))))</f>
        <v/>
      </c>
      <c r="AQ29" s="172" t="str">
        <f>IF($AK29&gt;current_year,"",SUMPRODUCT(AE$7:AE29,INDEX(retfunct[],50-(0),COUNT($AV28:BB28)):INDEX(retfunct[],50-($AK30-$AK$8),COUNT($AV28:BB28))))</f>
        <v/>
      </c>
      <c r="AR29" s="172" t="str">
        <f>IF($AK29&gt;current_year,"",SUMPRODUCT(AF$7:AF29,INDEX(retfunct[],50-(0),COUNT($AV28:BC28)):INDEX(retfunct[],50-($AK30-$AK$8),COUNT($AV28:BC28))))</f>
        <v/>
      </c>
      <c r="AS29" s="172" t="str">
        <f>IF($AK29&gt;current_year,"",SUMPRODUCT(AG$7:AG29,INDEX(retfunct[],50-(0),COUNT($AV28:BD28)):INDEX(retfunct[],50-($AK30-$AK$8),COUNT($AV28:BD28))))</f>
        <v/>
      </c>
      <c r="AT29" s="172" t="str">
        <f>IF($AK29&gt;current_year,"",SUMPRODUCT(AH$7:AH29,INDEX(retfunct[],50-(0),COUNT($AV28:BE28)):INDEX(retfunct[],50-($AK30-$AK$8),COUNT($AV28:BE28))))</f>
        <v/>
      </c>
      <c r="AV29" s="198">
        <v>27</v>
      </c>
      <c r="AW29" s="168">
        <v>0.56285714285714283</v>
      </c>
      <c r="AX29" s="168">
        <v>0</v>
      </c>
      <c r="AY29" s="168">
        <v>0</v>
      </c>
      <c r="AZ29" s="168">
        <v>0</v>
      </c>
      <c r="BA29" s="168">
        <v>3.0000000000000027E-2</v>
      </c>
      <c r="BB29" s="168">
        <v>3.0000000000000027E-2</v>
      </c>
      <c r="BC29" s="168">
        <v>0</v>
      </c>
      <c r="BD29" s="203">
        <v>0</v>
      </c>
      <c r="BE29" s="203">
        <v>0</v>
      </c>
    </row>
    <row r="30" spans="1:57">
      <c r="A30" s="184">
        <v>2030</v>
      </c>
      <c r="B30" s="172" t="e">
        <f t="shared" si="9"/>
        <v>#VALUE!</v>
      </c>
      <c r="C30" s="172" t="e">
        <f t="shared" si="10"/>
        <v>#VALUE!</v>
      </c>
      <c r="D30" s="172" t="e">
        <f t="shared" si="11"/>
        <v>#VALUE!</v>
      </c>
      <c r="E30" s="172" t="e">
        <f t="shared" si="12"/>
        <v>#VALUE!</v>
      </c>
      <c r="F30" s="172" t="e">
        <f t="shared" si="13"/>
        <v>#VALUE!</v>
      </c>
      <c r="G30" s="172" t="e">
        <f t="shared" si="14"/>
        <v>#VALUE!</v>
      </c>
      <c r="H30" s="172" t="e">
        <f t="shared" si="15"/>
        <v>#VALUE!</v>
      </c>
      <c r="I30" s="172" t="e">
        <f t="shared" si="8"/>
        <v>#VALUE!</v>
      </c>
      <c r="J30" s="172" t="e">
        <f t="shared" si="16"/>
        <v>#VALUE!</v>
      </c>
      <c r="K30" s="172" t="e">
        <f t="shared" si="17"/>
        <v>#VALUE!</v>
      </c>
      <c r="L30" s="180" t="e">
        <f>SUM(K$7:K30)</f>
        <v>#VALUE!</v>
      </c>
      <c r="N30" s="190">
        <v>2030</v>
      </c>
      <c r="O30" s="191" t="s">
        <v>98</v>
      </c>
      <c r="P30" s="191" t="s">
        <v>98</v>
      </c>
      <c r="Q30" s="191" t="s">
        <v>98</v>
      </c>
      <c r="R30" s="191" t="s">
        <v>98</v>
      </c>
      <c r="S30" s="185" t="s">
        <v>98</v>
      </c>
      <c r="T30" s="185" t="s">
        <v>98</v>
      </c>
      <c r="U30" s="185" t="s">
        <v>98</v>
      </c>
      <c r="V30" s="192" t="s">
        <v>98</v>
      </c>
      <c r="W30" s="192" t="s">
        <v>98</v>
      </c>
      <c r="Y30" s="201">
        <v>2030</v>
      </c>
      <c r="Z30" s="169">
        <f>IF(partner_type="Manufacturer",Manufacturer!C30,IF(partner_type="Retailer/Distributor",'Retailer or Distributor'!C30,IF(partner_type="Utility/District",'Utility or District'!C30,Homes_calc!I30)))</f>
        <v>0</v>
      </c>
      <c r="AA30" s="169">
        <f>IF(partner_type="Manufacturer",Manufacturer!D30,IF(partner_type="Retailer/Distributor",'Retailer or Distributor'!D30,IF(partner_type="Utility/District",'Utility or District'!D30,Homes_calc!J30)))</f>
        <v>0</v>
      </c>
      <c r="AB30" s="169">
        <f>IF(partner_type="Manufacturer",Manufacturer!E30,IF(partner_type="Retailer/Distributor",'Retailer or Distributor'!E30,IF(partner_type="Utility/District",'Utility or District'!E30,Homes_calc!K30)))</f>
        <v>0</v>
      </c>
      <c r="AC30" s="169">
        <f>IF(partner_type="Manufacturer",Manufacturer!F30,IF(partner_type="Retailer/Distributor",'Retailer or Distributor'!F30,IF(partner_type="Utility/District",'Utility or District'!F30,Homes_calc!L30)))</f>
        <v>0</v>
      </c>
      <c r="AD30" s="169">
        <f>IF(partner_type="Manufacturer",Manufacturer!G30,IF(partner_type="Retailer/Distributor",'Retailer or Distributor'!G30,IF(partner_type="Utility/District",'Utility or District'!G30,Homes_calc!M30)))</f>
        <v>0</v>
      </c>
      <c r="AE30" s="169">
        <f>IF(partner_type="Manufacturer",Manufacturer!H30,IF(partner_type="Retailer/Distributor",'Retailer or Distributor'!H30,IF(partner_type="Utility/District",'Utility or District'!H30,Homes_calc!N30)))</f>
        <v>0</v>
      </c>
      <c r="AF30" s="169">
        <f>IF(partner_type="Manufacturer",Manufacturer!I30,IF(partner_type="Retailer/Distributor",'Retailer or Distributor'!I30,IF(partner_type="Utility/District",'Utility or District'!I30,Homes_calc!O30)))</f>
        <v>0</v>
      </c>
      <c r="AG30" s="169">
        <f>IF(partner_type="Manufacturer",Manufacturer!J30,IF(partner_type="Retailer/Distributor",'Retailer or Distributor'!J30,IF(partner_type="Utility/District",'Utility or District'!J30,Homes_calc!P30)))</f>
        <v>0</v>
      </c>
      <c r="AH30" s="169">
        <f>IF(partner_type="Manufacturer",Manufacturer!K30,IF(partner_type="Retailer/Distributor",'Retailer or Distributor'!K30,IF(partner_type="Utility/District",'Utility or District'!K30,Homes_calc!Q30)))</f>
        <v>0</v>
      </c>
      <c r="AI30" s="251">
        <f>SUM(ship[[#This Row],[Toilets]:[SSBs]])</f>
        <v>0</v>
      </c>
      <c r="AK30" s="190">
        <v>2030</v>
      </c>
      <c r="AL30" s="172" t="str">
        <f>IF($AK30&gt;current_year,"",SUMPRODUCT(Z$7:Z30,INDEX(retfunct[],50-(0),COUNT($AV29:AW29)):INDEX(retfunct[],50-($AK31-$AK$8),COUNT($AV29:AW29))))</f>
        <v/>
      </c>
      <c r="AM30" s="172" t="str">
        <f>IF($AK30&gt;current_year,"",SUMPRODUCT(AA$7:AA30,INDEX(retfunct[],50-(0),COUNT($AV29:AX29)):INDEX(retfunct[],50-($AK31-$AK$8),COUNT($AV29:AX29))))</f>
        <v/>
      </c>
      <c r="AN30" s="172" t="str">
        <f>IF($AK30&gt;current_year,"",SUMPRODUCT(AB$7:AB30,INDEX(retfunct[],50-(0),COUNT($AV29:AY29)):INDEX(retfunct[],50-($AK31-$AK$8),COUNT($AV29:AY29))))</f>
        <v/>
      </c>
      <c r="AO30" s="172" t="str">
        <f>IF($AK30&gt;current_year,"",SUMPRODUCT(AC$7:AC30,INDEX(retfunct[],50-(0),COUNT($AV29:AZ29)):INDEX(retfunct[],50-($AK31-$AK$8),COUNT($AV29:AZ29))))</f>
        <v/>
      </c>
      <c r="AP30" s="172" t="str">
        <f>IF($AK30&gt;current_year,"",SUMPRODUCT(AD$7:AD30,INDEX(retfunct[],50-(0),COUNT($AV29:BA29)):INDEX(retfunct[],50-($AK31-$AK$8),COUNT($AV29:BA29))))</f>
        <v/>
      </c>
      <c r="AQ30" s="172" t="str">
        <f>IF($AK30&gt;current_year,"",SUMPRODUCT(AE$7:AE30,INDEX(retfunct[],50-(0),COUNT($AV29:BB29)):INDEX(retfunct[],50-($AK31-$AK$8),COUNT($AV29:BB29))))</f>
        <v/>
      </c>
      <c r="AR30" s="172" t="str">
        <f>IF($AK30&gt;current_year,"",SUMPRODUCT(AF$7:AF30,INDEX(retfunct[],50-(0),COUNT($AV29:BC29)):INDEX(retfunct[],50-($AK31-$AK$8),COUNT($AV29:BC29))))</f>
        <v/>
      </c>
      <c r="AS30" s="172" t="str">
        <f>IF($AK30&gt;current_year,"",SUMPRODUCT(AG$7:AG30,INDEX(retfunct[],50-(0),COUNT($AV29:BD29)):INDEX(retfunct[],50-($AK31-$AK$8),COUNT($AV29:BD29))))</f>
        <v/>
      </c>
      <c r="AT30" s="172" t="str">
        <f>IF($AK30&gt;current_year,"",SUMPRODUCT(AH$7:AH30,INDEX(retfunct[],50-(0),COUNT($AV29:BE29)):INDEX(retfunct[],50-($AK31-$AK$8),COUNT($AV29:BE29))))</f>
        <v/>
      </c>
      <c r="AV30" s="198">
        <v>26</v>
      </c>
      <c r="AW30" s="168">
        <v>0.61142857142857143</v>
      </c>
      <c r="AX30" s="168">
        <v>0</v>
      </c>
      <c r="AY30" s="168">
        <v>0</v>
      </c>
      <c r="AZ30" s="168">
        <v>0</v>
      </c>
      <c r="BA30" s="168">
        <v>6.0000000000000053E-2</v>
      </c>
      <c r="BB30" s="168">
        <v>6.0000000000000053E-2</v>
      </c>
      <c r="BC30" s="168">
        <v>0</v>
      </c>
      <c r="BD30" s="203">
        <v>0</v>
      </c>
      <c r="BE30" s="203">
        <v>0</v>
      </c>
    </row>
    <row r="31" spans="1:57">
      <c r="Y31" s="287"/>
      <c r="Z31" s="288"/>
      <c r="AA31" s="289"/>
      <c r="AB31" s="289"/>
      <c r="AC31" s="289"/>
      <c r="AD31" s="289"/>
      <c r="AE31" s="289"/>
      <c r="AF31" s="289"/>
      <c r="AG31" s="289"/>
      <c r="AH31" s="290"/>
      <c r="AI31" s="289">
        <f>ROUNDDOWN(SUM(ship[Total]),0)</f>
        <v>0</v>
      </c>
      <c r="AV31" s="198">
        <v>25</v>
      </c>
      <c r="AW31" s="168">
        <v>0.65714285714285714</v>
      </c>
      <c r="AX31" s="168">
        <v>0</v>
      </c>
      <c r="AY31" s="168">
        <v>0</v>
      </c>
      <c r="AZ31" s="168">
        <v>0</v>
      </c>
      <c r="BA31" s="168">
        <v>0.10000000000000009</v>
      </c>
      <c r="BB31" s="168">
        <v>0.10000000000000009</v>
      </c>
      <c r="BC31" s="168">
        <v>0</v>
      </c>
      <c r="BD31" s="203">
        <v>0</v>
      </c>
      <c r="BE31" s="203">
        <v>0</v>
      </c>
    </row>
    <row r="32" spans="1:57">
      <c r="AV32" s="198">
        <v>24</v>
      </c>
      <c r="AW32" s="168">
        <v>0.7</v>
      </c>
      <c r="AX32" s="168">
        <v>0</v>
      </c>
      <c r="AY32" s="168">
        <v>0</v>
      </c>
      <c r="AZ32" s="168">
        <v>0</v>
      </c>
      <c r="BA32" s="168">
        <v>0.15000000000000013</v>
      </c>
      <c r="BB32" s="168">
        <v>0.15000000000000013</v>
      </c>
      <c r="BC32" s="168">
        <v>0</v>
      </c>
      <c r="BD32" s="203">
        <v>0</v>
      </c>
      <c r="BE32" s="203">
        <v>0</v>
      </c>
    </row>
    <row r="33" spans="48:57">
      <c r="AV33" s="198">
        <v>23</v>
      </c>
      <c r="AW33" s="168">
        <v>0.74</v>
      </c>
      <c r="AX33" s="168">
        <v>9.9999999999995648E-3</v>
      </c>
      <c r="AY33" s="168">
        <v>9.9999999999995648E-3</v>
      </c>
      <c r="AZ33" s="168">
        <v>0</v>
      </c>
      <c r="BA33" s="168">
        <v>0.21000000000000008</v>
      </c>
      <c r="BB33" s="168">
        <v>0.21000000000000008</v>
      </c>
      <c r="BC33" s="168">
        <v>0</v>
      </c>
      <c r="BD33" s="203">
        <v>0</v>
      </c>
      <c r="BE33" s="203">
        <v>0</v>
      </c>
    </row>
    <row r="34" spans="48:57">
      <c r="AV34" s="198">
        <v>22</v>
      </c>
      <c r="AW34" s="168">
        <v>0.77714285714285714</v>
      </c>
      <c r="AX34" s="168">
        <v>2.9999999999999583E-2</v>
      </c>
      <c r="AY34" s="168">
        <v>2.9999999999999583E-2</v>
      </c>
      <c r="AZ34" s="168">
        <v>0</v>
      </c>
      <c r="BA34" s="168">
        <v>0.28000000000000003</v>
      </c>
      <c r="BB34" s="168">
        <v>0.28000000000000003</v>
      </c>
      <c r="BC34" s="168">
        <v>0</v>
      </c>
      <c r="BD34" s="203">
        <v>0</v>
      </c>
      <c r="BE34" s="203">
        <v>0</v>
      </c>
    </row>
    <row r="35" spans="48:57">
      <c r="AV35" s="198">
        <v>21</v>
      </c>
      <c r="AW35" s="168">
        <v>0.81142857142857139</v>
      </c>
      <c r="AX35" s="168">
        <v>5.9999999999999609E-2</v>
      </c>
      <c r="AY35" s="168">
        <v>5.9999999999999609E-2</v>
      </c>
      <c r="AZ35" s="168">
        <v>0</v>
      </c>
      <c r="BA35" s="168">
        <v>0.36</v>
      </c>
      <c r="BB35" s="168">
        <v>0.36</v>
      </c>
      <c r="BC35" s="168">
        <v>0</v>
      </c>
      <c r="BD35" s="203">
        <v>0</v>
      </c>
      <c r="BE35" s="203">
        <v>0</v>
      </c>
    </row>
    <row r="36" spans="48:57">
      <c r="AV36" s="198">
        <v>20</v>
      </c>
      <c r="AW36" s="168">
        <v>0.84285714285714275</v>
      </c>
      <c r="AX36" s="168">
        <v>9.9999999999999645E-2</v>
      </c>
      <c r="AY36" s="168">
        <v>9.9999999999999645E-2</v>
      </c>
      <c r="AZ36" s="168">
        <v>0</v>
      </c>
      <c r="BA36" s="168">
        <v>0.44999999999999996</v>
      </c>
      <c r="BB36" s="168">
        <v>0.44999999999999996</v>
      </c>
      <c r="BC36" s="168">
        <v>0</v>
      </c>
      <c r="BD36" s="203">
        <v>0</v>
      </c>
      <c r="BE36" s="203">
        <v>0</v>
      </c>
    </row>
    <row r="37" spans="48:57">
      <c r="AV37" s="198">
        <v>19</v>
      </c>
      <c r="AW37" s="168">
        <v>0.87142857142857144</v>
      </c>
      <c r="AX37" s="168">
        <v>0.14999999999999969</v>
      </c>
      <c r="AY37" s="168">
        <v>0.14999999999999969</v>
      </c>
      <c r="AZ37" s="168">
        <v>0</v>
      </c>
      <c r="BA37" s="168">
        <v>0.54999999999999993</v>
      </c>
      <c r="BB37" s="168">
        <v>0.54999999999999993</v>
      </c>
      <c r="BC37" s="168">
        <v>0</v>
      </c>
      <c r="BD37" s="203">
        <v>0</v>
      </c>
      <c r="BE37" s="203">
        <v>0</v>
      </c>
    </row>
    <row r="38" spans="48:57">
      <c r="AV38" s="198">
        <v>18</v>
      </c>
      <c r="AW38" s="168">
        <v>0.89714285714285713</v>
      </c>
      <c r="AX38" s="168">
        <v>0.20999999999999974</v>
      </c>
      <c r="AY38" s="168">
        <v>0.20999999999999974</v>
      </c>
      <c r="AZ38" s="168">
        <v>0</v>
      </c>
      <c r="BA38" s="168">
        <v>0.6399999999999999</v>
      </c>
      <c r="BB38" s="168">
        <v>0.6399999999999999</v>
      </c>
      <c r="BC38" s="168">
        <v>0</v>
      </c>
      <c r="BD38" s="203">
        <v>0</v>
      </c>
      <c r="BE38" s="203">
        <v>0</v>
      </c>
    </row>
    <row r="39" spans="48:57">
      <c r="AV39" s="198">
        <v>17</v>
      </c>
      <c r="AW39" s="168">
        <v>0.91999999999999993</v>
      </c>
      <c r="AX39" s="168">
        <v>0.2799999999999998</v>
      </c>
      <c r="AY39" s="168">
        <v>0.2799999999999998</v>
      </c>
      <c r="AZ39" s="168">
        <v>2.0408163265306145E-2</v>
      </c>
      <c r="BA39" s="168">
        <v>0.72</v>
      </c>
      <c r="BB39" s="168">
        <v>0.72</v>
      </c>
      <c r="BC39" s="168">
        <v>0</v>
      </c>
      <c r="BD39" s="203">
        <v>0</v>
      </c>
      <c r="BE39" s="203">
        <v>0</v>
      </c>
    </row>
    <row r="40" spans="48:57">
      <c r="AV40" s="198">
        <v>16</v>
      </c>
      <c r="AW40" s="168">
        <v>0.94</v>
      </c>
      <c r="AX40" s="168">
        <v>0.35999999999999988</v>
      </c>
      <c r="AY40" s="168">
        <v>0.35999999999999988</v>
      </c>
      <c r="AZ40" s="168">
        <v>6.1224489795918435E-2</v>
      </c>
      <c r="BA40" s="168">
        <v>0.79</v>
      </c>
      <c r="BB40" s="168">
        <v>0.79</v>
      </c>
      <c r="BC40" s="168">
        <v>0</v>
      </c>
      <c r="BD40" s="203">
        <v>0</v>
      </c>
      <c r="BE40" s="203">
        <v>0</v>
      </c>
    </row>
    <row r="41" spans="48:57">
      <c r="AV41" s="198">
        <v>15</v>
      </c>
      <c r="AW41" s="168">
        <v>0.95714285714285707</v>
      </c>
      <c r="AX41" s="168">
        <v>0.44999999999999984</v>
      </c>
      <c r="AY41" s="168">
        <v>0.44999999999999984</v>
      </c>
      <c r="AZ41" s="168">
        <v>0.12244897959183676</v>
      </c>
      <c r="BA41" s="168">
        <v>0.85</v>
      </c>
      <c r="BB41" s="168">
        <v>0.85</v>
      </c>
      <c r="BC41" s="168">
        <v>0</v>
      </c>
      <c r="BD41" s="203">
        <v>0</v>
      </c>
      <c r="BE41" s="203">
        <v>0</v>
      </c>
    </row>
    <row r="42" spans="48:57">
      <c r="AV42" s="198">
        <v>14</v>
      </c>
      <c r="AW42" s="168">
        <v>0.97142857142857142</v>
      </c>
      <c r="AX42" s="168">
        <v>0.54999999999999982</v>
      </c>
      <c r="AY42" s="168">
        <v>0.54999999999999982</v>
      </c>
      <c r="AZ42" s="168">
        <v>0.20408163265306123</v>
      </c>
      <c r="BA42" s="168">
        <v>0.9</v>
      </c>
      <c r="BB42" s="168">
        <v>0.9</v>
      </c>
      <c r="BC42" s="168">
        <v>1.5873015873015706E-2</v>
      </c>
      <c r="BD42" s="203">
        <v>1.5873015873015706E-2</v>
      </c>
      <c r="BE42" s="203">
        <v>0</v>
      </c>
    </row>
    <row r="43" spans="48:57">
      <c r="AV43" s="198">
        <v>13</v>
      </c>
      <c r="AW43" s="168">
        <v>0.98285714285714287</v>
      </c>
      <c r="AX43" s="168">
        <v>0.6399999999999999</v>
      </c>
      <c r="AY43" s="168">
        <v>0.6399999999999999</v>
      </c>
      <c r="AZ43" s="168">
        <v>0.30612244897959184</v>
      </c>
      <c r="BA43" s="168">
        <v>0.94</v>
      </c>
      <c r="BB43" s="168">
        <v>0.94</v>
      </c>
      <c r="BC43" s="168">
        <v>4.761904761904745E-2</v>
      </c>
      <c r="BD43" s="203">
        <v>4.761904761904745E-2</v>
      </c>
      <c r="BE43" s="203">
        <v>0</v>
      </c>
    </row>
    <row r="44" spans="48:57">
      <c r="AV44" s="198">
        <v>12</v>
      </c>
      <c r="AW44" s="168">
        <v>0.99142857142857144</v>
      </c>
      <c r="AX44" s="168">
        <v>0.71999999999999986</v>
      </c>
      <c r="AY44" s="168">
        <v>0.71999999999999986</v>
      </c>
      <c r="AZ44" s="168">
        <v>0.4285714285714286</v>
      </c>
      <c r="BA44" s="168">
        <v>0.97</v>
      </c>
      <c r="BB44" s="168">
        <v>0.97</v>
      </c>
      <c r="BC44" s="168">
        <v>9.5238095238095122E-2</v>
      </c>
      <c r="BD44" s="203">
        <v>9.5238095238095122E-2</v>
      </c>
      <c r="BE44" s="203">
        <v>0</v>
      </c>
    </row>
    <row r="45" spans="48:57">
      <c r="AV45" s="198">
        <v>11</v>
      </c>
      <c r="AW45" s="168">
        <v>0.99714285714285711</v>
      </c>
      <c r="AX45" s="168">
        <v>0.78999999999999992</v>
      </c>
      <c r="AY45" s="168">
        <v>0.78999999999999992</v>
      </c>
      <c r="AZ45" s="168">
        <v>0.5714285714285714</v>
      </c>
      <c r="BA45" s="168">
        <v>0.99</v>
      </c>
      <c r="BB45" s="168">
        <v>0.99</v>
      </c>
      <c r="BC45" s="168">
        <v>0.15873015873015861</v>
      </c>
      <c r="BD45" s="203">
        <v>0.15873015873015861</v>
      </c>
      <c r="BE45" s="203">
        <v>0</v>
      </c>
    </row>
    <row r="46" spans="48:57">
      <c r="AV46" s="198">
        <v>10</v>
      </c>
      <c r="AW46" s="168">
        <v>1</v>
      </c>
      <c r="AX46" s="168">
        <v>0.84999999999999987</v>
      </c>
      <c r="AY46" s="168">
        <v>0.84999999999999987</v>
      </c>
      <c r="AZ46" s="168">
        <v>0.69387755102040805</v>
      </c>
      <c r="BA46" s="168">
        <v>1</v>
      </c>
      <c r="BB46" s="168">
        <v>1</v>
      </c>
      <c r="BC46" s="168">
        <v>0.23809523809523803</v>
      </c>
      <c r="BD46" s="203">
        <v>0.23809523809523803</v>
      </c>
      <c r="BE46" s="203">
        <v>0</v>
      </c>
    </row>
    <row r="47" spans="48:57">
      <c r="AV47" s="198">
        <v>9</v>
      </c>
      <c r="AW47" s="168">
        <v>1</v>
      </c>
      <c r="AX47" s="168">
        <v>0.89999999999999991</v>
      </c>
      <c r="AY47" s="168">
        <v>0.89999999999999991</v>
      </c>
      <c r="AZ47" s="168">
        <v>0.79591836734693877</v>
      </c>
      <c r="BA47" s="168">
        <v>1</v>
      </c>
      <c r="BB47" s="168">
        <v>1</v>
      </c>
      <c r="BC47" s="168">
        <v>0.33333333333333326</v>
      </c>
      <c r="BD47" s="203">
        <v>0.33333333333333326</v>
      </c>
      <c r="BE47" s="203">
        <v>0</v>
      </c>
    </row>
    <row r="48" spans="48:57">
      <c r="AV48" s="198">
        <v>8</v>
      </c>
      <c r="AW48" s="168">
        <v>1</v>
      </c>
      <c r="AX48" s="168">
        <v>0.94</v>
      </c>
      <c r="AY48" s="168">
        <v>0.94</v>
      </c>
      <c r="AZ48" s="168">
        <v>0.87755102040816324</v>
      </c>
      <c r="BA48" s="168">
        <v>1</v>
      </c>
      <c r="BB48" s="168">
        <v>1</v>
      </c>
      <c r="BC48" s="168">
        <v>0.44444444444444442</v>
      </c>
      <c r="BD48" s="203">
        <v>0.44444444444444442</v>
      </c>
      <c r="BE48" s="203">
        <v>0.11111111111111116</v>
      </c>
    </row>
    <row r="49" spans="48:57">
      <c r="AV49" s="198">
        <v>7</v>
      </c>
      <c r="AW49" s="168">
        <v>1</v>
      </c>
      <c r="AX49" s="168">
        <v>0.97</v>
      </c>
      <c r="AY49" s="168">
        <v>0.97</v>
      </c>
      <c r="AZ49" s="168">
        <v>0.93877551020408156</v>
      </c>
      <c r="BA49" s="168">
        <v>1</v>
      </c>
      <c r="BB49" s="168">
        <v>1</v>
      </c>
      <c r="BC49" s="168">
        <v>0.5714285714285714</v>
      </c>
      <c r="BD49" s="203">
        <v>0.5714285714285714</v>
      </c>
      <c r="BE49" s="203">
        <v>0.33333333333333337</v>
      </c>
    </row>
    <row r="50" spans="48:57">
      <c r="AV50" s="198">
        <v>6</v>
      </c>
      <c r="AW50" s="168">
        <v>1</v>
      </c>
      <c r="AX50" s="168">
        <v>0.99</v>
      </c>
      <c r="AY50" s="168">
        <v>0.99</v>
      </c>
      <c r="AZ50" s="168">
        <v>0.97959183673469385</v>
      </c>
      <c r="BA50" s="168">
        <v>1</v>
      </c>
      <c r="BB50" s="168">
        <v>1</v>
      </c>
      <c r="BC50" s="168">
        <v>0.7142857142857143</v>
      </c>
      <c r="BD50" s="203">
        <v>0.7142857142857143</v>
      </c>
      <c r="BE50" s="203">
        <v>0.66666666666666674</v>
      </c>
    </row>
    <row r="51" spans="48:57">
      <c r="AV51" s="198">
        <v>5</v>
      </c>
      <c r="AW51" s="168">
        <v>1</v>
      </c>
      <c r="AX51" s="168">
        <v>1</v>
      </c>
      <c r="AY51" s="168">
        <v>1</v>
      </c>
      <c r="AZ51" s="168">
        <v>1</v>
      </c>
      <c r="BA51" s="168">
        <v>1</v>
      </c>
      <c r="BB51" s="168">
        <v>1</v>
      </c>
      <c r="BC51" s="168">
        <v>0.82857142857142851</v>
      </c>
      <c r="BD51" s="203">
        <v>0.82857142857142851</v>
      </c>
      <c r="BE51" s="203">
        <v>0.88888888888888884</v>
      </c>
    </row>
    <row r="52" spans="48:57">
      <c r="AV52" s="198">
        <v>4</v>
      </c>
      <c r="AW52" s="168">
        <v>1</v>
      </c>
      <c r="AX52" s="168">
        <v>1</v>
      </c>
      <c r="AY52" s="168">
        <v>1</v>
      </c>
      <c r="AZ52" s="168">
        <v>1</v>
      </c>
      <c r="BA52" s="168">
        <v>1</v>
      </c>
      <c r="BB52" s="168">
        <v>1</v>
      </c>
      <c r="BC52" s="168">
        <v>0.91428571428571426</v>
      </c>
      <c r="BD52" s="203">
        <v>0.91428571428571426</v>
      </c>
      <c r="BE52" s="203">
        <v>1</v>
      </c>
    </row>
    <row r="53" spans="48:57">
      <c r="AV53" s="198">
        <v>3</v>
      </c>
      <c r="AW53" s="168">
        <v>1</v>
      </c>
      <c r="AX53" s="168">
        <v>1</v>
      </c>
      <c r="AY53" s="168">
        <v>1</v>
      </c>
      <c r="AZ53" s="168">
        <v>1</v>
      </c>
      <c r="BA53" s="168">
        <v>1</v>
      </c>
      <c r="BB53" s="168">
        <v>1</v>
      </c>
      <c r="BC53" s="168">
        <v>0.97142857142857142</v>
      </c>
      <c r="BD53" s="203">
        <v>0.97142857142857142</v>
      </c>
      <c r="BE53" s="203">
        <v>1</v>
      </c>
    </row>
    <row r="54" spans="48:57">
      <c r="AV54" s="198">
        <v>2</v>
      </c>
      <c r="AW54" s="168">
        <v>1</v>
      </c>
      <c r="AX54" s="168">
        <v>1</v>
      </c>
      <c r="AY54" s="168">
        <v>1</v>
      </c>
      <c r="AZ54" s="168">
        <v>1</v>
      </c>
      <c r="BA54" s="168">
        <v>1</v>
      </c>
      <c r="BB54" s="168">
        <v>1</v>
      </c>
      <c r="BC54" s="168">
        <v>1</v>
      </c>
      <c r="BD54" s="203">
        <v>1</v>
      </c>
      <c r="BE54" s="203">
        <v>1</v>
      </c>
    </row>
    <row r="55" spans="48:57">
      <c r="AV55" s="186">
        <v>1</v>
      </c>
      <c r="AW55" s="206">
        <v>1</v>
      </c>
      <c r="AX55" s="206">
        <v>1</v>
      </c>
      <c r="AY55" s="206">
        <v>1</v>
      </c>
      <c r="AZ55" s="206">
        <v>1</v>
      </c>
      <c r="BA55" s="206">
        <v>1</v>
      </c>
      <c r="BB55" s="206">
        <v>1</v>
      </c>
      <c r="BC55" s="206">
        <v>1</v>
      </c>
      <c r="BD55" s="207">
        <v>1</v>
      </c>
      <c r="BE55" s="207">
        <v>1</v>
      </c>
    </row>
  </sheetData>
  <mergeCells count="7">
    <mergeCell ref="A5:L5"/>
    <mergeCell ref="N3:Q3"/>
    <mergeCell ref="S3:W3"/>
    <mergeCell ref="N5:W5"/>
    <mergeCell ref="AW3:BE3"/>
    <mergeCell ref="AK5:AT5"/>
    <mergeCell ref="Y5:AI5"/>
  </mergeCells>
  <pageMargins left="0.7" right="0.7" top="0.75" bottom="0.75" header="0.3" footer="0.3"/>
  <pageSetup orientation="portrait" r:id="rId1"/>
  <legacyDrawing r:id="rId2"/>
  <tableParts count="5">
    <tablePart r:id="rId3"/>
    <tablePart r:id="rId4"/>
    <tablePart r:id="rId5"/>
    <tablePart r:id="rId6"/>
    <tablePart r:id="rId7"/>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AA7B5-6704-408B-8A8C-3C6033EEABC6}">
  <sheetPr>
    <tabColor rgb="FFFFFF00"/>
  </sheetPr>
  <dimension ref="A1:BA26"/>
  <sheetViews>
    <sheetView showGridLines="0" workbookViewId="0">
      <selection activeCell="B39" sqref="B39"/>
    </sheetView>
  </sheetViews>
  <sheetFormatPr defaultRowHeight="12.75"/>
  <cols>
    <col min="2" max="2" width="25.7109375" bestFit="1" customWidth="1"/>
  </cols>
  <sheetData>
    <row r="1" spans="1:53">
      <c r="B1" s="318" t="s">
        <v>99</v>
      </c>
      <c r="C1" s="414" t="s">
        <v>100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6"/>
    </row>
    <row r="2" spans="1:53">
      <c r="A2" s="226" t="s">
        <v>11</v>
      </c>
      <c r="B2" s="228" t="s">
        <v>101</v>
      </c>
      <c r="C2" s="228" t="s">
        <v>102</v>
      </c>
      <c r="D2" s="228" t="s">
        <v>103</v>
      </c>
      <c r="E2" s="228" t="s">
        <v>104</v>
      </c>
      <c r="F2" s="228" t="s">
        <v>105</v>
      </c>
      <c r="G2" s="228" t="s">
        <v>106</v>
      </c>
      <c r="H2" s="228" t="s">
        <v>107</v>
      </c>
      <c r="I2" s="228" t="s">
        <v>108</v>
      </c>
      <c r="J2" s="228" t="s">
        <v>109</v>
      </c>
      <c r="K2" s="228" t="s">
        <v>110</v>
      </c>
      <c r="L2" s="228" t="s">
        <v>111</v>
      </c>
      <c r="M2" s="228" t="s">
        <v>112</v>
      </c>
      <c r="N2" s="228" t="s">
        <v>113</v>
      </c>
      <c r="O2" s="228" t="s">
        <v>114</v>
      </c>
      <c r="P2" s="228" t="s">
        <v>115</v>
      </c>
      <c r="Q2" s="228" t="s">
        <v>116</v>
      </c>
      <c r="R2" s="228" t="s">
        <v>117</v>
      </c>
      <c r="S2" s="228" t="s">
        <v>118</v>
      </c>
      <c r="T2" s="228" t="s">
        <v>119</v>
      </c>
      <c r="U2" s="228" t="s">
        <v>120</v>
      </c>
      <c r="V2" s="228" t="s">
        <v>121</v>
      </c>
      <c r="W2" s="228" t="s">
        <v>122</v>
      </c>
      <c r="X2" s="228" t="s">
        <v>123</v>
      </c>
      <c r="Y2" s="228" t="s">
        <v>124</v>
      </c>
      <c r="Z2" s="228" t="s">
        <v>125</v>
      </c>
      <c r="AA2" s="228" t="s">
        <v>126</v>
      </c>
      <c r="AB2" s="228" t="s">
        <v>127</v>
      </c>
      <c r="AC2" s="228" t="s">
        <v>128</v>
      </c>
      <c r="AD2" s="228" t="s">
        <v>129</v>
      </c>
      <c r="AE2" s="228" t="s">
        <v>130</v>
      </c>
      <c r="AF2" s="228" t="s">
        <v>131</v>
      </c>
      <c r="AG2" s="228" t="s">
        <v>132</v>
      </c>
      <c r="AH2" s="228" t="s">
        <v>133</v>
      </c>
      <c r="AI2" s="228" t="s">
        <v>134</v>
      </c>
      <c r="AJ2" s="228" t="s">
        <v>135</v>
      </c>
      <c r="AK2" s="228" t="s">
        <v>136</v>
      </c>
      <c r="AL2" s="228" t="s">
        <v>137</v>
      </c>
      <c r="AM2" s="228" t="s">
        <v>138</v>
      </c>
      <c r="AN2" s="228" t="s">
        <v>139</v>
      </c>
      <c r="AO2" s="228" t="s">
        <v>140</v>
      </c>
      <c r="AP2" s="228" t="s">
        <v>141</v>
      </c>
      <c r="AQ2" s="228" t="s">
        <v>142</v>
      </c>
      <c r="AR2" s="228" t="s">
        <v>143</v>
      </c>
      <c r="AS2" s="228" t="s">
        <v>144</v>
      </c>
      <c r="AT2" s="228" t="s">
        <v>145</v>
      </c>
      <c r="AU2" s="228" t="s">
        <v>146</v>
      </c>
      <c r="AV2" s="228" t="s">
        <v>147</v>
      </c>
      <c r="AW2" s="228" t="s">
        <v>148</v>
      </c>
      <c r="AX2" s="228" t="s">
        <v>149</v>
      </c>
      <c r="AY2" s="228" t="s">
        <v>150</v>
      </c>
      <c r="AZ2" s="228" t="s">
        <v>151</v>
      </c>
      <c r="BA2" s="228" t="s">
        <v>152</v>
      </c>
    </row>
    <row r="3" spans="1:53">
      <c r="A3" s="228">
        <v>2007</v>
      </c>
      <c r="B3" s="18">
        <v>1299.6613</v>
      </c>
      <c r="C3" s="18">
        <v>1330.6397999999999</v>
      </c>
      <c r="D3" s="18">
        <v>1137.3884</v>
      </c>
      <c r="E3" s="18">
        <v>1184.0148999999999</v>
      </c>
      <c r="F3" s="18">
        <v>1206.9952000000001</v>
      </c>
      <c r="G3" s="18">
        <v>567.82240000000002</v>
      </c>
      <c r="H3" s="18">
        <v>1815.7959000000001</v>
      </c>
      <c r="I3" s="18">
        <v>695.71939999999995</v>
      </c>
      <c r="J3" s="18">
        <v>1812.2172</v>
      </c>
      <c r="K3" s="18">
        <v>2791.6941000000002</v>
      </c>
      <c r="L3" s="18">
        <v>1263.2128</v>
      </c>
      <c r="M3" s="18">
        <v>1410.2612999999999</v>
      </c>
      <c r="N3" s="18">
        <v>1552.6177</v>
      </c>
      <c r="O3" s="18">
        <v>140.7072</v>
      </c>
      <c r="P3" s="18">
        <v>1112.5337</v>
      </c>
      <c r="Q3" s="18">
        <v>2062.4953</v>
      </c>
      <c r="R3" s="18">
        <v>1790.6737000000001</v>
      </c>
      <c r="S3" s="18">
        <v>1730.1241</v>
      </c>
      <c r="T3" s="18">
        <v>2106.8658</v>
      </c>
      <c r="U3" s="18">
        <v>1086.7063000000001</v>
      </c>
      <c r="V3" s="18">
        <v>540.77179999999998</v>
      </c>
      <c r="W3" s="18">
        <v>1345.5101</v>
      </c>
      <c r="X3" s="18">
        <v>1205.4884</v>
      </c>
      <c r="Y3" s="18">
        <v>1424.8624</v>
      </c>
      <c r="Z3" s="18">
        <v>1531.3788</v>
      </c>
      <c r="AA3" s="18">
        <v>1239.7716</v>
      </c>
      <c r="AB3" s="18">
        <v>1792.4221</v>
      </c>
      <c r="AC3" s="18">
        <v>1623.1632999999999</v>
      </c>
      <c r="AD3" s="18">
        <v>1435.6004</v>
      </c>
      <c r="AE3" s="18">
        <v>1165.5429999999999</v>
      </c>
      <c r="AF3" s="18">
        <v>668.70960000000002</v>
      </c>
      <c r="AG3" s="18">
        <v>703.26610000000005</v>
      </c>
      <c r="AH3" s="18">
        <v>1798.2327</v>
      </c>
      <c r="AI3" s="18">
        <v>756.48979999999995</v>
      </c>
      <c r="AJ3" s="18">
        <v>1241.8857</v>
      </c>
      <c r="AK3" s="18">
        <v>2242.1410000000001</v>
      </c>
      <c r="AL3" s="18">
        <v>1817.4595999999999</v>
      </c>
      <c r="AM3" s="18">
        <v>1491.3130000000001</v>
      </c>
      <c r="AN3" s="18">
        <v>412.71929999999998</v>
      </c>
      <c r="AO3" s="18">
        <v>1214.7177999999999</v>
      </c>
      <c r="AP3" s="18">
        <v>909.32529999999997</v>
      </c>
      <c r="AQ3" s="18">
        <v>912.48140000000001</v>
      </c>
      <c r="AR3" s="18">
        <v>1233.1059</v>
      </c>
      <c r="AS3" s="18">
        <v>1364.6955</v>
      </c>
      <c r="AT3" s="18">
        <v>1312.2872</v>
      </c>
      <c r="AU3" s="18">
        <v>1945.6237000000001</v>
      </c>
      <c r="AV3" s="18">
        <v>8.4495000000000005</v>
      </c>
      <c r="AW3" s="18">
        <v>1144.8589999999999</v>
      </c>
      <c r="AX3" s="18">
        <v>260.74169999999998</v>
      </c>
      <c r="AY3" s="18">
        <v>1977.7428</v>
      </c>
      <c r="AZ3" s="18">
        <v>1600.5355999999999</v>
      </c>
      <c r="BA3" s="18">
        <v>2250.5904999999998</v>
      </c>
    </row>
    <row r="4" spans="1:53">
      <c r="A4" s="226">
        <v>2008</v>
      </c>
      <c r="B4" s="317">
        <v>1299.6613</v>
      </c>
      <c r="C4" s="317">
        <v>1330.6397999999999</v>
      </c>
      <c r="D4" s="317">
        <v>1137.3884</v>
      </c>
      <c r="E4" s="317">
        <v>1184.0148999999999</v>
      </c>
      <c r="F4" s="317">
        <v>1206.9952000000001</v>
      </c>
      <c r="G4" s="317">
        <v>567.82240000000002</v>
      </c>
      <c r="H4" s="317">
        <v>1815.7959000000001</v>
      </c>
      <c r="I4" s="317">
        <v>695.71939999999995</v>
      </c>
      <c r="J4" s="317">
        <v>1812.2172</v>
      </c>
      <c r="K4" s="317">
        <v>2791.6941000000002</v>
      </c>
      <c r="L4" s="317">
        <v>1263.2128</v>
      </c>
      <c r="M4" s="317">
        <v>1410.2612999999999</v>
      </c>
      <c r="N4" s="317">
        <v>1552.6177</v>
      </c>
      <c r="O4" s="317">
        <v>140.7072</v>
      </c>
      <c r="P4" s="317">
        <v>1112.5337</v>
      </c>
      <c r="Q4" s="317">
        <v>2062.4953</v>
      </c>
      <c r="R4" s="317">
        <v>1790.6737000000001</v>
      </c>
      <c r="S4" s="317">
        <v>1730.1241</v>
      </c>
      <c r="T4" s="317">
        <v>2106.8658</v>
      </c>
      <c r="U4" s="317">
        <v>1086.7063000000001</v>
      </c>
      <c r="V4" s="317">
        <v>540.77179999999998</v>
      </c>
      <c r="W4" s="317">
        <v>1345.5101</v>
      </c>
      <c r="X4" s="317">
        <v>1205.4884</v>
      </c>
      <c r="Y4" s="317">
        <v>1424.8624</v>
      </c>
      <c r="Z4" s="317">
        <v>1531.3788</v>
      </c>
      <c r="AA4" s="317">
        <v>1239.7716</v>
      </c>
      <c r="AB4" s="317">
        <v>1792.4221</v>
      </c>
      <c r="AC4" s="317">
        <v>1623.1632999999999</v>
      </c>
      <c r="AD4" s="317">
        <v>1435.6004</v>
      </c>
      <c r="AE4" s="317">
        <v>1165.5429999999999</v>
      </c>
      <c r="AF4" s="317">
        <v>668.70960000000002</v>
      </c>
      <c r="AG4" s="317">
        <v>703.26610000000005</v>
      </c>
      <c r="AH4" s="317">
        <v>1798.2327</v>
      </c>
      <c r="AI4" s="317">
        <v>756.48979999999995</v>
      </c>
      <c r="AJ4" s="317">
        <v>1241.8857</v>
      </c>
      <c r="AK4" s="317">
        <v>2242.1410000000001</v>
      </c>
      <c r="AL4" s="317">
        <v>1817.4595999999999</v>
      </c>
      <c r="AM4" s="317">
        <v>1491.3130000000001</v>
      </c>
      <c r="AN4" s="317">
        <v>412.71929999999998</v>
      </c>
      <c r="AO4" s="317">
        <v>1214.7177999999999</v>
      </c>
      <c r="AP4" s="317">
        <v>909.32529999999997</v>
      </c>
      <c r="AQ4" s="317">
        <v>912.48140000000001</v>
      </c>
      <c r="AR4" s="317">
        <v>1233.1059</v>
      </c>
      <c r="AS4" s="317">
        <v>1364.6955</v>
      </c>
      <c r="AT4" s="317">
        <v>1312.2872</v>
      </c>
      <c r="AU4" s="317">
        <v>1945.6237000000001</v>
      </c>
      <c r="AV4" s="317">
        <v>8.4495000000000005</v>
      </c>
      <c r="AW4" s="317">
        <v>1144.8589999999999</v>
      </c>
      <c r="AX4" s="317">
        <v>260.74169999999998</v>
      </c>
      <c r="AY4" s="317">
        <v>1977.7428</v>
      </c>
      <c r="AZ4" s="317">
        <v>1600.5355999999999</v>
      </c>
      <c r="BA4" s="317">
        <v>2250.5904999999998</v>
      </c>
    </row>
    <row r="5" spans="1:53">
      <c r="A5" s="228">
        <v>2009</v>
      </c>
      <c r="B5">
        <v>1222.2876000000001</v>
      </c>
      <c r="C5">
        <v>1046.1130000000001</v>
      </c>
      <c r="D5">
        <v>1128.973</v>
      </c>
      <c r="E5">
        <v>1089.3735999999999</v>
      </c>
      <c r="F5">
        <v>1118.4005</v>
      </c>
      <c r="G5">
        <v>558.47990000000004</v>
      </c>
      <c r="H5">
        <v>1744.9612999999999</v>
      </c>
      <c r="I5">
        <v>581.36220000000003</v>
      </c>
      <c r="J5">
        <v>1803.1047000000001</v>
      </c>
      <c r="K5">
        <v>2493.5459000000001</v>
      </c>
      <c r="L5">
        <v>1197.3385000000001</v>
      </c>
      <c r="M5">
        <v>1292.7180000000001</v>
      </c>
      <c r="N5">
        <v>1535.1639</v>
      </c>
      <c r="O5">
        <v>120.55</v>
      </c>
      <c r="P5">
        <v>1073.4793</v>
      </c>
      <c r="Q5">
        <v>2044.5789</v>
      </c>
      <c r="R5">
        <v>1633.9784</v>
      </c>
      <c r="S5">
        <v>1682.5608999999999</v>
      </c>
      <c r="T5">
        <v>2056.9742999999999</v>
      </c>
      <c r="U5">
        <v>1132.5369000000001</v>
      </c>
      <c r="V5">
        <v>509.93439999999998</v>
      </c>
      <c r="W5">
        <v>1239.3308999999999</v>
      </c>
      <c r="X5">
        <v>1120.5636</v>
      </c>
      <c r="Y5">
        <v>1532.8281999999999</v>
      </c>
      <c r="Z5">
        <v>1406.0387000000001</v>
      </c>
      <c r="AA5">
        <v>1107.1469</v>
      </c>
      <c r="AB5">
        <v>1817.1608000000001</v>
      </c>
      <c r="AC5">
        <v>1446.4876999999999</v>
      </c>
      <c r="AD5">
        <v>1606.2411999999999</v>
      </c>
      <c r="AE5">
        <v>1063.9601</v>
      </c>
      <c r="AF5">
        <v>606.68619999999999</v>
      </c>
      <c r="AG5">
        <v>551.87</v>
      </c>
      <c r="AH5">
        <v>1830.1857</v>
      </c>
      <c r="AI5">
        <v>585.26639999999998</v>
      </c>
      <c r="AJ5">
        <v>1163.0139999999999</v>
      </c>
      <c r="AK5">
        <v>2068.4472999999998</v>
      </c>
      <c r="AL5">
        <v>1790.4824000000001</v>
      </c>
      <c r="AM5">
        <v>1501.0944</v>
      </c>
      <c r="AN5">
        <v>364.97559999999999</v>
      </c>
      <c r="AO5">
        <v>1146.5989</v>
      </c>
      <c r="AP5">
        <v>896.41880000000003</v>
      </c>
      <c r="AQ5">
        <v>829.08420000000001</v>
      </c>
      <c r="AR5">
        <v>919.21420000000001</v>
      </c>
      <c r="AS5">
        <v>1077.5039999999999</v>
      </c>
      <c r="AT5">
        <v>1247.9165</v>
      </c>
      <c r="AU5">
        <v>1864.1428000000001</v>
      </c>
      <c r="AV5">
        <v>5.4865000000000004</v>
      </c>
      <c r="AW5">
        <v>1000.4666</v>
      </c>
      <c r="AX5">
        <v>288.02289999999999</v>
      </c>
      <c r="AY5">
        <v>2021.4342999999999</v>
      </c>
      <c r="AZ5">
        <v>1522.3158000000001</v>
      </c>
      <c r="BA5">
        <v>2127.7150999999999</v>
      </c>
    </row>
    <row r="6" spans="1:53">
      <c r="A6" s="226">
        <v>2010</v>
      </c>
      <c r="B6">
        <v>1238.5156999999999</v>
      </c>
      <c r="C6">
        <v>1132.3036</v>
      </c>
      <c r="D6">
        <v>1089.8466000000001</v>
      </c>
      <c r="E6">
        <v>1097.6220000000001</v>
      </c>
      <c r="F6">
        <v>1191.9366</v>
      </c>
      <c r="G6">
        <v>513.31089999999995</v>
      </c>
      <c r="H6">
        <v>1827.0914</v>
      </c>
      <c r="I6">
        <v>619.3039</v>
      </c>
      <c r="J6">
        <v>1544.5977</v>
      </c>
      <c r="K6">
        <v>2273.3778000000002</v>
      </c>
      <c r="L6">
        <v>1233.6088999999999</v>
      </c>
      <c r="M6">
        <v>1292.2311999999999</v>
      </c>
      <c r="N6">
        <v>1550.5525</v>
      </c>
      <c r="O6">
        <v>132.9246</v>
      </c>
      <c r="P6">
        <v>1078.268</v>
      </c>
      <c r="Q6">
        <v>2011.896</v>
      </c>
      <c r="R6">
        <v>1633.4631999999999</v>
      </c>
      <c r="S6">
        <v>1671.8834999999999</v>
      </c>
      <c r="T6">
        <v>2083.3071</v>
      </c>
      <c r="U6">
        <v>1123.2655</v>
      </c>
      <c r="V6">
        <v>492.31650000000002</v>
      </c>
      <c r="W6">
        <v>1357.9329</v>
      </c>
      <c r="X6">
        <v>1068.0471</v>
      </c>
      <c r="Y6">
        <v>1411.7807</v>
      </c>
      <c r="Z6">
        <v>1311.422</v>
      </c>
      <c r="AA6">
        <v>1127.9911999999999</v>
      </c>
      <c r="AB6">
        <v>1843.6031</v>
      </c>
      <c r="AC6">
        <v>1503.5152</v>
      </c>
      <c r="AD6">
        <v>1462.6859999999999</v>
      </c>
      <c r="AE6">
        <v>1057.6610000000001</v>
      </c>
      <c r="AF6">
        <v>562.25930000000005</v>
      </c>
      <c r="AG6">
        <v>619.92629999999997</v>
      </c>
      <c r="AH6">
        <v>1817.752</v>
      </c>
      <c r="AI6">
        <v>634.37609999999995</v>
      </c>
      <c r="AJ6">
        <v>1187.5482</v>
      </c>
      <c r="AK6">
        <v>1965.3132000000001</v>
      </c>
      <c r="AL6">
        <v>1772.8356000000001</v>
      </c>
      <c r="AM6">
        <v>1484.7602999999999</v>
      </c>
      <c r="AN6">
        <v>404.85079999999999</v>
      </c>
      <c r="AO6">
        <v>1178.8208</v>
      </c>
      <c r="AP6">
        <v>911.84870000000001</v>
      </c>
      <c r="AQ6">
        <v>880.39099999999996</v>
      </c>
      <c r="AR6">
        <v>779.41359999999997</v>
      </c>
      <c r="AS6">
        <v>1149.0135</v>
      </c>
      <c r="AT6">
        <v>1277.8316</v>
      </c>
      <c r="AU6">
        <v>1839.7956999999999</v>
      </c>
      <c r="AV6">
        <v>6.8506</v>
      </c>
      <c r="AW6">
        <v>1043.9956999999999</v>
      </c>
      <c r="AX6">
        <v>302.26670000000001</v>
      </c>
      <c r="AY6">
        <v>1978.8961999999999</v>
      </c>
      <c r="AZ6">
        <v>1566.6528000000001</v>
      </c>
      <c r="BA6">
        <v>2100.2858999999999</v>
      </c>
    </row>
    <row r="7" spans="1:53">
      <c r="A7" s="228">
        <v>2011</v>
      </c>
      <c r="B7" s="317">
        <v>1238.5156999999999</v>
      </c>
      <c r="C7" s="317">
        <v>1132.3036</v>
      </c>
      <c r="D7" s="317">
        <v>1089.8466000000001</v>
      </c>
      <c r="E7" s="317">
        <v>1097.6220000000001</v>
      </c>
      <c r="F7" s="317">
        <v>1191.9366</v>
      </c>
      <c r="G7" s="317">
        <v>513.31089999999995</v>
      </c>
      <c r="H7" s="317">
        <v>1827.0914</v>
      </c>
      <c r="I7" s="317">
        <v>619.3039</v>
      </c>
      <c r="J7" s="317">
        <v>1544.5977</v>
      </c>
      <c r="K7" s="317">
        <v>2273.3778000000002</v>
      </c>
      <c r="L7" s="317">
        <v>1233.6088999999999</v>
      </c>
      <c r="M7" s="317">
        <v>1292.2311999999999</v>
      </c>
      <c r="N7" s="317">
        <v>1550.5525</v>
      </c>
      <c r="O7" s="317">
        <v>132.9246</v>
      </c>
      <c r="P7" s="317">
        <v>1078.268</v>
      </c>
      <c r="Q7" s="317">
        <v>2011.896</v>
      </c>
      <c r="R7" s="317">
        <v>1633.4631999999999</v>
      </c>
      <c r="S7" s="317">
        <v>1671.8834999999999</v>
      </c>
      <c r="T7" s="317">
        <v>2083.3071</v>
      </c>
      <c r="U7" s="317">
        <v>1123.2655</v>
      </c>
      <c r="V7" s="317">
        <v>492.31650000000002</v>
      </c>
      <c r="W7" s="317">
        <v>1357.9329</v>
      </c>
      <c r="X7" s="317">
        <v>1068.0471</v>
      </c>
      <c r="Y7" s="317">
        <v>1411.7807</v>
      </c>
      <c r="Z7" s="317">
        <v>1311.422</v>
      </c>
      <c r="AA7" s="317">
        <v>1127.9911999999999</v>
      </c>
      <c r="AB7" s="317">
        <v>1843.6031</v>
      </c>
      <c r="AC7" s="317">
        <v>1503.5152</v>
      </c>
      <c r="AD7" s="317">
        <v>1462.6859999999999</v>
      </c>
      <c r="AE7" s="317">
        <v>1057.6610000000001</v>
      </c>
      <c r="AF7" s="317">
        <v>562.25930000000005</v>
      </c>
      <c r="AG7" s="317">
        <v>619.92629999999997</v>
      </c>
      <c r="AH7" s="317">
        <v>1817.752</v>
      </c>
      <c r="AI7" s="317">
        <v>634.37609999999995</v>
      </c>
      <c r="AJ7" s="317">
        <v>1187.5482</v>
      </c>
      <c r="AK7" s="317">
        <v>1965.3132000000001</v>
      </c>
      <c r="AL7" s="317">
        <v>1772.8356000000001</v>
      </c>
      <c r="AM7" s="317">
        <v>1484.7602999999999</v>
      </c>
      <c r="AN7" s="317">
        <v>404.85079999999999</v>
      </c>
      <c r="AO7" s="317">
        <v>1178.8208</v>
      </c>
      <c r="AP7" s="317">
        <v>911.84870000000001</v>
      </c>
      <c r="AQ7" s="317">
        <v>880.39099999999996</v>
      </c>
      <c r="AR7" s="317">
        <v>779.41359999999997</v>
      </c>
      <c r="AS7" s="317">
        <v>1149.0135</v>
      </c>
      <c r="AT7" s="317">
        <v>1277.8316</v>
      </c>
      <c r="AU7" s="317">
        <v>1839.7956999999999</v>
      </c>
      <c r="AV7" s="317">
        <v>6.8506</v>
      </c>
      <c r="AW7" s="317">
        <v>1043.9956999999999</v>
      </c>
      <c r="AX7" s="317">
        <v>302.26670000000001</v>
      </c>
      <c r="AY7" s="317">
        <v>1978.8961999999999</v>
      </c>
      <c r="AZ7" s="317">
        <v>1566.6528000000001</v>
      </c>
      <c r="BA7" s="317">
        <v>2100.2858999999999</v>
      </c>
    </row>
    <row r="8" spans="1:53">
      <c r="A8" s="226">
        <v>2012</v>
      </c>
      <c r="B8">
        <v>1141.9486103046611</v>
      </c>
      <c r="C8">
        <v>1002.1865619050839</v>
      </c>
      <c r="D8">
        <v>1089.784508579497</v>
      </c>
      <c r="E8">
        <v>1064.3701252893341</v>
      </c>
      <c r="F8">
        <v>1237.7277664678218</v>
      </c>
      <c r="G8">
        <v>576.06746235472303</v>
      </c>
      <c r="H8">
        <v>1676.9395645137977</v>
      </c>
      <c r="I8">
        <v>528.42372316064223</v>
      </c>
      <c r="J8">
        <v>1259.7864721297351</v>
      </c>
      <c r="K8">
        <v>1234.2210526943152</v>
      </c>
      <c r="L8">
        <v>1141.2046867425022</v>
      </c>
      <c r="M8">
        <v>1085.0882081253906</v>
      </c>
      <c r="N8">
        <v>1478.6329892961103</v>
      </c>
      <c r="O8">
        <v>114.93465122664426</v>
      </c>
      <c r="P8">
        <v>1002.3898444452625</v>
      </c>
      <c r="Q8">
        <v>1913.3580461000729</v>
      </c>
      <c r="R8">
        <v>1410.3402018906024</v>
      </c>
      <c r="S8">
        <v>1602.927576659323</v>
      </c>
      <c r="T8">
        <v>2085.0679531517558</v>
      </c>
      <c r="U8">
        <v>1158.6056741774953</v>
      </c>
      <c r="V8">
        <v>571.4748562816369</v>
      </c>
      <c r="W8">
        <v>1184.6247794105625</v>
      </c>
      <c r="X8">
        <v>905.4505805355293</v>
      </c>
      <c r="Y8">
        <v>1322.686633314345</v>
      </c>
      <c r="Z8">
        <v>1167.9421038505495</v>
      </c>
      <c r="AA8">
        <v>982.79519539467105</v>
      </c>
      <c r="AB8">
        <v>1733.8287913927797</v>
      </c>
      <c r="AC8">
        <v>1292.1807444308367</v>
      </c>
      <c r="AD8">
        <v>1646.5785758138636</v>
      </c>
      <c r="AE8">
        <v>919.46845116851443</v>
      </c>
      <c r="AF8">
        <v>516.24439903334087</v>
      </c>
      <c r="AG8">
        <v>518.7628611964667</v>
      </c>
      <c r="AH8">
        <v>1772.4094908251641</v>
      </c>
      <c r="AI8">
        <v>564.4858461389573</v>
      </c>
      <c r="AJ8">
        <v>1061.6998503843877</v>
      </c>
      <c r="AK8">
        <v>1861.7813842138603</v>
      </c>
      <c r="AL8">
        <v>1623.8780575595065</v>
      </c>
      <c r="AM8">
        <v>1376.9727581587017</v>
      </c>
      <c r="AN8">
        <v>261.73243717601764</v>
      </c>
      <c r="AO8">
        <v>1066.1054562067034</v>
      </c>
      <c r="AP8">
        <v>907.96666178670398</v>
      </c>
      <c r="AQ8">
        <v>772.67030529802548</v>
      </c>
      <c r="AR8">
        <v>561.78975638801217</v>
      </c>
      <c r="AS8">
        <v>1103.1298569357143</v>
      </c>
      <c r="AT8">
        <v>1206.9192658159445</v>
      </c>
      <c r="AU8">
        <v>1809.9025950372859</v>
      </c>
      <c r="AV8">
        <v>7.4360755924985682</v>
      </c>
      <c r="AW8">
        <v>821.15648540173277</v>
      </c>
      <c r="AX8">
        <v>126.5888570854848</v>
      </c>
      <c r="AY8">
        <v>1981.8164361139031</v>
      </c>
      <c r="AZ8">
        <v>1364.1817167785323</v>
      </c>
      <c r="BA8">
        <v>2109.4580549118104</v>
      </c>
    </row>
    <row r="9" spans="1:53">
      <c r="A9" s="228">
        <v>2013</v>
      </c>
      <c r="B9" s="317">
        <v>1141.9486103046611</v>
      </c>
      <c r="C9" s="317">
        <v>1002.1865619050839</v>
      </c>
      <c r="D9" s="317">
        <v>1089.784508579497</v>
      </c>
      <c r="E9" s="317">
        <v>1064.3701252893341</v>
      </c>
      <c r="F9" s="317">
        <v>1237.7277664678218</v>
      </c>
      <c r="G9" s="317">
        <v>576.06746235472303</v>
      </c>
      <c r="H9" s="317">
        <v>1676.9395645137977</v>
      </c>
      <c r="I9" s="317">
        <v>528.42372316064223</v>
      </c>
      <c r="J9" s="317">
        <v>1259.7864721297351</v>
      </c>
      <c r="K9" s="317">
        <v>1234.2210526943152</v>
      </c>
      <c r="L9" s="317">
        <v>1141.2046867425022</v>
      </c>
      <c r="M9" s="317">
        <v>1085.0882081253906</v>
      </c>
      <c r="N9" s="317">
        <v>1478.6329892961103</v>
      </c>
      <c r="O9" s="317">
        <v>114.93465122664426</v>
      </c>
      <c r="P9" s="317">
        <v>1002.3898444452625</v>
      </c>
      <c r="Q9" s="317">
        <v>1913.3580461000729</v>
      </c>
      <c r="R9" s="317">
        <v>1410.3402018906024</v>
      </c>
      <c r="S9" s="317">
        <v>1602.927576659323</v>
      </c>
      <c r="T9" s="317">
        <v>2085.0679531517558</v>
      </c>
      <c r="U9" s="317">
        <v>1158.6056741774953</v>
      </c>
      <c r="V9" s="317">
        <v>571.4748562816369</v>
      </c>
      <c r="W9" s="317">
        <v>1184.6247794105625</v>
      </c>
      <c r="X9" s="317">
        <v>905.4505805355293</v>
      </c>
      <c r="Y9" s="317">
        <v>1322.686633314345</v>
      </c>
      <c r="Z9" s="317">
        <v>1167.9421038505495</v>
      </c>
      <c r="AA9" s="317">
        <v>982.79519539467105</v>
      </c>
      <c r="AB9" s="317">
        <v>1733.8287913927797</v>
      </c>
      <c r="AC9" s="317">
        <v>1292.1807444308367</v>
      </c>
      <c r="AD9" s="317">
        <v>1646.5785758138636</v>
      </c>
      <c r="AE9" s="317">
        <v>919.46845116851443</v>
      </c>
      <c r="AF9" s="317">
        <v>516.24439903334087</v>
      </c>
      <c r="AG9" s="317">
        <v>518.7628611964667</v>
      </c>
      <c r="AH9" s="317">
        <v>1772.4094908251641</v>
      </c>
      <c r="AI9" s="317">
        <v>564.4858461389573</v>
      </c>
      <c r="AJ9" s="317">
        <v>1061.6998503843877</v>
      </c>
      <c r="AK9" s="317">
        <v>1861.7813842138603</v>
      </c>
      <c r="AL9" s="317">
        <v>1623.8780575595065</v>
      </c>
      <c r="AM9" s="317">
        <v>1376.9727581587017</v>
      </c>
      <c r="AN9" s="317">
        <v>261.73243717601764</v>
      </c>
      <c r="AO9" s="317">
        <v>1066.1054562067034</v>
      </c>
      <c r="AP9" s="317">
        <v>907.96666178670398</v>
      </c>
      <c r="AQ9" s="317">
        <v>772.67030529802548</v>
      </c>
      <c r="AR9" s="317">
        <v>561.78975638801217</v>
      </c>
      <c r="AS9" s="317">
        <v>1103.1298569357143</v>
      </c>
      <c r="AT9" s="317">
        <v>1206.9192658159445</v>
      </c>
      <c r="AU9" s="317">
        <v>1809.9025950372859</v>
      </c>
      <c r="AV9" s="317">
        <v>7.4360755924985682</v>
      </c>
      <c r="AW9" s="317">
        <v>821.15648540173277</v>
      </c>
      <c r="AX9" s="317">
        <v>126.5888570854848</v>
      </c>
      <c r="AY9" s="317">
        <v>1981.8164361139031</v>
      </c>
      <c r="AZ9" s="317">
        <v>1364.1817167785323</v>
      </c>
      <c r="BA9" s="317">
        <v>2109.4580549118104</v>
      </c>
    </row>
    <row r="10" spans="1:53">
      <c r="A10" s="226">
        <v>2014</v>
      </c>
      <c r="B10">
        <v>1130.173</v>
      </c>
      <c r="C10">
        <v>1059.6780000000001</v>
      </c>
      <c r="D10">
        <v>878.096</v>
      </c>
      <c r="E10">
        <v>1117.7260000000001</v>
      </c>
      <c r="F10">
        <v>1292.944</v>
      </c>
      <c r="G10">
        <v>555.4</v>
      </c>
      <c r="H10">
        <v>1593.249</v>
      </c>
      <c r="I10">
        <v>538.26</v>
      </c>
      <c r="J10">
        <v>1045.923</v>
      </c>
      <c r="K10">
        <v>1185.76</v>
      </c>
      <c r="L10">
        <v>1099.425</v>
      </c>
      <c r="M10">
        <v>1105.7439999999999</v>
      </c>
      <c r="N10">
        <v>1338.8589999999999</v>
      </c>
      <c r="O10">
        <v>147.46199999999999</v>
      </c>
      <c r="P10">
        <v>996.73900000000003</v>
      </c>
      <c r="Q10">
        <v>1982.87</v>
      </c>
      <c r="R10">
        <v>1348.8630000000001</v>
      </c>
      <c r="S10">
        <v>1419.021</v>
      </c>
      <c r="T10">
        <v>2084.279</v>
      </c>
      <c r="U10">
        <v>979.63300000000004</v>
      </c>
      <c r="V10">
        <v>356.29899999999998</v>
      </c>
      <c r="W10">
        <v>1169.671</v>
      </c>
      <c r="X10">
        <v>895.553</v>
      </c>
      <c r="Y10">
        <v>1282.3979999999999</v>
      </c>
      <c r="Z10">
        <v>1209.9459999999999</v>
      </c>
      <c r="AA10">
        <v>991.346</v>
      </c>
      <c r="AB10">
        <v>1757.8389999999999</v>
      </c>
      <c r="AC10">
        <v>1302.444</v>
      </c>
      <c r="AD10">
        <v>1403.77</v>
      </c>
      <c r="AE10">
        <v>968.447</v>
      </c>
      <c r="AF10">
        <v>384.53800000000001</v>
      </c>
      <c r="AG10">
        <v>556.55999999999995</v>
      </c>
      <c r="AH10">
        <v>1692.491</v>
      </c>
      <c r="AI10">
        <v>523.84100000000001</v>
      </c>
      <c r="AJ10">
        <v>986.58500000000004</v>
      </c>
      <c r="AK10">
        <v>1822.3119999999999</v>
      </c>
      <c r="AL10">
        <v>1610.3330000000001</v>
      </c>
      <c r="AM10">
        <v>1362.934</v>
      </c>
      <c r="AN10">
        <v>311.80599999999998</v>
      </c>
      <c r="AO10">
        <v>995.54100000000005</v>
      </c>
      <c r="AP10">
        <v>893.66399999999999</v>
      </c>
      <c r="AQ10">
        <v>737.77800000000002</v>
      </c>
      <c r="AR10">
        <v>622.78499999999997</v>
      </c>
      <c r="AS10">
        <v>1072.9169999999999</v>
      </c>
      <c r="AT10">
        <v>1190.4380000000001</v>
      </c>
      <c r="AU10">
        <v>1783.837</v>
      </c>
      <c r="AV10">
        <v>22.969000000000001</v>
      </c>
      <c r="AW10">
        <v>883.61500000000001</v>
      </c>
      <c r="AX10">
        <v>225.83699999999999</v>
      </c>
      <c r="AY10">
        <v>1991.3420000000001</v>
      </c>
      <c r="AZ10">
        <v>1525.5</v>
      </c>
      <c r="BA10">
        <v>2012.7429999999999</v>
      </c>
    </row>
    <row r="11" spans="1:53">
      <c r="A11" s="228">
        <v>2015</v>
      </c>
      <c r="B11" s="317">
        <v>1130.173</v>
      </c>
      <c r="C11" s="317">
        <v>1059.6780000000001</v>
      </c>
      <c r="D11" s="317">
        <v>878.096</v>
      </c>
      <c r="E11" s="317">
        <v>1117.7260000000001</v>
      </c>
      <c r="F11" s="317">
        <v>1292.944</v>
      </c>
      <c r="G11" s="317">
        <v>555.4</v>
      </c>
      <c r="H11" s="317">
        <v>1593.249</v>
      </c>
      <c r="I11" s="317">
        <v>538.26</v>
      </c>
      <c r="J11" s="317">
        <v>1045.923</v>
      </c>
      <c r="K11" s="317">
        <v>1185.76</v>
      </c>
      <c r="L11" s="317">
        <v>1099.425</v>
      </c>
      <c r="M11" s="317">
        <v>1105.7439999999999</v>
      </c>
      <c r="N11" s="317">
        <v>1338.8589999999999</v>
      </c>
      <c r="O11" s="317">
        <v>147.46199999999999</v>
      </c>
      <c r="P11" s="317">
        <v>996.73900000000003</v>
      </c>
      <c r="Q11" s="317">
        <v>1982.87</v>
      </c>
      <c r="R11" s="317">
        <v>1348.8630000000001</v>
      </c>
      <c r="S11" s="317">
        <v>1419.021</v>
      </c>
      <c r="T11" s="317">
        <v>2084.279</v>
      </c>
      <c r="U11" s="317">
        <v>979.63300000000004</v>
      </c>
      <c r="V11" s="317">
        <v>356.29899999999998</v>
      </c>
      <c r="W11" s="317">
        <v>1169.671</v>
      </c>
      <c r="X11" s="317">
        <v>895.553</v>
      </c>
      <c r="Y11" s="317">
        <v>1282.3979999999999</v>
      </c>
      <c r="Z11" s="317">
        <v>1209.9459999999999</v>
      </c>
      <c r="AA11" s="317">
        <v>991.346</v>
      </c>
      <c r="AB11" s="317">
        <v>1757.8389999999999</v>
      </c>
      <c r="AC11" s="317">
        <v>1302.444</v>
      </c>
      <c r="AD11" s="317">
        <v>1403.77</v>
      </c>
      <c r="AE11" s="317">
        <v>968.447</v>
      </c>
      <c r="AF11" s="317">
        <v>384.53800000000001</v>
      </c>
      <c r="AG11" s="317">
        <v>556.55999999999995</v>
      </c>
      <c r="AH11" s="317">
        <v>1692.491</v>
      </c>
      <c r="AI11" s="317">
        <v>523.84100000000001</v>
      </c>
      <c r="AJ11" s="317">
        <v>986.58500000000004</v>
      </c>
      <c r="AK11" s="317">
        <v>1822.3119999999999</v>
      </c>
      <c r="AL11" s="317">
        <v>1610.3330000000001</v>
      </c>
      <c r="AM11" s="317">
        <v>1362.934</v>
      </c>
      <c r="AN11" s="317">
        <v>311.80599999999998</v>
      </c>
      <c r="AO11" s="317">
        <v>995.54100000000005</v>
      </c>
      <c r="AP11" s="317">
        <v>893.66399999999999</v>
      </c>
      <c r="AQ11" s="317">
        <v>737.77800000000002</v>
      </c>
      <c r="AR11" s="317">
        <v>622.78499999999997</v>
      </c>
      <c r="AS11" s="317">
        <v>1072.9169999999999</v>
      </c>
      <c r="AT11" s="317">
        <v>1190.4380000000001</v>
      </c>
      <c r="AU11" s="317">
        <v>1783.837</v>
      </c>
      <c r="AV11" s="317">
        <v>22.969000000000001</v>
      </c>
      <c r="AW11" s="317">
        <v>883.61500000000001</v>
      </c>
      <c r="AX11" s="317">
        <v>225.83699999999999</v>
      </c>
      <c r="AY11" s="317">
        <v>1991.3420000000001</v>
      </c>
      <c r="AZ11" s="317">
        <v>1525.5</v>
      </c>
      <c r="BA11" s="317">
        <v>2012.7429999999999</v>
      </c>
    </row>
    <row r="12" spans="1:53">
      <c r="A12" s="226">
        <v>2016</v>
      </c>
      <c r="B12">
        <v>1004.167</v>
      </c>
      <c r="C12">
        <v>917.46799999999996</v>
      </c>
      <c r="D12">
        <v>930.01300000000003</v>
      </c>
      <c r="E12">
        <v>937.072</v>
      </c>
      <c r="F12">
        <v>1122.5930000000001</v>
      </c>
      <c r="G12">
        <v>454.05900000000003</v>
      </c>
      <c r="H12">
        <v>1477.9449999999999</v>
      </c>
      <c r="I12">
        <v>502.13499999999999</v>
      </c>
      <c r="J12">
        <v>889.33699999999999</v>
      </c>
      <c r="K12">
        <v>483.04199999999997</v>
      </c>
      <c r="L12">
        <v>1028.9670000000001</v>
      </c>
      <c r="M12">
        <v>1007.448</v>
      </c>
      <c r="N12">
        <v>1532.8820000000001</v>
      </c>
      <c r="O12">
        <v>189.273</v>
      </c>
      <c r="P12">
        <v>816.04100000000005</v>
      </c>
      <c r="Q12">
        <v>1824.905</v>
      </c>
      <c r="R12">
        <v>1003.87</v>
      </c>
      <c r="S12">
        <v>1204.056</v>
      </c>
      <c r="T12">
        <v>1968.0840000000001</v>
      </c>
      <c r="U12">
        <v>882.13400000000001</v>
      </c>
      <c r="V12">
        <v>347.62</v>
      </c>
      <c r="W12">
        <v>1019.454</v>
      </c>
      <c r="X12">
        <v>827.51400000000001</v>
      </c>
      <c r="Y12">
        <v>1106.0150000000001</v>
      </c>
      <c r="Z12">
        <v>1020.283</v>
      </c>
      <c r="AA12">
        <v>943.029</v>
      </c>
      <c r="AB12">
        <v>1698.9549999999999</v>
      </c>
      <c r="AC12">
        <v>1260.078</v>
      </c>
      <c r="AD12">
        <v>1290.7090000000001</v>
      </c>
      <c r="AE12">
        <v>771.53899999999999</v>
      </c>
      <c r="AF12">
        <v>316.79199999999997</v>
      </c>
      <c r="AG12">
        <v>559.82399999999996</v>
      </c>
      <c r="AH12">
        <v>1582.6020000000001</v>
      </c>
      <c r="AI12">
        <v>465.87599999999998</v>
      </c>
      <c r="AJ12">
        <v>872.65800000000002</v>
      </c>
      <c r="AK12">
        <v>1674.8230000000001</v>
      </c>
      <c r="AL12">
        <v>1475.3340000000001</v>
      </c>
      <c r="AM12">
        <v>1048.3109999999999</v>
      </c>
      <c r="AN12">
        <v>307.16199999999998</v>
      </c>
      <c r="AO12">
        <v>860.04600000000005</v>
      </c>
      <c r="AP12">
        <v>871.69</v>
      </c>
      <c r="AQ12">
        <v>632.80200000000002</v>
      </c>
      <c r="AR12">
        <v>516.56200000000001</v>
      </c>
      <c r="AS12">
        <v>998.40700000000004</v>
      </c>
      <c r="AT12">
        <v>1054.6020000000001</v>
      </c>
      <c r="AU12">
        <v>1638.384</v>
      </c>
      <c r="AV12">
        <v>66.825000000000003</v>
      </c>
      <c r="AW12">
        <v>818.98</v>
      </c>
      <c r="AX12">
        <v>187.93</v>
      </c>
      <c r="AY12">
        <v>1990.559</v>
      </c>
      <c r="AZ12">
        <v>1396.49</v>
      </c>
      <c r="BA12">
        <v>2040.9670000000001</v>
      </c>
    </row>
    <row r="13" spans="1:53">
      <c r="A13" s="228">
        <v>2017</v>
      </c>
      <c r="B13" s="317">
        <v>1004.167</v>
      </c>
      <c r="C13" s="317">
        <v>917.46799999999996</v>
      </c>
      <c r="D13" s="317">
        <v>930.01300000000003</v>
      </c>
      <c r="E13" s="317">
        <v>937.072</v>
      </c>
      <c r="F13" s="317">
        <v>1122.5930000000001</v>
      </c>
      <c r="G13" s="317">
        <v>454.05900000000003</v>
      </c>
      <c r="H13" s="317">
        <v>1477.9449999999999</v>
      </c>
      <c r="I13" s="317">
        <v>502.13499999999999</v>
      </c>
      <c r="J13" s="317">
        <v>889.33699999999999</v>
      </c>
      <c r="K13" s="317">
        <v>483.04199999999997</v>
      </c>
      <c r="L13" s="317">
        <v>1028.9670000000001</v>
      </c>
      <c r="M13" s="317">
        <v>1007.448</v>
      </c>
      <c r="N13" s="317">
        <v>1532.8820000000001</v>
      </c>
      <c r="O13" s="317">
        <v>189.273</v>
      </c>
      <c r="P13" s="317">
        <v>816.04100000000005</v>
      </c>
      <c r="Q13" s="317">
        <v>1824.905</v>
      </c>
      <c r="R13" s="317">
        <v>1003.87</v>
      </c>
      <c r="S13" s="317">
        <v>1204.056</v>
      </c>
      <c r="T13" s="317">
        <v>1968.0840000000001</v>
      </c>
      <c r="U13" s="317">
        <v>882.13400000000001</v>
      </c>
      <c r="V13" s="317">
        <v>347.62</v>
      </c>
      <c r="W13" s="317">
        <v>1019.454</v>
      </c>
      <c r="X13" s="317">
        <v>827.51400000000001</v>
      </c>
      <c r="Y13" s="317">
        <v>1106.0150000000001</v>
      </c>
      <c r="Z13" s="317">
        <v>1020.283</v>
      </c>
      <c r="AA13" s="317">
        <v>943.029</v>
      </c>
      <c r="AB13" s="317">
        <v>1698.9549999999999</v>
      </c>
      <c r="AC13" s="317">
        <v>1260.078</v>
      </c>
      <c r="AD13" s="317">
        <v>1290.7090000000001</v>
      </c>
      <c r="AE13" s="317">
        <v>771.53899999999999</v>
      </c>
      <c r="AF13" s="317">
        <v>316.79199999999997</v>
      </c>
      <c r="AG13" s="317">
        <v>559.82399999999996</v>
      </c>
      <c r="AH13" s="317">
        <v>1582.6020000000001</v>
      </c>
      <c r="AI13" s="317">
        <v>465.87599999999998</v>
      </c>
      <c r="AJ13" s="317">
        <v>872.65800000000002</v>
      </c>
      <c r="AK13" s="317">
        <v>1674.8230000000001</v>
      </c>
      <c r="AL13" s="317">
        <v>1475.3340000000001</v>
      </c>
      <c r="AM13" s="317">
        <v>1048.3109999999999</v>
      </c>
      <c r="AN13" s="317">
        <v>307.16199999999998</v>
      </c>
      <c r="AO13" s="317">
        <v>860.04600000000005</v>
      </c>
      <c r="AP13" s="317">
        <v>871.69</v>
      </c>
      <c r="AQ13" s="317">
        <v>632.80200000000002</v>
      </c>
      <c r="AR13" s="317">
        <v>516.56200000000001</v>
      </c>
      <c r="AS13" s="317">
        <v>998.40700000000004</v>
      </c>
      <c r="AT13" s="317">
        <v>1054.6020000000001</v>
      </c>
      <c r="AU13" s="317">
        <v>1638.384</v>
      </c>
      <c r="AV13" s="317">
        <v>66.825000000000003</v>
      </c>
      <c r="AW13" s="317">
        <v>818.98</v>
      </c>
      <c r="AX13" s="317">
        <v>187.93</v>
      </c>
      <c r="AY13" s="317">
        <v>1990.559</v>
      </c>
      <c r="AZ13" s="317">
        <v>1396.49</v>
      </c>
      <c r="BA13" s="317">
        <v>2040.9670000000001</v>
      </c>
    </row>
    <row r="14" spans="1:53">
      <c r="A14" s="226">
        <v>2018</v>
      </c>
      <c r="B14">
        <v>952.87699999999995</v>
      </c>
      <c r="C14">
        <v>868.298</v>
      </c>
      <c r="D14">
        <v>911.98500000000001</v>
      </c>
      <c r="E14">
        <v>972.245</v>
      </c>
      <c r="F14">
        <v>1219.144</v>
      </c>
      <c r="G14">
        <v>422.029</v>
      </c>
      <c r="H14">
        <v>1371.37</v>
      </c>
      <c r="I14">
        <v>509.483</v>
      </c>
      <c r="J14">
        <v>900.38599999999997</v>
      </c>
      <c r="K14">
        <v>440.07</v>
      </c>
      <c r="L14">
        <v>947.72400000000005</v>
      </c>
      <c r="M14">
        <v>931.85799999999995</v>
      </c>
      <c r="N14">
        <v>1524.7829999999999</v>
      </c>
      <c r="O14">
        <v>160.69499999999999</v>
      </c>
      <c r="P14">
        <v>818.54300000000001</v>
      </c>
      <c r="Q14">
        <v>1748.5239999999999</v>
      </c>
      <c r="R14">
        <v>1077.3620000000001</v>
      </c>
      <c r="S14">
        <v>996.6</v>
      </c>
      <c r="T14">
        <v>1835.6610000000001</v>
      </c>
      <c r="U14">
        <v>839.42899999999997</v>
      </c>
      <c r="V14">
        <v>268.221</v>
      </c>
      <c r="W14">
        <v>841.16399999999999</v>
      </c>
      <c r="X14">
        <v>733.84299999999996</v>
      </c>
      <c r="Y14">
        <v>1115.7639999999999</v>
      </c>
      <c r="Z14">
        <v>1003.107</v>
      </c>
      <c r="AA14">
        <v>919.51700000000005</v>
      </c>
      <c r="AB14">
        <v>1712.893</v>
      </c>
      <c r="AC14">
        <v>1165.931</v>
      </c>
      <c r="AD14">
        <v>1417.5250000000001</v>
      </c>
      <c r="AE14">
        <v>746.62</v>
      </c>
      <c r="AF14">
        <v>305.815</v>
      </c>
      <c r="AG14">
        <v>502.14100000000002</v>
      </c>
      <c r="AH14">
        <v>1340.42</v>
      </c>
      <c r="AI14">
        <v>418.68299999999999</v>
      </c>
      <c r="AJ14">
        <v>804.07399999999996</v>
      </c>
      <c r="AK14">
        <v>1516.85</v>
      </c>
      <c r="AL14">
        <v>1329.846</v>
      </c>
      <c r="AM14">
        <v>893.38300000000004</v>
      </c>
      <c r="AN14">
        <v>314.16000000000003</v>
      </c>
      <c r="AO14">
        <v>788.84400000000005</v>
      </c>
      <c r="AP14">
        <v>868.77599999999995</v>
      </c>
      <c r="AQ14">
        <v>634.56299999999999</v>
      </c>
      <c r="AR14">
        <v>519.98699999999997</v>
      </c>
      <c r="AS14">
        <v>748.35500000000002</v>
      </c>
      <c r="AT14">
        <v>983.66200000000003</v>
      </c>
      <c r="AU14">
        <v>1609.35</v>
      </c>
      <c r="AV14">
        <v>57.506999999999998</v>
      </c>
      <c r="AW14">
        <v>742.84400000000005</v>
      </c>
      <c r="AX14">
        <v>200.042</v>
      </c>
      <c r="AY14">
        <v>1961.4590000000001</v>
      </c>
      <c r="AZ14">
        <v>1396.2539999999999</v>
      </c>
      <c r="BA14">
        <v>2063.7579999999998</v>
      </c>
    </row>
    <row r="15" spans="1:53">
      <c r="A15" s="228">
        <v>2019</v>
      </c>
      <c r="B15">
        <v>889.21400000000006</v>
      </c>
      <c r="C15">
        <v>785.57299999999998</v>
      </c>
      <c r="D15">
        <v>974.93</v>
      </c>
      <c r="E15">
        <v>873.32399999999996</v>
      </c>
      <c r="F15">
        <v>1127.943</v>
      </c>
      <c r="G15">
        <v>387.18299999999999</v>
      </c>
      <c r="H15">
        <v>1331.0730000000001</v>
      </c>
      <c r="I15">
        <v>477.42200000000003</v>
      </c>
      <c r="J15">
        <v>711.47799999999995</v>
      </c>
      <c r="K15">
        <v>797.69200000000001</v>
      </c>
      <c r="L15">
        <v>877.279</v>
      </c>
      <c r="M15">
        <v>880.947</v>
      </c>
      <c r="N15">
        <v>1562.7149999999999</v>
      </c>
      <c r="O15">
        <v>211.38800000000001</v>
      </c>
      <c r="P15">
        <v>725.77499999999998</v>
      </c>
      <c r="Q15">
        <v>1634.194</v>
      </c>
      <c r="R15">
        <v>861.45799999999997</v>
      </c>
      <c r="S15">
        <v>893.63800000000003</v>
      </c>
      <c r="T15">
        <v>1780.633</v>
      </c>
      <c r="U15">
        <v>826.31500000000005</v>
      </c>
      <c r="V15">
        <v>213.565</v>
      </c>
      <c r="W15">
        <v>738.69899999999996</v>
      </c>
      <c r="X15">
        <v>780.58</v>
      </c>
      <c r="Y15">
        <v>1013.43</v>
      </c>
      <c r="Z15">
        <v>880.92700000000002</v>
      </c>
      <c r="AA15">
        <v>837.35799999999995</v>
      </c>
      <c r="AB15">
        <v>1598.82</v>
      </c>
      <c r="AC15">
        <v>1262.73</v>
      </c>
      <c r="AD15">
        <v>1265.6289999999999</v>
      </c>
      <c r="AE15">
        <v>739.32500000000005</v>
      </c>
      <c r="AF15">
        <v>256.23599999999999</v>
      </c>
      <c r="AG15">
        <v>545.18799999999999</v>
      </c>
      <c r="AH15">
        <v>1326.8710000000001</v>
      </c>
      <c r="AI15">
        <v>378.24700000000001</v>
      </c>
      <c r="AJ15">
        <v>779.54</v>
      </c>
      <c r="AK15">
        <v>1447.492</v>
      </c>
      <c r="AL15">
        <v>1242.4570000000001</v>
      </c>
      <c r="AM15">
        <v>734.245</v>
      </c>
      <c r="AN15">
        <v>398.13099999999997</v>
      </c>
      <c r="AO15">
        <v>758.75699999999995</v>
      </c>
      <c r="AP15">
        <v>852.28399999999999</v>
      </c>
      <c r="AQ15">
        <v>538.39200000000005</v>
      </c>
      <c r="AR15">
        <v>492.11700000000002</v>
      </c>
      <c r="AS15">
        <v>704.37800000000004</v>
      </c>
      <c r="AT15">
        <v>913.42399999999998</v>
      </c>
      <c r="AU15">
        <v>1601.8209999999999</v>
      </c>
      <c r="AV15">
        <v>51.262999999999998</v>
      </c>
      <c r="AW15">
        <v>635.84799999999996</v>
      </c>
      <c r="AX15">
        <v>299.096</v>
      </c>
      <c r="AY15">
        <v>1945.242</v>
      </c>
      <c r="AZ15">
        <v>1232.9870000000001</v>
      </c>
      <c r="BA15">
        <v>2068.9920000000002</v>
      </c>
    </row>
    <row r="16" spans="1:53">
      <c r="A16" s="226">
        <v>2020</v>
      </c>
      <c r="B16">
        <v>822.62099999999998</v>
      </c>
      <c r="C16">
        <v>721.05799999999999</v>
      </c>
      <c r="D16">
        <v>966.12800000000004</v>
      </c>
      <c r="E16">
        <v>736.97900000000004</v>
      </c>
      <c r="F16">
        <v>951.28700000000003</v>
      </c>
      <c r="G16">
        <v>453.11799999999999</v>
      </c>
      <c r="H16">
        <v>1219.2370000000001</v>
      </c>
      <c r="I16">
        <v>529.76599999999996</v>
      </c>
      <c r="J16">
        <v>755.03</v>
      </c>
      <c r="K16">
        <v>801.12099999999998</v>
      </c>
      <c r="L16">
        <v>842.16899999999998</v>
      </c>
      <c r="M16">
        <v>723.51300000000003</v>
      </c>
      <c r="N16">
        <v>1526.502</v>
      </c>
      <c r="O16">
        <v>213.39599999999999</v>
      </c>
      <c r="P16">
        <v>556.44399999999996</v>
      </c>
      <c r="Q16">
        <v>1549.4549999999999</v>
      </c>
      <c r="R16">
        <v>615.19799999999998</v>
      </c>
      <c r="S16">
        <v>804.19299999999998</v>
      </c>
      <c r="T16">
        <v>1684.874</v>
      </c>
      <c r="U16">
        <v>761.73800000000006</v>
      </c>
      <c r="V16">
        <v>228.179</v>
      </c>
      <c r="W16">
        <v>645.32500000000005</v>
      </c>
      <c r="X16">
        <v>879.90099999999995</v>
      </c>
      <c r="Y16">
        <v>938.03099999999995</v>
      </c>
      <c r="Z16">
        <v>770.36599999999999</v>
      </c>
      <c r="AA16">
        <v>894.13400000000001</v>
      </c>
      <c r="AB16">
        <v>1618.421</v>
      </c>
      <c r="AC16">
        <v>912.63699999999994</v>
      </c>
      <c r="AD16">
        <v>1200.6679999999999</v>
      </c>
      <c r="AE16">
        <v>716.62300000000005</v>
      </c>
      <c r="AF16">
        <v>247.89500000000001</v>
      </c>
      <c r="AG16">
        <v>492.29300000000001</v>
      </c>
      <c r="AH16">
        <v>1259.873</v>
      </c>
      <c r="AI16">
        <v>416.69499999999999</v>
      </c>
      <c r="AJ16">
        <v>648.44500000000005</v>
      </c>
      <c r="AK16">
        <v>1388.144</v>
      </c>
      <c r="AL16">
        <v>1253.278</v>
      </c>
      <c r="AM16">
        <v>708.65200000000004</v>
      </c>
      <c r="AN16">
        <v>341.61099999999999</v>
      </c>
      <c r="AO16">
        <v>697.52700000000004</v>
      </c>
      <c r="AP16">
        <v>827.55899999999997</v>
      </c>
      <c r="AQ16">
        <v>513.86099999999999</v>
      </c>
      <c r="AR16">
        <v>340.58300000000003</v>
      </c>
      <c r="AS16">
        <v>571.40700000000004</v>
      </c>
      <c r="AT16">
        <v>857.51900000000001</v>
      </c>
      <c r="AU16">
        <v>1565.76</v>
      </c>
      <c r="AV16">
        <v>30.31</v>
      </c>
      <c r="AW16">
        <v>644.84500000000003</v>
      </c>
      <c r="AX16">
        <v>213.274</v>
      </c>
      <c r="AY16">
        <v>1924.732</v>
      </c>
      <c r="AZ16">
        <v>1192.0119999999999</v>
      </c>
      <c r="BA16">
        <v>1990.105</v>
      </c>
    </row>
    <row r="17" spans="1:53">
      <c r="A17" s="228">
        <v>2021</v>
      </c>
      <c r="B17">
        <v>857.01900000000001</v>
      </c>
      <c r="C17">
        <v>754.47699999999998</v>
      </c>
      <c r="D17">
        <v>924.96400000000006</v>
      </c>
      <c r="E17">
        <v>727.62099999999998</v>
      </c>
      <c r="F17">
        <v>1093.143</v>
      </c>
      <c r="G17">
        <v>480.495</v>
      </c>
      <c r="H17">
        <v>1224.5540000000001</v>
      </c>
      <c r="I17">
        <v>518.13199999999995</v>
      </c>
      <c r="J17">
        <v>870.06399999999996</v>
      </c>
      <c r="K17">
        <v>652.64099999999996</v>
      </c>
      <c r="L17">
        <v>837.48400000000004</v>
      </c>
      <c r="M17">
        <v>762.42600000000004</v>
      </c>
      <c r="N17">
        <v>1502.5530000000001</v>
      </c>
      <c r="O17">
        <v>271.959</v>
      </c>
      <c r="P17">
        <v>657.322</v>
      </c>
      <c r="Q17">
        <v>1642.93</v>
      </c>
      <c r="R17">
        <v>774.42899999999997</v>
      </c>
      <c r="S17">
        <v>844.64</v>
      </c>
      <c r="T17">
        <v>1739.76</v>
      </c>
      <c r="U17">
        <v>828.73800000000006</v>
      </c>
      <c r="V17">
        <v>309.37599999999998</v>
      </c>
      <c r="W17">
        <v>702.00400000000002</v>
      </c>
      <c r="X17">
        <v>859.58199999999999</v>
      </c>
      <c r="Y17">
        <v>1010.2809999999999</v>
      </c>
      <c r="Z17">
        <v>831.55600000000004</v>
      </c>
      <c r="AA17">
        <v>836.36199999999997</v>
      </c>
      <c r="AB17">
        <v>1648.98</v>
      </c>
      <c r="AC17">
        <v>1053.0429999999999</v>
      </c>
      <c r="AD17">
        <v>1133.7090000000001</v>
      </c>
      <c r="AE17">
        <v>716.86400000000003</v>
      </c>
      <c r="AF17">
        <v>308.04500000000002</v>
      </c>
      <c r="AG17">
        <v>483.13400000000001</v>
      </c>
      <c r="AH17">
        <v>1140.8340000000001</v>
      </c>
      <c r="AI17">
        <v>457.02100000000002</v>
      </c>
      <c r="AJ17">
        <v>672.65700000000004</v>
      </c>
      <c r="AK17">
        <v>1350.962</v>
      </c>
      <c r="AL17">
        <v>1214.8579999999999</v>
      </c>
      <c r="AM17">
        <v>756.64499999999998</v>
      </c>
      <c r="AN17">
        <v>326.71899999999999</v>
      </c>
      <c r="AO17">
        <v>729.63699999999994</v>
      </c>
      <c r="AP17">
        <v>833.57799999999997</v>
      </c>
      <c r="AQ17">
        <v>570.39400000000001</v>
      </c>
      <c r="AR17">
        <v>304.589</v>
      </c>
      <c r="AS17">
        <v>702.64700000000005</v>
      </c>
      <c r="AT17">
        <v>860.24199999999996</v>
      </c>
      <c r="AU17">
        <v>1571.1959999999999</v>
      </c>
      <c r="AV17">
        <v>44.834000000000003</v>
      </c>
      <c r="AW17">
        <v>601.54700000000003</v>
      </c>
      <c r="AX17">
        <v>202.95400000000001</v>
      </c>
      <c r="AY17">
        <v>1959.375</v>
      </c>
      <c r="AZ17">
        <v>1274.933</v>
      </c>
      <c r="BA17">
        <v>1847.4190000000001</v>
      </c>
    </row>
    <row r="18" spans="1:53">
      <c r="A18" s="226">
        <v>2022</v>
      </c>
      <c r="B18">
        <v>827.52</v>
      </c>
      <c r="C18">
        <v>791.37</v>
      </c>
      <c r="D18">
        <v>917.45299999999997</v>
      </c>
      <c r="E18">
        <v>711.91600000000005</v>
      </c>
      <c r="F18">
        <v>1061.5309999999999</v>
      </c>
      <c r="G18">
        <v>457.48500000000001</v>
      </c>
      <c r="H18">
        <v>1173.1479999999999</v>
      </c>
      <c r="I18">
        <v>523.29700000000003</v>
      </c>
      <c r="J18">
        <v>900.79600000000005</v>
      </c>
      <c r="K18">
        <v>554.89499999999998</v>
      </c>
      <c r="L18">
        <v>818.56200000000001</v>
      </c>
      <c r="M18">
        <v>741.19399999999996</v>
      </c>
      <c r="N18">
        <v>1463.566</v>
      </c>
      <c r="O18">
        <v>248.434</v>
      </c>
      <c r="P18">
        <v>592.39400000000001</v>
      </c>
      <c r="Q18">
        <v>1576.6</v>
      </c>
      <c r="R18">
        <v>621.56700000000001</v>
      </c>
      <c r="S18">
        <v>826.24300000000005</v>
      </c>
      <c r="T18">
        <v>1732.2550000000001</v>
      </c>
      <c r="U18">
        <v>820.65499999999997</v>
      </c>
      <c r="V18">
        <v>342.70800000000003</v>
      </c>
      <c r="W18">
        <v>640.5</v>
      </c>
      <c r="X18">
        <v>859.21900000000005</v>
      </c>
      <c r="Y18">
        <v>1015.727</v>
      </c>
      <c r="Z18">
        <v>773.81100000000004</v>
      </c>
      <c r="AA18">
        <v>888.7</v>
      </c>
      <c r="AB18">
        <v>1517.7670000000001</v>
      </c>
      <c r="AC18">
        <v>1031.354</v>
      </c>
      <c r="AD18">
        <v>1105.6600000000001</v>
      </c>
      <c r="AE18">
        <v>678.745</v>
      </c>
      <c r="AF18">
        <v>306.45800000000003</v>
      </c>
      <c r="AG18">
        <v>488.572</v>
      </c>
      <c r="AH18">
        <v>991.625</v>
      </c>
      <c r="AI18">
        <v>491.34800000000001</v>
      </c>
      <c r="AJ18">
        <v>657.11099999999999</v>
      </c>
      <c r="AK18">
        <v>1321.4359999999999</v>
      </c>
      <c r="AL18">
        <v>1162.1279999999999</v>
      </c>
      <c r="AM18">
        <v>689.12699999999995</v>
      </c>
      <c r="AN18">
        <v>299.065</v>
      </c>
      <c r="AO18">
        <v>714.22900000000004</v>
      </c>
      <c r="AP18">
        <v>812.18499999999995</v>
      </c>
      <c r="AQ18">
        <v>559.93399999999997</v>
      </c>
      <c r="AR18">
        <v>326.935</v>
      </c>
      <c r="AS18">
        <v>697.72199999999998</v>
      </c>
      <c r="AT18">
        <v>821.94600000000003</v>
      </c>
      <c r="AU18">
        <v>1524.252</v>
      </c>
      <c r="AV18">
        <v>42.609000000000002</v>
      </c>
      <c r="AW18">
        <v>589.971</v>
      </c>
      <c r="AX18">
        <v>185.965</v>
      </c>
      <c r="AY18">
        <v>1974.326</v>
      </c>
      <c r="AZ18">
        <v>1178.4079999999999</v>
      </c>
      <c r="BA18">
        <v>1817.5840000000001</v>
      </c>
    </row>
    <row r="19" spans="1:53">
      <c r="A19" s="228">
        <v>2023</v>
      </c>
      <c r="B19">
        <v>770.88400000000001</v>
      </c>
      <c r="C19">
        <v>713.976</v>
      </c>
      <c r="D19">
        <v>814.45699999999999</v>
      </c>
      <c r="E19">
        <v>689.10400000000004</v>
      </c>
      <c r="F19">
        <v>998.41399999999999</v>
      </c>
      <c r="G19">
        <v>394.76900000000001</v>
      </c>
      <c r="H19">
        <v>1091.078</v>
      </c>
      <c r="I19">
        <v>540.67399999999998</v>
      </c>
      <c r="J19">
        <v>704.17100000000005</v>
      </c>
      <c r="K19">
        <v>395.01100000000002</v>
      </c>
      <c r="L19">
        <v>789.13300000000004</v>
      </c>
      <c r="M19">
        <v>717.44500000000005</v>
      </c>
      <c r="N19">
        <v>1394.68</v>
      </c>
      <c r="O19">
        <v>313.88</v>
      </c>
      <c r="P19">
        <v>474.43599999999998</v>
      </c>
      <c r="Q19">
        <v>1465.502</v>
      </c>
      <c r="R19">
        <v>634.15599999999995</v>
      </c>
      <c r="S19">
        <v>733.28399999999999</v>
      </c>
      <c r="T19">
        <v>1747.0039999999999</v>
      </c>
      <c r="U19">
        <v>763.06799999999998</v>
      </c>
      <c r="V19">
        <v>316.83499999999998</v>
      </c>
      <c r="W19">
        <v>522.20699999999999</v>
      </c>
      <c r="X19">
        <v>830.101</v>
      </c>
      <c r="Y19">
        <v>797.43200000000002</v>
      </c>
      <c r="Z19">
        <v>752.32899999999995</v>
      </c>
      <c r="AA19">
        <v>828.274</v>
      </c>
      <c r="AB19">
        <v>1454.5930000000001</v>
      </c>
      <c r="AC19">
        <v>1063.921</v>
      </c>
      <c r="AD19">
        <v>1025.8219999999999</v>
      </c>
      <c r="AE19">
        <v>643.85900000000004</v>
      </c>
      <c r="AF19">
        <v>276.22199999999998</v>
      </c>
      <c r="AG19">
        <v>470.16800000000001</v>
      </c>
      <c r="AH19">
        <v>773.63699999999994</v>
      </c>
      <c r="AI19">
        <v>466.61599999999999</v>
      </c>
      <c r="AJ19">
        <v>626.43799999999999</v>
      </c>
      <c r="AK19">
        <v>1297.8520000000001</v>
      </c>
      <c r="AL19">
        <v>1068.27</v>
      </c>
      <c r="AM19">
        <v>648.83399999999995</v>
      </c>
      <c r="AN19">
        <v>364.96300000000002</v>
      </c>
      <c r="AO19">
        <v>647.87099999999998</v>
      </c>
      <c r="AP19">
        <v>840.00400000000002</v>
      </c>
      <c r="AQ19">
        <v>560.36300000000006</v>
      </c>
      <c r="AR19">
        <v>335.58199999999999</v>
      </c>
      <c r="AS19">
        <v>661.16600000000005</v>
      </c>
      <c r="AT19">
        <v>771.17899999999997</v>
      </c>
      <c r="AU19">
        <v>1421.2339999999999</v>
      </c>
      <c r="AV19">
        <v>52.238999999999997</v>
      </c>
      <c r="AW19">
        <v>539.59900000000005</v>
      </c>
      <c r="AX19">
        <v>266.58499999999998</v>
      </c>
      <c r="AY19">
        <v>1968.8689999999999</v>
      </c>
      <c r="AZ19">
        <v>1163.5719999999999</v>
      </c>
      <c r="BA19">
        <v>1833.2629999999999</v>
      </c>
    </row>
    <row r="20" spans="1:53">
      <c r="A20" s="226">
        <v>2024</v>
      </c>
      <c r="B20" s="317">
        <v>770.88400000000001</v>
      </c>
      <c r="C20" s="317">
        <v>713.976</v>
      </c>
      <c r="D20" s="317">
        <v>814.45699999999999</v>
      </c>
      <c r="E20" s="317">
        <v>689.10400000000004</v>
      </c>
      <c r="F20" s="317">
        <v>998.41399999999999</v>
      </c>
      <c r="G20" s="317">
        <v>394.76900000000001</v>
      </c>
      <c r="H20" s="317">
        <v>1091.078</v>
      </c>
      <c r="I20" s="317">
        <v>540.67399999999998</v>
      </c>
      <c r="J20" s="317">
        <v>704.17100000000005</v>
      </c>
      <c r="K20" s="317">
        <v>395.01100000000002</v>
      </c>
      <c r="L20" s="317">
        <v>789.13300000000004</v>
      </c>
      <c r="M20" s="317">
        <v>717.44500000000005</v>
      </c>
      <c r="N20" s="317">
        <v>1394.68</v>
      </c>
      <c r="O20" s="317">
        <v>313.88</v>
      </c>
      <c r="P20" s="317">
        <v>474.43599999999998</v>
      </c>
      <c r="Q20" s="317">
        <v>1465.502</v>
      </c>
      <c r="R20" s="317">
        <v>634.15599999999995</v>
      </c>
      <c r="S20" s="317">
        <v>733.28399999999999</v>
      </c>
      <c r="T20" s="317">
        <v>1747.0039999999999</v>
      </c>
      <c r="U20" s="317">
        <v>763.06799999999998</v>
      </c>
      <c r="V20" s="317">
        <v>316.83499999999998</v>
      </c>
      <c r="W20" s="317">
        <v>522.20699999999999</v>
      </c>
      <c r="X20" s="317">
        <v>830.101</v>
      </c>
      <c r="Y20" s="317">
        <v>797.43200000000002</v>
      </c>
      <c r="Z20" s="317">
        <v>752.32899999999995</v>
      </c>
      <c r="AA20" s="317">
        <v>828.274</v>
      </c>
      <c r="AB20" s="317">
        <v>1454.5930000000001</v>
      </c>
      <c r="AC20" s="317">
        <v>1063.921</v>
      </c>
      <c r="AD20" s="317">
        <v>1025.8219999999999</v>
      </c>
      <c r="AE20" s="317">
        <v>643.85900000000004</v>
      </c>
      <c r="AF20" s="317">
        <v>276.22199999999998</v>
      </c>
      <c r="AG20" s="317">
        <v>470.16800000000001</v>
      </c>
      <c r="AH20" s="317">
        <v>773.63699999999994</v>
      </c>
      <c r="AI20" s="317">
        <v>466.61599999999999</v>
      </c>
      <c r="AJ20" s="317">
        <v>626.43799999999999</v>
      </c>
      <c r="AK20" s="317">
        <v>1297.8520000000001</v>
      </c>
      <c r="AL20" s="317">
        <v>1068.27</v>
      </c>
      <c r="AM20" s="317">
        <v>648.83399999999995</v>
      </c>
      <c r="AN20" s="317">
        <v>364.96300000000002</v>
      </c>
      <c r="AO20" s="317">
        <v>647.87099999999998</v>
      </c>
      <c r="AP20" s="317">
        <v>840.00400000000002</v>
      </c>
      <c r="AQ20" s="317">
        <v>560.36300000000006</v>
      </c>
      <c r="AR20" s="317">
        <v>335.58199999999999</v>
      </c>
      <c r="AS20" s="317">
        <v>661.16600000000005</v>
      </c>
      <c r="AT20" s="317">
        <v>771.17899999999997</v>
      </c>
      <c r="AU20" s="317">
        <v>1421.2339999999999</v>
      </c>
      <c r="AV20" s="317">
        <v>52.238999999999997</v>
      </c>
      <c r="AW20" s="317">
        <v>539.59900000000005</v>
      </c>
      <c r="AX20" s="317">
        <v>266.58499999999998</v>
      </c>
      <c r="AY20" s="317">
        <v>1968.8689999999999</v>
      </c>
      <c r="AZ20" s="317">
        <v>1163.5719999999999</v>
      </c>
      <c r="BA20" s="317">
        <v>1833.2629999999999</v>
      </c>
    </row>
    <row r="21" spans="1:53">
      <c r="A21" s="228">
        <v>2025</v>
      </c>
      <c r="B21" s="317">
        <v>770.88400000000001</v>
      </c>
      <c r="C21" s="317">
        <v>713.976</v>
      </c>
      <c r="D21" s="317">
        <v>814.45699999999999</v>
      </c>
      <c r="E21" s="317">
        <v>689.10400000000004</v>
      </c>
      <c r="F21" s="317">
        <v>998.41399999999999</v>
      </c>
      <c r="G21" s="317">
        <v>394.76900000000001</v>
      </c>
      <c r="H21" s="317">
        <v>1091.078</v>
      </c>
      <c r="I21" s="317">
        <v>540.67399999999998</v>
      </c>
      <c r="J21" s="317">
        <v>704.17100000000005</v>
      </c>
      <c r="K21" s="317">
        <v>395.01100000000002</v>
      </c>
      <c r="L21" s="317">
        <v>789.13300000000004</v>
      </c>
      <c r="M21" s="317">
        <v>717.44500000000005</v>
      </c>
      <c r="N21" s="317">
        <v>1394.68</v>
      </c>
      <c r="O21" s="317">
        <v>313.88</v>
      </c>
      <c r="P21" s="317">
        <v>474.43599999999998</v>
      </c>
      <c r="Q21" s="317">
        <v>1465.502</v>
      </c>
      <c r="R21" s="317">
        <v>634.15599999999995</v>
      </c>
      <c r="S21" s="317">
        <v>733.28399999999999</v>
      </c>
      <c r="T21" s="317">
        <v>1747.0039999999999</v>
      </c>
      <c r="U21" s="317">
        <v>763.06799999999998</v>
      </c>
      <c r="V21" s="317">
        <v>316.83499999999998</v>
      </c>
      <c r="W21" s="317">
        <v>522.20699999999999</v>
      </c>
      <c r="X21" s="317">
        <v>830.101</v>
      </c>
      <c r="Y21" s="317">
        <v>797.43200000000002</v>
      </c>
      <c r="Z21" s="317">
        <v>752.32899999999995</v>
      </c>
      <c r="AA21" s="317">
        <v>828.274</v>
      </c>
      <c r="AB21" s="317">
        <v>1454.5930000000001</v>
      </c>
      <c r="AC21" s="317">
        <v>1063.921</v>
      </c>
      <c r="AD21" s="317">
        <v>1025.8219999999999</v>
      </c>
      <c r="AE21" s="317">
        <v>643.85900000000004</v>
      </c>
      <c r="AF21" s="317">
        <v>276.22199999999998</v>
      </c>
      <c r="AG21" s="317">
        <v>470.16800000000001</v>
      </c>
      <c r="AH21" s="317">
        <v>773.63699999999994</v>
      </c>
      <c r="AI21" s="317">
        <v>466.61599999999999</v>
      </c>
      <c r="AJ21" s="317">
        <v>626.43799999999999</v>
      </c>
      <c r="AK21" s="317">
        <v>1297.8520000000001</v>
      </c>
      <c r="AL21" s="317">
        <v>1068.27</v>
      </c>
      <c r="AM21" s="317">
        <v>648.83399999999995</v>
      </c>
      <c r="AN21" s="317">
        <v>364.96300000000002</v>
      </c>
      <c r="AO21" s="317">
        <v>647.87099999999998</v>
      </c>
      <c r="AP21" s="317">
        <v>840.00400000000002</v>
      </c>
      <c r="AQ21" s="317">
        <v>560.36300000000006</v>
      </c>
      <c r="AR21" s="317">
        <v>335.58199999999999</v>
      </c>
      <c r="AS21" s="317">
        <v>661.16600000000005</v>
      </c>
      <c r="AT21" s="317">
        <v>771.17899999999997</v>
      </c>
      <c r="AU21" s="317">
        <v>1421.2339999999999</v>
      </c>
      <c r="AV21" s="317">
        <v>52.238999999999997</v>
      </c>
      <c r="AW21" s="317">
        <v>539.59900000000005</v>
      </c>
      <c r="AX21" s="317">
        <v>266.58499999999998</v>
      </c>
      <c r="AY21" s="317">
        <v>1968.8689999999999</v>
      </c>
      <c r="AZ21" s="317">
        <v>1163.5719999999999</v>
      </c>
      <c r="BA21" s="317">
        <v>1833.2629999999999</v>
      </c>
    </row>
    <row r="22" spans="1:53">
      <c r="A22" s="226">
        <v>2026</v>
      </c>
      <c r="B22" s="320"/>
    </row>
    <row r="23" spans="1:53">
      <c r="A23" s="228">
        <v>2027</v>
      </c>
      <c r="B23" s="319"/>
    </row>
    <row r="24" spans="1:53">
      <c r="A24" s="226">
        <v>2028</v>
      </c>
      <c r="B24" s="320"/>
    </row>
    <row r="25" spans="1:53">
      <c r="A25" s="228">
        <v>2029</v>
      </c>
      <c r="B25" s="319"/>
    </row>
    <row r="26" spans="1:53">
      <c r="A26" s="226">
        <v>2030</v>
      </c>
      <c r="B26" s="320"/>
    </row>
  </sheetData>
  <mergeCells count="1">
    <mergeCell ref="C1:BA1"/>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rgb="FFFFFF00"/>
  </sheetPr>
  <dimension ref="A1:BH74"/>
  <sheetViews>
    <sheetView topLeftCell="AW5" zoomScaleNormal="120" workbookViewId="0">
      <selection activeCell="B39" sqref="B39"/>
    </sheetView>
  </sheetViews>
  <sheetFormatPr defaultColWidth="8.85546875" defaultRowHeight="12.75"/>
  <cols>
    <col min="1" max="1" width="7.5703125" customWidth="1"/>
    <col min="2" max="5" width="15.85546875" customWidth="1"/>
    <col min="6" max="6" width="5.140625" customWidth="1"/>
    <col min="7" max="7" width="19.42578125" customWidth="1"/>
    <col min="8" max="8" width="26.140625" customWidth="1"/>
    <col min="9" max="9" width="8.7109375" customWidth="1"/>
    <col min="18" max="20" width="13.42578125" customWidth="1"/>
    <col min="23" max="23" width="11.140625" bestFit="1" customWidth="1"/>
    <col min="24" max="24" width="12.85546875" bestFit="1" customWidth="1"/>
    <col min="27" max="27" width="8.85546875" bestFit="1" customWidth="1"/>
    <col min="28" max="28" width="13.28515625" customWidth="1"/>
    <col min="29" max="29" width="11.7109375" customWidth="1"/>
    <col min="30" max="30" width="10.7109375" customWidth="1"/>
    <col min="31" max="31" width="11.42578125" bestFit="1" customWidth="1"/>
    <col min="32" max="32" width="5.7109375" customWidth="1"/>
    <col min="33" max="33" width="6.85546875" customWidth="1"/>
    <col min="40" max="40" width="6.28515625" customWidth="1"/>
    <col min="41" max="41" width="18.140625" style="216" bestFit="1" customWidth="1"/>
    <col min="42" max="42" width="21.85546875" style="216" bestFit="1" customWidth="1"/>
    <col min="45" max="45" width="17" customWidth="1"/>
    <col min="46" max="46" width="15" bestFit="1" customWidth="1"/>
    <col min="49" max="49" width="12.28515625" customWidth="1"/>
    <col min="50" max="50" width="12.140625" customWidth="1"/>
    <col min="54" max="54" width="9.42578125" bestFit="1" customWidth="1"/>
    <col min="55" max="55" width="12.28515625" customWidth="1"/>
    <col min="56" max="56" width="11.140625" customWidth="1"/>
    <col min="59" max="60" width="15.85546875" style="4" customWidth="1"/>
  </cols>
  <sheetData>
    <row r="1" spans="1:60" s="4" customFormat="1" ht="35.25" customHeight="1">
      <c r="A1" s="81"/>
      <c r="B1" s="417" t="s">
        <v>153</v>
      </c>
      <c r="C1" s="418"/>
      <c r="D1" s="418"/>
      <c r="E1" s="419"/>
      <c r="F1" s="81"/>
      <c r="G1" s="63"/>
      <c r="H1" s="63"/>
      <c r="I1" s="63"/>
      <c r="J1" s="81"/>
      <c r="K1" s="81"/>
      <c r="L1" s="81"/>
      <c r="M1" s="81"/>
      <c r="N1" s="81"/>
      <c r="O1" s="81"/>
      <c r="P1" s="81"/>
      <c r="Q1" s="81"/>
      <c r="R1" s="81"/>
      <c r="S1" s="81"/>
      <c r="T1" s="81"/>
      <c r="U1" s="81"/>
      <c r="V1" s="81"/>
      <c r="W1" s="81"/>
      <c r="X1" s="81"/>
      <c r="Y1" s="81"/>
      <c r="Z1" s="63"/>
      <c r="AA1" s="63"/>
      <c r="AB1" s="63"/>
      <c r="AC1" s="63"/>
      <c r="AD1" s="63"/>
      <c r="AE1" s="63"/>
      <c r="AF1" s="63"/>
      <c r="AG1" s="63"/>
      <c r="AH1" s="63"/>
      <c r="AI1" s="63"/>
      <c r="AJ1" s="81"/>
      <c r="AK1" s="81"/>
      <c r="AL1" s="81"/>
      <c r="AM1" s="81"/>
      <c r="AN1" s="63"/>
      <c r="AO1" s="215"/>
      <c r="AP1" s="215"/>
      <c r="AQ1" s="81"/>
      <c r="AR1" s="81"/>
      <c r="AS1" s="81"/>
      <c r="AT1" s="81"/>
      <c r="AU1" s="81"/>
      <c r="AV1" s="81"/>
      <c r="AW1" s="81"/>
      <c r="AX1" s="81"/>
      <c r="AY1" s="81"/>
      <c r="AZ1" s="81"/>
      <c r="BA1" s="81"/>
      <c r="BB1" s="81"/>
      <c r="BC1" s="81"/>
      <c r="BD1" s="81"/>
      <c r="BE1" s="81"/>
      <c r="BF1" s="81"/>
      <c r="BG1" s="81"/>
      <c r="BH1" s="81"/>
    </row>
    <row r="2" spans="1:60" s="4" customFormat="1" ht="75" customHeight="1" thickBot="1">
      <c r="A2" s="81"/>
      <c r="B2" s="420" t="s">
        <v>154</v>
      </c>
      <c r="C2" s="421"/>
      <c r="D2" s="421"/>
      <c r="E2" s="422"/>
      <c r="F2" s="81"/>
      <c r="G2" s="63"/>
      <c r="H2" s="63"/>
      <c r="I2" s="63"/>
      <c r="J2" s="81"/>
      <c r="K2" s="81"/>
      <c r="L2" s="81"/>
      <c r="M2" s="81"/>
      <c r="N2" s="81"/>
      <c r="O2" s="81"/>
      <c r="P2" s="81"/>
      <c r="Q2" s="81"/>
      <c r="R2" s="81"/>
      <c r="S2" s="81"/>
      <c r="T2" s="81"/>
      <c r="U2" s="81"/>
      <c r="V2" s="81"/>
      <c r="W2" s="81"/>
      <c r="X2" s="81"/>
      <c r="Y2" s="81"/>
      <c r="Z2" s="63"/>
      <c r="AA2" s="63"/>
      <c r="AB2" s="63"/>
      <c r="AC2" s="63"/>
      <c r="AD2" s="63"/>
      <c r="AE2" s="63"/>
      <c r="AF2" s="63"/>
      <c r="AG2" s="63"/>
      <c r="AH2" s="63"/>
      <c r="AI2" s="63"/>
      <c r="AJ2" s="81"/>
      <c r="AK2" s="81"/>
      <c r="AL2" s="81"/>
      <c r="AM2" s="81"/>
      <c r="AN2" s="63" t="s">
        <v>157</v>
      </c>
      <c r="AO2" s="360" t="str">
        <f>IF(Introduction!F17="Custom Value","Custom","National Average")</f>
        <v>National Average</v>
      </c>
      <c r="AP2" s="215" t="s">
        <v>407</v>
      </c>
      <c r="AQ2" s="81"/>
      <c r="AR2" s="82"/>
      <c r="AS2" s="361"/>
      <c r="AT2" s="82"/>
      <c r="AU2" s="81"/>
      <c r="AV2" s="81"/>
      <c r="AW2" s="81"/>
      <c r="AX2" s="81"/>
      <c r="AY2" s="81"/>
      <c r="AZ2" s="81"/>
      <c r="BA2" s="81"/>
      <c r="BB2" s="81"/>
      <c r="BC2" s="81"/>
      <c r="BD2" s="81"/>
      <c r="BE2" s="81"/>
      <c r="BF2" s="82" t="s">
        <v>157</v>
      </c>
      <c r="BG2" s="361" t="str">
        <f>IF(AND(Introduction!F18="National Average",NOT(partner_type="builder")),"National Average","Custom")</f>
        <v>Custom</v>
      </c>
      <c r="BH2" s="82" t="s">
        <v>409</v>
      </c>
    </row>
    <row r="3" spans="1:60" s="4" customFormat="1" ht="13.5" thickBot="1">
      <c r="A3" s="81"/>
      <c r="B3" s="423" t="s">
        <v>155</v>
      </c>
      <c r="C3" s="424"/>
      <c r="D3" s="424"/>
      <c r="E3" s="425"/>
      <c r="F3" s="81"/>
      <c r="G3" s="63"/>
      <c r="H3" s="63"/>
      <c r="I3" s="63"/>
      <c r="J3" s="81"/>
      <c r="K3" s="81"/>
      <c r="L3" s="81"/>
      <c r="M3" s="81"/>
      <c r="N3" s="81"/>
      <c r="O3" s="81"/>
      <c r="P3" s="81"/>
      <c r="Q3" s="81"/>
      <c r="R3" s="417" t="s">
        <v>156</v>
      </c>
      <c r="S3" s="418"/>
      <c r="T3" s="419"/>
      <c r="U3" s="81"/>
      <c r="V3" s="81"/>
      <c r="W3" s="81"/>
      <c r="X3" s="81"/>
      <c r="Y3" s="81"/>
      <c r="Z3" s="63"/>
      <c r="AA3" s="63"/>
      <c r="AB3" s="63"/>
      <c r="AC3" s="63"/>
      <c r="AD3" s="63"/>
      <c r="AE3" s="63"/>
      <c r="AF3" s="63"/>
      <c r="AG3" s="63"/>
      <c r="AH3" s="63"/>
      <c r="AI3" s="63"/>
      <c r="AJ3" s="81"/>
      <c r="AK3" s="81"/>
      <c r="AL3" s="81"/>
      <c r="AM3" s="81"/>
      <c r="AN3" s="63" t="s">
        <v>157</v>
      </c>
      <c r="AO3" s="360" t="str">
        <f>IF(Introduction!F20="Custom Value","Custom","National Average")</f>
        <v>National Average</v>
      </c>
      <c r="AP3" s="215" t="s">
        <v>408</v>
      </c>
      <c r="AQ3" s="81"/>
      <c r="AR3" s="63" t="s">
        <v>157</v>
      </c>
      <c r="AS3" s="361" t="str">
        <f>IF(AND(Introduction!C17="National Average",NOT(partner_type="builder")),"National Average","Custom")</f>
        <v>Custom</v>
      </c>
      <c r="AT3" s="63" t="s">
        <v>158</v>
      </c>
      <c r="AU3" s="63"/>
      <c r="AV3" s="63" t="s">
        <v>157</v>
      </c>
      <c r="AW3" s="361" t="str">
        <f>IF(AND(Introduction!C17="National Average",NOT(partner_type="builder")),"National Average","Custom")</f>
        <v>Custom</v>
      </c>
      <c r="AX3" s="63" t="s">
        <v>158</v>
      </c>
      <c r="AY3" s="63"/>
      <c r="AZ3" s="81"/>
      <c r="BA3" s="81" t="s">
        <v>157</v>
      </c>
      <c r="BB3" s="361" t="str">
        <f>IF(AND(Introduction!C17="National Average",NOT(partner_type="builder")),"National Average","Custom")</f>
        <v>Custom</v>
      </c>
      <c r="BC3" s="81" t="s">
        <v>158</v>
      </c>
      <c r="BD3" s="81"/>
      <c r="BE3" s="81"/>
      <c r="BF3" s="82" t="s">
        <v>157</v>
      </c>
      <c r="BG3" s="361" t="str">
        <f>IF(AND(Introduction!F19="National Average",NOT(partner_type="builder")),"National Average","Custom")</f>
        <v>Custom</v>
      </c>
      <c r="BH3" s="82" t="s">
        <v>410</v>
      </c>
    </row>
    <row r="4" spans="1:60" s="4" customFormat="1" ht="43.5" customHeight="1" thickBot="1">
      <c r="A4" s="81"/>
      <c r="B4" s="420" t="s">
        <v>159</v>
      </c>
      <c r="C4" s="421"/>
      <c r="D4" s="421"/>
      <c r="E4" s="422"/>
      <c r="F4" s="81"/>
      <c r="G4" s="426" t="s">
        <v>160</v>
      </c>
      <c r="H4" s="427"/>
      <c r="I4" s="63"/>
      <c r="J4" s="443"/>
      <c r="K4" s="444"/>
      <c r="L4" s="445"/>
      <c r="M4" s="81"/>
      <c r="N4" s="443"/>
      <c r="O4" s="444"/>
      <c r="P4" s="445"/>
      <c r="Q4" s="81"/>
      <c r="R4" s="420" t="s">
        <v>161</v>
      </c>
      <c r="S4" s="421"/>
      <c r="T4" s="422"/>
      <c r="U4" s="81"/>
      <c r="V4" s="434" t="s">
        <v>162</v>
      </c>
      <c r="W4" s="435"/>
      <c r="X4" s="436"/>
      <c r="Y4" s="81"/>
      <c r="Z4" s="449" t="s">
        <v>163</v>
      </c>
      <c r="AA4" s="450"/>
      <c r="AB4" s="450"/>
      <c r="AC4" s="451"/>
      <c r="AD4" s="63"/>
      <c r="AE4" s="63"/>
      <c r="AF4" s="63"/>
      <c r="AG4" s="63"/>
      <c r="AH4" s="63"/>
      <c r="AI4" s="63"/>
      <c r="AJ4" s="81"/>
      <c r="AK4" s="81"/>
      <c r="AL4" s="81"/>
      <c r="AM4" s="81"/>
      <c r="AN4" s="434" t="s">
        <v>162</v>
      </c>
      <c r="AO4" s="435"/>
      <c r="AP4" s="436"/>
      <c r="AQ4" s="81"/>
      <c r="AR4" s="443"/>
      <c r="AS4" s="444"/>
      <c r="AT4" s="445"/>
      <c r="AU4" s="81"/>
      <c r="AV4" s="443"/>
      <c r="AW4" s="444"/>
      <c r="AX4" s="445"/>
      <c r="AY4" s="81"/>
      <c r="AZ4" s="81"/>
      <c r="BA4" s="449" t="s">
        <v>163</v>
      </c>
      <c r="BB4" s="450"/>
      <c r="BC4" s="450"/>
      <c r="BD4" s="451"/>
      <c r="BE4" s="81"/>
      <c r="BF4" s="446" t="s">
        <v>411</v>
      </c>
      <c r="BG4" s="447"/>
      <c r="BH4" s="448"/>
    </row>
    <row r="5" spans="1:60" ht="54.75" customHeight="1">
      <c r="A5" s="63"/>
      <c r="B5" s="428" t="s">
        <v>164</v>
      </c>
      <c r="C5" s="430"/>
      <c r="D5" s="430"/>
      <c r="E5" s="429"/>
      <c r="F5" s="63"/>
      <c r="G5" s="428" t="s">
        <v>165</v>
      </c>
      <c r="H5" s="429"/>
      <c r="I5" s="63"/>
      <c r="J5" s="440" t="s">
        <v>166</v>
      </c>
      <c r="K5" s="441"/>
      <c r="L5" s="442"/>
      <c r="M5" s="81"/>
      <c r="N5" s="440" t="s">
        <v>167</v>
      </c>
      <c r="O5" s="441"/>
      <c r="P5" s="442"/>
      <c r="Q5" s="81"/>
      <c r="R5" s="428" t="s">
        <v>168</v>
      </c>
      <c r="S5" s="430"/>
      <c r="T5" s="429"/>
      <c r="U5" s="81"/>
      <c r="V5" s="437" t="s">
        <v>169</v>
      </c>
      <c r="W5" s="438"/>
      <c r="X5" s="439"/>
      <c r="Y5" s="81"/>
      <c r="Z5" s="426" t="s">
        <v>170</v>
      </c>
      <c r="AA5" s="452"/>
      <c r="AB5" s="452"/>
      <c r="AC5" s="427"/>
      <c r="AD5" s="63"/>
      <c r="AE5" s="431" t="s">
        <v>171</v>
      </c>
      <c r="AF5" s="432"/>
      <c r="AG5" s="432"/>
      <c r="AH5" s="433"/>
      <c r="AI5" s="63"/>
      <c r="AJ5" s="431" t="s">
        <v>172</v>
      </c>
      <c r="AK5" s="432"/>
      <c r="AL5" s="433"/>
      <c r="AM5" s="81"/>
      <c r="AN5" s="437" t="s">
        <v>169</v>
      </c>
      <c r="AO5" s="438"/>
      <c r="AP5" s="439"/>
      <c r="AQ5" s="63"/>
      <c r="AR5" s="440" t="s">
        <v>166</v>
      </c>
      <c r="AS5" s="441"/>
      <c r="AT5" s="442"/>
      <c r="AU5" s="81"/>
      <c r="AV5" s="440" t="s">
        <v>167</v>
      </c>
      <c r="AW5" s="441"/>
      <c r="AX5" s="442"/>
      <c r="AY5" s="81"/>
      <c r="AZ5" s="81"/>
      <c r="BA5" s="426" t="s">
        <v>170</v>
      </c>
      <c r="BB5" s="452"/>
      <c r="BC5" s="452"/>
      <c r="BD5" s="427"/>
      <c r="BE5" s="63"/>
      <c r="BF5" s="428" t="s">
        <v>168</v>
      </c>
      <c r="BG5" s="430"/>
      <c r="BH5" s="429"/>
    </row>
    <row r="6" spans="1:60" ht="39" thickBot="1">
      <c r="A6" s="63"/>
      <c r="B6" s="90" t="s">
        <v>11</v>
      </c>
      <c r="C6" s="91" t="s">
        <v>173</v>
      </c>
      <c r="D6" s="91" t="s">
        <v>174</v>
      </c>
      <c r="E6" s="92" t="s">
        <v>175</v>
      </c>
      <c r="F6" s="63"/>
      <c r="G6" s="99" t="s">
        <v>176</v>
      </c>
      <c r="H6" s="100" t="s">
        <v>177</v>
      </c>
      <c r="I6" s="63"/>
      <c r="J6" s="301" t="s">
        <v>11</v>
      </c>
      <c r="K6" s="302" t="s">
        <v>178</v>
      </c>
      <c r="L6" s="303" t="s">
        <v>179</v>
      </c>
      <c r="M6" s="81"/>
      <c r="N6" s="301" t="s">
        <v>11</v>
      </c>
      <c r="O6" s="302" t="s">
        <v>180</v>
      </c>
      <c r="P6" s="303" t="s">
        <v>181</v>
      </c>
      <c r="Q6" s="81"/>
      <c r="R6" s="90" t="s">
        <v>11</v>
      </c>
      <c r="S6" s="154" t="s">
        <v>182</v>
      </c>
      <c r="T6" s="156" t="s">
        <v>183</v>
      </c>
      <c r="U6" s="81"/>
      <c r="V6" s="214" t="s">
        <v>176</v>
      </c>
      <c r="W6" s="224" t="s">
        <v>43</v>
      </c>
      <c r="X6" s="225" t="s">
        <v>44</v>
      </c>
      <c r="Y6" s="81"/>
      <c r="Z6" s="348" t="s">
        <v>11</v>
      </c>
      <c r="AA6" s="349" t="s">
        <v>99</v>
      </c>
      <c r="AB6" s="349" t="s">
        <v>184</v>
      </c>
      <c r="AC6" s="350" t="s">
        <v>185</v>
      </c>
      <c r="AD6" s="63"/>
      <c r="AE6" s="301" t="s">
        <v>11</v>
      </c>
      <c r="AF6" s="302" t="s">
        <v>186</v>
      </c>
      <c r="AG6" s="302" t="s">
        <v>187</v>
      </c>
      <c r="AH6" s="304" t="s">
        <v>188</v>
      </c>
      <c r="AI6" s="63"/>
      <c r="AJ6" s="301" t="s">
        <v>11</v>
      </c>
      <c r="AK6" s="302" t="s">
        <v>189</v>
      </c>
      <c r="AL6" s="303" t="s">
        <v>190</v>
      </c>
      <c r="AM6" s="81"/>
      <c r="AN6" s="214" t="s">
        <v>176</v>
      </c>
      <c r="AO6" s="224" t="s">
        <v>43</v>
      </c>
      <c r="AP6" s="225" t="s">
        <v>44</v>
      </c>
      <c r="AQ6" s="63"/>
      <c r="AR6" s="301" t="s">
        <v>11</v>
      </c>
      <c r="AS6" s="302" t="s">
        <v>178</v>
      </c>
      <c r="AT6" s="303" t="s">
        <v>179</v>
      </c>
      <c r="AU6" s="81"/>
      <c r="AV6" s="301" t="s">
        <v>11</v>
      </c>
      <c r="AW6" s="302" t="s">
        <v>180</v>
      </c>
      <c r="AX6" s="303" t="s">
        <v>181</v>
      </c>
      <c r="AY6" s="81"/>
      <c r="AZ6" s="81"/>
      <c r="BA6" s="348" t="s">
        <v>11</v>
      </c>
      <c r="BB6" s="349" t="s">
        <v>99</v>
      </c>
      <c r="BC6" s="349" t="s">
        <v>184</v>
      </c>
      <c r="BD6" s="350" t="s">
        <v>185</v>
      </c>
      <c r="BE6" s="63"/>
      <c r="BF6" s="90" t="s">
        <v>11</v>
      </c>
      <c r="BG6" s="154" t="s">
        <v>182</v>
      </c>
      <c r="BH6" s="156" t="s">
        <v>183</v>
      </c>
    </row>
    <row r="7" spans="1:60" ht="13.5" thickBot="1">
      <c r="A7" s="82"/>
      <c r="B7" s="136">
        <v>2007</v>
      </c>
      <c r="C7" s="137">
        <f>SUM(Table4[[#This Row],[Number of houses using electricity]:[Number of houses using natural gas]])</f>
        <v>105237000</v>
      </c>
      <c r="D7" s="138">
        <v>44239000</v>
      </c>
      <c r="E7" s="139">
        <v>60998000</v>
      </c>
      <c r="F7" s="82"/>
      <c r="G7" s="140">
        <v>2007</v>
      </c>
      <c r="H7" s="208">
        <v>0.88013000000000008</v>
      </c>
      <c r="I7" s="63"/>
      <c r="J7" s="136">
        <v>2007</v>
      </c>
      <c r="K7" s="295">
        <v>9.3208899808280301E-4</v>
      </c>
      <c r="L7" s="296">
        <v>0.17427898024027508</v>
      </c>
      <c r="M7" s="81"/>
      <c r="N7" s="136">
        <v>2007</v>
      </c>
      <c r="O7" s="305">
        <v>0.60699999999999998</v>
      </c>
      <c r="P7" s="306">
        <v>0.67800000000000005</v>
      </c>
      <c r="Q7" s="81"/>
      <c r="R7" s="136">
        <v>2007</v>
      </c>
      <c r="S7" s="152">
        <v>13.08</v>
      </c>
      <c r="T7" s="157">
        <v>0.1065</v>
      </c>
      <c r="U7" s="81"/>
      <c r="V7" s="136">
        <v>2007</v>
      </c>
      <c r="W7" s="152">
        <v>7.17</v>
      </c>
      <c r="X7" s="157">
        <v>6.35</v>
      </c>
      <c r="Y7" s="81"/>
      <c r="Z7" s="351">
        <v>2007</v>
      </c>
      <c r="AA7" s="352">
        <v>1520.21</v>
      </c>
      <c r="AB7" s="353">
        <f t="shared" ref="AB7:AB30" si="0">IF(ISBLANK(AA7),AB6,AA7*0.000453592*10^-3)</f>
        <v>6.8955509432000006E-4</v>
      </c>
      <c r="AC7" s="354">
        <v>5.3E-3</v>
      </c>
      <c r="AD7" s="63"/>
      <c r="AE7" s="136">
        <v>2007</v>
      </c>
      <c r="AF7" s="299">
        <v>2.2502108362364641</v>
      </c>
      <c r="AG7" s="299">
        <v>2.2502108362364641</v>
      </c>
      <c r="AH7" s="229">
        <v>1.8034854371012543</v>
      </c>
      <c r="AI7" s="63"/>
      <c r="AJ7" s="136">
        <v>2007</v>
      </c>
      <c r="AK7" s="299">
        <v>0.56042097994154594</v>
      </c>
      <c r="AL7" s="334">
        <v>0.89113144787732934</v>
      </c>
      <c r="AM7" s="81"/>
      <c r="AN7" s="217">
        <v>2007</v>
      </c>
      <c r="AO7" s="218">
        <f>IF(Introduction!$F$17="National Average",_xlfn.XLOOKUP($AN7,$V$7:$V$30,W$7:W$30,"",0),_xlfn.XLOOKUP($AN7,'Utility Cost'!$C$7:$C$30,'Utility Cost'!D$7:D$30,"",0))</f>
        <v>0</v>
      </c>
      <c r="AP7" s="218">
        <f>IF(Introduction!$F$20="National Average",_xlfn.XLOOKUP($AN7,$V$7:$V$30,X$7:X$30,"",0),_xlfn.XLOOKUP($AN7,'Utility Cost'!$C$7:$C$30,'Utility Cost'!H$7:H$30,"",0))</f>
        <v>0</v>
      </c>
      <c r="AQ7" s="63"/>
      <c r="AR7" s="136">
        <v>2007</v>
      </c>
      <c r="AS7" s="295" t="e" cm="1">
        <f t="array" ref="AS7">IF(Introduction!$C$17="National Average",'Annual Data'!K7,INDEX('DHW Mix'!$AJ$7:$AS$30,'Annual Data'!AR7-2006,_xlfn.XLOOKUP(Introduction!$C$17,Regions!$B$2:$B$52,Regions!$C$2:$C$52,"",0)))</f>
        <v>#VALUE!</v>
      </c>
      <c r="AT7" s="296" t="e" cm="1">
        <f t="array" ref="AT7">IF(Introduction!$C$17="National Average",'Annual Data'!L7,INDEX('DHW Mix'!$AU$7:$BD$30,'Annual Data'!$AR7-2006,_xlfn.XLOOKUP(Introduction!$C$17,Regions!$B$2:$B$52,Regions!$C$2:$C$52,"",0)))</f>
        <v>#VALUE!</v>
      </c>
      <c r="AU7" s="81"/>
      <c r="AV7" s="136">
        <v>2007</v>
      </c>
      <c r="AW7" s="305" t="e" cm="1">
        <f t="array" ref="AW7">IF(Introduction!$C$17="National Average",O7,INDEX('DHW Mix'!$C$7:$L$30,'Annual Data'!$AV7-2006,_xlfn.XLOOKUP(Introduction!$C$17,Regions!$B$2:$B$52,Regions!$C$2:$C$52,"",0)))</f>
        <v>#VALUE!</v>
      </c>
      <c r="AX7" s="306" t="e" cm="1">
        <f t="array" ref="AX7">IF(Introduction!$C$17="National Average",P7,INDEX('DHW Mix'!$N$7:$W$30,'Annual Data'!$AV7-2006,_xlfn.XLOOKUP(Introduction!$C$17,Regions!$B$2:$B$52,Regions!$C$2:$C$52,"",0)))</f>
        <v>#VALUE!</v>
      </c>
      <c r="AY7" s="81"/>
      <c r="AZ7" s="81"/>
      <c r="BA7" s="351">
        <v>2007</v>
      </c>
      <c r="BB7" s="355" t="e">
        <f>IF(Introduction!$C$17="National Average",'Annual Data'!AA7,_xlfn.XLOOKUP(Introduction!$C$17,lbs_mWh!$C$2:$BA$2,lbs_mWh!C3:BA3))</f>
        <v>#N/A</v>
      </c>
      <c r="BC7" s="353" t="e">
        <f>IF(Introduction!$C$17="National Average",AB7,_xlfn.XLOOKUP(Introduction!$C$17,tons_kWh!$C$2:$BA$2,tons_kWh!C3:BA3))</f>
        <v>#N/A</v>
      </c>
      <c r="BD7" s="354">
        <v>5.3E-3</v>
      </c>
      <c r="BE7" s="63"/>
      <c r="BF7" s="136">
        <v>2007</v>
      </c>
      <c r="BG7" s="152">
        <f>IF(Introduction!$F$19="National Average",_xlfn.XLOOKUP($BF7,$R$7:$R$30,S$7:S$30,"",0),_xlfn.XLOOKUP($BF7,'Utility Cost'!$C$7:$C$30,'Utility Cost'!F$7:F$30,"",0))</f>
        <v>0</v>
      </c>
      <c r="BH7" s="369">
        <f>IF(Introduction!$F$18="National Average",_xlfn.XLOOKUP($BF7,$R$7:$R$30,T$7:T$30,"",0),_xlfn.XLOOKUP($BF7,'Utility Cost'!$C$7:$C$30,'Utility Cost'!E$7:E$30,"",0))</f>
        <v>0</v>
      </c>
    </row>
    <row r="8" spans="1:60" ht="13.5" thickBot="1">
      <c r="A8" s="82"/>
      <c r="B8" s="136">
        <f>SUM(B7+1)</f>
        <v>2008</v>
      </c>
      <c r="C8" s="137">
        <f>SUM(Table4[[#This Row],[Number of houses using electricity]:[Number of houses using natural gas]])</f>
        <v>105237000</v>
      </c>
      <c r="D8" s="138">
        <v>44239000</v>
      </c>
      <c r="E8" s="139">
        <v>60998000</v>
      </c>
      <c r="F8" s="82"/>
      <c r="G8" s="140">
        <v>2008</v>
      </c>
      <c r="H8" s="208">
        <v>0.88013000000000008</v>
      </c>
      <c r="I8" s="63"/>
      <c r="J8" s="136">
        <v>2008</v>
      </c>
      <c r="K8" s="295">
        <v>9.2598423596411601E-4</v>
      </c>
      <c r="L8" s="296">
        <v>0.17366489527152287</v>
      </c>
      <c r="M8" s="81"/>
      <c r="N8" s="136">
        <v>2008</v>
      </c>
      <c r="O8" s="305">
        <v>0.60699999999999998</v>
      </c>
      <c r="P8" s="306">
        <v>0.67800000000000005</v>
      </c>
      <c r="Q8" s="81"/>
      <c r="R8" s="136">
        <v>2008</v>
      </c>
      <c r="S8" s="152">
        <v>13.89</v>
      </c>
      <c r="T8" s="157">
        <v>0.11259999999999999</v>
      </c>
      <c r="U8" s="81"/>
      <c r="V8" s="136">
        <v>2008</v>
      </c>
      <c r="W8" s="152">
        <v>7.17</v>
      </c>
      <c r="X8" s="157">
        <v>6.35</v>
      </c>
      <c r="Y8" s="81"/>
      <c r="Z8" s="136">
        <v>2008</v>
      </c>
      <c r="AA8" s="344"/>
      <c r="AB8" s="295">
        <f t="shared" si="0"/>
        <v>6.8955509432000006E-4</v>
      </c>
      <c r="AC8" s="296">
        <v>5.3E-3</v>
      </c>
      <c r="AD8" s="63"/>
      <c r="AE8" s="136">
        <v>2008</v>
      </c>
      <c r="AF8" s="299">
        <v>2.3506521551712121</v>
      </c>
      <c r="AG8" s="299">
        <v>2.3506521551712121</v>
      </c>
      <c r="AH8" s="229">
        <v>1.9153935809342337</v>
      </c>
      <c r="AI8" s="63"/>
      <c r="AJ8" s="136">
        <v>2008</v>
      </c>
      <c r="AK8" s="299">
        <v>0.5641156829785825</v>
      </c>
      <c r="AL8" s="334">
        <v>0.89428251894709432</v>
      </c>
      <c r="AM8" s="81"/>
      <c r="AN8" s="217">
        <v>2008</v>
      </c>
      <c r="AO8" s="218">
        <f>IF(Introduction!$F$17="National Average",_xlfn.XLOOKUP($AN8,$V$7:$V$30,W$7:W$30,"",0),_xlfn.XLOOKUP($AN8,'Utility Cost'!$C$7:$C$30,'Utility Cost'!D$7:D$30,"",0))</f>
        <v>0</v>
      </c>
      <c r="AP8" s="218">
        <f>IF(Introduction!$F$20="National Average",_xlfn.XLOOKUP($AN8,$V$7:$V$30,X$7:X$30,"",0),_xlfn.XLOOKUP($AN8,'Utility Cost'!$C$7:$C$30,'Utility Cost'!H$7:H$30,"",0))</f>
        <v>0</v>
      </c>
      <c r="AQ8" s="63"/>
      <c r="AR8" s="136">
        <v>2008</v>
      </c>
      <c r="AS8" s="295" t="e" cm="1">
        <f t="array" ref="AS8">IF(Introduction!$C$17="National Average",'Annual Data'!K8,INDEX('DHW Mix'!$AJ$7:$AS$30,'Annual Data'!AR8-2006,_xlfn.XLOOKUP(Introduction!$C$17,Regions!$B$2:$B$52,Regions!$C$2:$C$52,"",0)))</f>
        <v>#VALUE!</v>
      </c>
      <c r="AT8" s="296" t="e" cm="1">
        <f t="array" ref="AT8">IF(Introduction!$C$17="National Average",'Annual Data'!L8,INDEX('DHW Mix'!$AU$7:$BD$30,'Annual Data'!$AR8-2006,_xlfn.XLOOKUP(Introduction!$C$17,Regions!$B$2:$B$52,Regions!$C$2:$C$52,"",0)))</f>
        <v>#VALUE!</v>
      </c>
      <c r="AU8" s="81"/>
      <c r="AV8" s="136">
        <v>2008</v>
      </c>
      <c r="AW8" s="305" t="e" cm="1">
        <f t="array" ref="AW8">IF(Introduction!$C$17="National Average",O8,INDEX('DHW Mix'!$C$7:$L$30,'Annual Data'!$AV8-2006,_xlfn.XLOOKUP(Introduction!$C$17,Regions!$B$2:$B$52,Regions!$C$2:$C$52,"",0)))</f>
        <v>#VALUE!</v>
      </c>
      <c r="AX8" s="306" t="e" cm="1">
        <f t="array" ref="AX8">IF(Introduction!$C$17="National Average",P8,INDEX('DHW Mix'!$N$7:$W$30,'Annual Data'!$AV8-2006,_xlfn.XLOOKUP(Introduction!$C$17,Regions!$B$2:$B$52,Regions!$C$2:$C$52,"",0)))</f>
        <v>#VALUE!</v>
      </c>
      <c r="AY8" s="81"/>
      <c r="AZ8" s="81"/>
      <c r="BA8" s="136">
        <v>2008</v>
      </c>
      <c r="BB8" s="355" t="e">
        <f>IF(Introduction!$C$17="National Average",'Annual Data'!AA8,_xlfn.XLOOKUP(Introduction!$C$17,lbs_mWh!$C$2:$BA$2,lbs_mWh!C4:BA4))</f>
        <v>#N/A</v>
      </c>
      <c r="BC8" s="353" t="e">
        <f>IF(Introduction!$C$17="National Average",AB8,_xlfn.XLOOKUP(Introduction!$C$17,tons_kWh!$C$2:$BA$2,tons_kWh!C4:BA4))</f>
        <v>#N/A</v>
      </c>
      <c r="BD8" s="296">
        <v>5.3E-3</v>
      </c>
      <c r="BE8" s="63"/>
      <c r="BF8" s="136">
        <f t="shared" ref="BF8:BF13" si="1">SUM(BF7+1)</f>
        <v>2008</v>
      </c>
      <c r="BG8" s="152">
        <f>IF(Introduction!$F$19="National Average",_xlfn.XLOOKUP($BF8,$R$7:$R$30,S$7:S$30,"",0),_xlfn.XLOOKUP($BF8,'Utility Cost'!$C$7:$C$30,'Utility Cost'!F$7:F$30,"",0))</f>
        <v>0</v>
      </c>
      <c r="BH8" s="369">
        <f>IF(Introduction!$F$18="National Average",_xlfn.XLOOKUP($BF8,$R$7:$R$30,T$7:T$30,"",0),_xlfn.XLOOKUP($BF8,'Utility Cost'!$C$7:$C$30,'Utility Cost'!E$7:E$30,"",0))</f>
        <v>0</v>
      </c>
    </row>
    <row r="9" spans="1:60" ht="13.5" thickBot="1">
      <c r="A9" s="82"/>
      <c r="B9" s="136">
        <f>SUM(B8+1)</f>
        <v>2009</v>
      </c>
      <c r="C9" s="137">
        <f>SUM(Table4[[#This Row],[Number of houses using electricity]:[Number of houses using natural gas]])</f>
        <v>106636939.18527666</v>
      </c>
      <c r="D9" s="138">
        <v>45435146.269217439</v>
      </c>
      <c r="E9" s="139">
        <v>61201792.916059226</v>
      </c>
      <c r="F9" s="82"/>
      <c r="G9" s="140">
        <v>2009</v>
      </c>
      <c r="H9" s="208">
        <v>0.88556000000000001</v>
      </c>
      <c r="I9" s="63"/>
      <c r="J9" s="136">
        <v>2009</v>
      </c>
      <c r="K9" s="295">
        <v>9.1995619875717737E-4</v>
      </c>
      <c r="L9" s="296">
        <v>0.17308516423420536</v>
      </c>
      <c r="M9" s="81"/>
      <c r="N9" s="136">
        <v>2009</v>
      </c>
      <c r="O9" s="305">
        <v>0.60699999999999998</v>
      </c>
      <c r="P9" s="306">
        <v>0.67800000000000005</v>
      </c>
      <c r="Q9" s="81"/>
      <c r="R9" s="136">
        <v>2009</v>
      </c>
      <c r="S9" s="152">
        <v>12.14</v>
      </c>
      <c r="T9" s="157">
        <v>0.11509999999999999</v>
      </c>
      <c r="U9" s="81"/>
      <c r="V9" s="136">
        <v>2009</v>
      </c>
      <c r="W9" s="152">
        <v>7.5449999999999999</v>
      </c>
      <c r="X9" s="157">
        <v>6.6349999999999998</v>
      </c>
      <c r="Y9" s="81"/>
      <c r="Z9" s="136">
        <v>2009</v>
      </c>
      <c r="AA9" s="344">
        <v>1555.48</v>
      </c>
      <c r="AB9" s="295">
        <f t="shared" si="0"/>
        <v>7.0555328415999993E-4</v>
      </c>
      <c r="AC9" s="296">
        <v>5.3E-3</v>
      </c>
      <c r="AD9" s="63"/>
      <c r="AE9" s="136">
        <v>2009</v>
      </c>
      <c r="AF9" s="299">
        <v>2.3998142749755043</v>
      </c>
      <c r="AG9" s="299">
        <v>2.3998142749755043</v>
      </c>
      <c r="AH9" s="229">
        <v>2.0180462189374064</v>
      </c>
      <c r="AI9" s="63"/>
      <c r="AJ9" s="136">
        <v>2009</v>
      </c>
      <c r="AK9" s="299">
        <v>0.56781206583964317</v>
      </c>
      <c r="AL9" s="334">
        <v>0.89727782668856315</v>
      </c>
      <c r="AM9" s="81"/>
      <c r="AN9" s="217">
        <v>2009</v>
      </c>
      <c r="AO9" s="218">
        <f>IF(Introduction!$F$17="National Average",_xlfn.XLOOKUP($AN9,$V$7:$V$30,W$7:W$30,"",0),_xlfn.XLOOKUP($AN9,'Utility Cost'!$C$7:$C$30,'Utility Cost'!D$7:D$30,"",0))</f>
        <v>0</v>
      </c>
      <c r="AP9" s="218">
        <f>IF(Introduction!$F$20="National Average",_xlfn.XLOOKUP($AN9,$V$7:$V$30,X$7:X$30,"",0),_xlfn.XLOOKUP($AN9,'Utility Cost'!$C$7:$C$30,'Utility Cost'!H$7:H$30,"",0))</f>
        <v>0</v>
      </c>
      <c r="AQ9" s="63"/>
      <c r="AR9" s="136">
        <v>2009</v>
      </c>
      <c r="AS9" s="295" t="e" cm="1">
        <f t="array" ref="AS9">IF(Introduction!$C$17="National Average",'Annual Data'!K9,INDEX('DHW Mix'!$AJ$7:$AS$30,'Annual Data'!AR9-2006,_xlfn.XLOOKUP(Introduction!$C$17,Regions!$B$2:$B$52,Regions!$C$2:$C$52,"",0)))</f>
        <v>#VALUE!</v>
      </c>
      <c r="AT9" s="296" t="e" cm="1">
        <f t="array" ref="AT9">IF(Introduction!$C$17="National Average",'Annual Data'!L9,INDEX('DHW Mix'!$AU$7:$BD$30,'Annual Data'!$AR9-2006,_xlfn.XLOOKUP(Introduction!$C$17,Regions!$B$2:$B$52,Regions!$C$2:$C$52,"",0)))</f>
        <v>#VALUE!</v>
      </c>
      <c r="AU9" s="81"/>
      <c r="AV9" s="136">
        <v>2009</v>
      </c>
      <c r="AW9" s="305" t="e" cm="1">
        <f t="array" ref="AW9">IF(Introduction!$C$17="National Average",O9,INDEX('DHW Mix'!$C$7:$L$30,'Annual Data'!$AV9-2006,_xlfn.XLOOKUP(Introduction!$C$17,Regions!$B$2:$B$52,Regions!$C$2:$C$52,"",0)))</f>
        <v>#VALUE!</v>
      </c>
      <c r="AX9" s="306" t="e" cm="1">
        <f t="array" ref="AX9">IF(Introduction!$C$17="National Average",P9,INDEX('DHW Mix'!$N$7:$W$30,'Annual Data'!$AV9-2006,_xlfn.XLOOKUP(Introduction!$C$17,Regions!$B$2:$B$52,Regions!$C$2:$C$52,"",0)))</f>
        <v>#VALUE!</v>
      </c>
      <c r="AY9" s="81"/>
      <c r="AZ9" s="81"/>
      <c r="BA9" s="136">
        <v>2009</v>
      </c>
      <c r="BB9" s="355" t="e">
        <f>IF(Introduction!$C$17="National Average",'Annual Data'!AA9,_xlfn.XLOOKUP(Introduction!$C$17,lbs_mWh!$C$2:$BA$2,lbs_mWh!C5:BA5))</f>
        <v>#N/A</v>
      </c>
      <c r="BC9" s="353" t="e">
        <f>IF(Introduction!$C$17="National Average",AB9,_xlfn.XLOOKUP(Introduction!$C$17,tons_kWh!$C$2:$BA$2,tons_kWh!C5:BA5))</f>
        <v>#N/A</v>
      </c>
      <c r="BD9" s="296">
        <v>5.3E-3</v>
      </c>
      <c r="BE9" s="63"/>
      <c r="BF9" s="136">
        <f t="shared" si="1"/>
        <v>2009</v>
      </c>
      <c r="BG9" s="152">
        <f>IF(Introduction!$F$19="National Average",_xlfn.XLOOKUP($BF9,$R$7:$R$30,S$7:S$30,"",0),_xlfn.XLOOKUP($BF9,'Utility Cost'!$C$7:$C$30,'Utility Cost'!F$7:F$30,"",0))</f>
        <v>0</v>
      </c>
      <c r="BH9" s="369">
        <f>IF(Introduction!$F$18="National Average",_xlfn.XLOOKUP($BF9,$R$7:$R$30,T$7:T$30,"",0),_xlfn.XLOOKUP($BF9,'Utility Cost'!$C$7:$C$30,'Utility Cost'!E$7:E$30,"",0))</f>
        <v>0</v>
      </c>
    </row>
    <row r="10" spans="1:60" ht="13.5" thickBot="1">
      <c r="A10" s="82"/>
      <c r="B10" s="136">
        <f>SUM(B9+1)</f>
        <v>2010</v>
      </c>
      <c r="C10" s="137">
        <f>SUM(Table4[[#This Row],[Number of houses using electricity]:[Number of houses using natural gas]])</f>
        <v>106636939.18527666</v>
      </c>
      <c r="D10" s="138">
        <v>45435146.269217439</v>
      </c>
      <c r="E10" s="139">
        <v>61201792.916059226</v>
      </c>
      <c r="F10" s="82"/>
      <c r="G10" s="140">
        <v>2010</v>
      </c>
      <c r="H10" s="208">
        <v>0.89632000000000001</v>
      </c>
      <c r="I10" s="63"/>
      <c r="J10" s="136">
        <v>2010</v>
      </c>
      <c r="K10" s="295">
        <v>9.1379695148659451E-4</v>
      </c>
      <c r="L10" s="296">
        <v>0.17250983394781547</v>
      </c>
      <c r="M10" s="81"/>
      <c r="N10" s="136">
        <v>2010</v>
      </c>
      <c r="O10" s="305">
        <v>0.60699999999999998</v>
      </c>
      <c r="P10" s="306">
        <v>0.67800000000000005</v>
      </c>
      <c r="Q10" s="81"/>
      <c r="R10" s="136">
        <v>2010</v>
      </c>
      <c r="S10" s="152">
        <v>11.39</v>
      </c>
      <c r="T10" s="157">
        <v>0.11539999999999999</v>
      </c>
      <c r="U10" s="81"/>
      <c r="V10" s="136">
        <v>2010</v>
      </c>
      <c r="W10" s="152">
        <v>7.92</v>
      </c>
      <c r="X10" s="157">
        <v>6.92</v>
      </c>
      <c r="Y10" s="81"/>
      <c r="Z10" s="136">
        <v>2010</v>
      </c>
      <c r="AA10" s="344">
        <v>1520.2</v>
      </c>
      <c r="AB10" s="295">
        <f t="shared" si="0"/>
        <v>6.895505584E-4</v>
      </c>
      <c r="AC10" s="296">
        <v>5.3E-3</v>
      </c>
      <c r="AD10" s="63"/>
      <c r="AE10" s="136">
        <v>2010</v>
      </c>
      <c r="AF10" s="299">
        <v>2.4335576423644305</v>
      </c>
      <c r="AG10" s="299">
        <v>2.4335576423644305</v>
      </c>
      <c r="AH10" s="229">
        <v>2.0531332290822584</v>
      </c>
      <c r="AI10" s="63"/>
      <c r="AJ10" s="136">
        <v>2010</v>
      </c>
      <c r="AK10" s="299">
        <v>0.57163927812245641</v>
      </c>
      <c r="AL10" s="334">
        <v>0.90027030020260179</v>
      </c>
      <c r="AM10" s="81"/>
      <c r="AN10" s="217">
        <v>2010</v>
      </c>
      <c r="AO10" s="218">
        <f>IF(Introduction!$F$17="National Average",_xlfn.XLOOKUP($AN10,$V$7:$V$30,W$7:W$30,"",0),_xlfn.XLOOKUP($AN10,'Utility Cost'!$C$7:$C$30,'Utility Cost'!D$7:D$30,"",0))</f>
        <v>0</v>
      </c>
      <c r="AP10" s="218">
        <f>IF(Introduction!$F$20="National Average",_xlfn.XLOOKUP($AN10,$V$7:$V$30,X$7:X$30,"",0),_xlfn.XLOOKUP($AN10,'Utility Cost'!$C$7:$C$30,'Utility Cost'!H$7:H$30,"",0))</f>
        <v>0</v>
      </c>
      <c r="AQ10" s="63"/>
      <c r="AR10" s="136">
        <v>2010</v>
      </c>
      <c r="AS10" s="295" t="e" cm="1">
        <f t="array" ref="AS10">IF(Introduction!$C$17="National Average",'Annual Data'!K10,INDEX('DHW Mix'!$AJ$7:$AS$30,'Annual Data'!AR10-2006,_xlfn.XLOOKUP(Introduction!$C$17,Regions!$B$2:$B$52,Regions!$C$2:$C$52,"",0)))</f>
        <v>#VALUE!</v>
      </c>
      <c r="AT10" s="296" t="e" cm="1">
        <f t="array" ref="AT10">IF(Introduction!$C$17="National Average",'Annual Data'!L10,INDEX('DHW Mix'!$AU$7:$BD$30,'Annual Data'!$AR10-2006,_xlfn.XLOOKUP(Introduction!$C$17,Regions!$B$2:$B$52,Regions!$C$2:$C$52,"",0)))</f>
        <v>#VALUE!</v>
      </c>
      <c r="AU10" s="81"/>
      <c r="AV10" s="136">
        <v>2010</v>
      </c>
      <c r="AW10" s="305" t="e" cm="1">
        <f t="array" ref="AW10">IF(Introduction!$C$17="National Average",O10,INDEX('DHW Mix'!$C$7:$L$30,'Annual Data'!$AV10-2006,_xlfn.XLOOKUP(Introduction!$C$17,Regions!$B$2:$B$52,Regions!$C$2:$C$52,"",0)))</f>
        <v>#VALUE!</v>
      </c>
      <c r="AX10" s="306" t="e" cm="1">
        <f t="array" ref="AX10">IF(Introduction!$C$17="National Average",P10,INDEX('DHW Mix'!$N$7:$W$30,'Annual Data'!$AV10-2006,_xlfn.XLOOKUP(Introduction!$C$17,Regions!$B$2:$B$52,Regions!$C$2:$C$52,"",0)))</f>
        <v>#VALUE!</v>
      </c>
      <c r="AY10" s="81"/>
      <c r="AZ10" s="81"/>
      <c r="BA10" s="136">
        <v>2010</v>
      </c>
      <c r="BB10" s="355" t="e">
        <f>IF(Introduction!$C$17="National Average",'Annual Data'!AA10,_xlfn.XLOOKUP(Introduction!$C$17,lbs_mWh!$C$2:$BA$2,lbs_mWh!C6:BA6))</f>
        <v>#N/A</v>
      </c>
      <c r="BC10" s="353" t="e">
        <f>IF(Introduction!$C$17="National Average",AB10,_xlfn.XLOOKUP(Introduction!$C$17,tons_kWh!$C$2:$BA$2,tons_kWh!C6:BA6))</f>
        <v>#N/A</v>
      </c>
      <c r="BD10" s="296">
        <v>5.3E-3</v>
      </c>
      <c r="BE10" s="63"/>
      <c r="BF10" s="136">
        <f t="shared" si="1"/>
        <v>2010</v>
      </c>
      <c r="BG10" s="152">
        <f>IF(Introduction!$F$19="National Average",_xlfn.XLOOKUP($BF10,$R$7:$R$30,S$7:S$30,"",0),_xlfn.XLOOKUP($BF10,'Utility Cost'!$C$7:$C$30,'Utility Cost'!F$7:F$30,"",0))</f>
        <v>0</v>
      </c>
      <c r="BH10" s="369">
        <f>IF(Introduction!$F$18="National Average",_xlfn.XLOOKUP($BF10,$R$7:$R$30,T$7:T$30,"",0),_xlfn.XLOOKUP($BF10,'Utility Cost'!$C$7:$C$30,'Utility Cost'!E$7:E$30,"",0))</f>
        <v>0</v>
      </c>
    </row>
    <row r="11" spans="1:60" ht="42.75" customHeight="1" thickBot="1">
      <c r="A11" s="82"/>
      <c r="B11" s="136">
        <f>SUM(B10+1)</f>
        <v>2011</v>
      </c>
      <c r="C11" s="137">
        <f>SUM(Table4[[#This Row],[Number of houses using electricity]:[Number of houses using natural gas]])</f>
        <v>109428000</v>
      </c>
      <c r="D11" s="137">
        <v>47287000</v>
      </c>
      <c r="E11" s="139">
        <f>58340000+3801000</f>
        <v>62141000</v>
      </c>
      <c r="F11" s="82"/>
      <c r="G11" s="140">
        <v>2011</v>
      </c>
      <c r="H11" s="208">
        <v>0.9148099999999999</v>
      </c>
      <c r="I11" s="63"/>
      <c r="J11" s="136">
        <v>2011</v>
      </c>
      <c r="K11" s="295">
        <v>9.0775246741916431E-4</v>
      </c>
      <c r="L11" s="296">
        <v>0.17194959271939828</v>
      </c>
      <c r="M11" s="81"/>
      <c r="N11" s="136">
        <v>2011</v>
      </c>
      <c r="O11" s="305">
        <v>0.60699999999999998</v>
      </c>
      <c r="P11" s="306">
        <v>0.67800000000000005</v>
      </c>
      <c r="Q11" s="81"/>
      <c r="R11" s="136">
        <v>2011</v>
      </c>
      <c r="S11" s="153">
        <v>11.03</v>
      </c>
      <c r="T11" s="158">
        <v>0.11720000000000001</v>
      </c>
      <c r="U11" s="81"/>
      <c r="V11" s="136">
        <v>2011</v>
      </c>
      <c r="W11" s="153">
        <v>8.65</v>
      </c>
      <c r="X11" s="158">
        <v>7.3949999999999996</v>
      </c>
      <c r="Y11" s="81"/>
      <c r="Z11" s="136">
        <v>2011</v>
      </c>
      <c r="AA11" s="344"/>
      <c r="AB11" s="295">
        <f t="shared" si="0"/>
        <v>6.895505584E-4</v>
      </c>
      <c r="AC11" s="296">
        <v>5.3E-3</v>
      </c>
      <c r="AD11" s="63"/>
      <c r="AE11" s="136">
        <v>2011</v>
      </c>
      <c r="AF11" s="299">
        <v>2.3488389345221248</v>
      </c>
      <c r="AG11" s="299">
        <v>2.3488389345221248</v>
      </c>
      <c r="AH11" s="229">
        <v>1.9939698391817307</v>
      </c>
      <c r="AI11" s="63"/>
      <c r="AJ11" s="136">
        <v>2011</v>
      </c>
      <c r="AK11" s="299">
        <v>0.575445673183824</v>
      </c>
      <c r="AL11" s="334">
        <v>0.90320353505891271</v>
      </c>
      <c r="AM11" s="81"/>
      <c r="AN11" s="217">
        <v>2011</v>
      </c>
      <c r="AO11" s="218">
        <f>IF(Introduction!$F$17="National Average",_xlfn.XLOOKUP($AN11,$V$7:$V$30,W$7:W$30,"",0),_xlfn.XLOOKUP($AN11,'Utility Cost'!$C$7:$C$30,'Utility Cost'!D$7:D$30,"",0))</f>
        <v>0</v>
      </c>
      <c r="AP11" s="218">
        <f>IF(Introduction!$F$20="National Average",_xlfn.XLOOKUP($AN11,$V$7:$V$30,X$7:X$30,"",0),_xlfn.XLOOKUP($AN11,'Utility Cost'!$C$7:$C$30,'Utility Cost'!H$7:H$30,"",0))</f>
        <v>0</v>
      </c>
      <c r="AQ11" s="63"/>
      <c r="AR11" s="136">
        <v>2011</v>
      </c>
      <c r="AS11" s="295" t="e" cm="1">
        <f t="array" ref="AS11">IF(Introduction!$C$17="National Average",'Annual Data'!K11,INDEX('DHW Mix'!$AJ$7:$AS$30,'Annual Data'!AR11-2006,_xlfn.XLOOKUP(Introduction!$C$17,Regions!$B$2:$B$52,Regions!$C$2:$C$52,"",0)))</f>
        <v>#VALUE!</v>
      </c>
      <c r="AT11" s="296" t="e" cm="1">
        <f t="array" ref="AT11">IF(Introduction!$C$17="National Average",'Annual Data'!L11,INDEX('DHW Mix'!$AU$7:$BD$30,'Annual Data'!$AR11-2006,_xlfn.XLOOKUP(Introduction!$C$17,Regions!$B$2:$B$52,Regions!$C$2:$C$52,"",0)))</f>
        <v>#VALUE!</v>
      </c>
      <c r="AU11" s="81"/>
      <c r="AV11" s="136">
        <v>2011</v>
      </c>
      <c r="AW11" s="305" t="e" cm="1">
        <f t="array" ref="AW11">IF(Introduction!$C$17="National Average",O11,INDEX('DHW Mix'!$C$7:$L$30,'Annual Data'!$AV11-2006,_xlfn.XLOOKUP(Introduction!$C$17,Regions!$B$2:$B$52,Regions!$C$2:$C$52,"",0)))</f>
        <v>#VALUE!</v>
      </c>
      <c r="AX11" s="306" t="e" cm="1">
        <f t="array" ref="AX11">IF(Introduction!$C$17="National Average",P11,INDEX('DHW Mix'!$N$7:$W$30,'Annual Data'!$AV11-2006,_xlfn.XLOOKUP(Introduction!$C$17,Regions!$B$2:$B$52,Regions!$C$2:$C$52,"",0)))</f>
        <v>#VALUE!</v>
      </c>
      <c r="AY11" s="81"/>
      <c r="AZ11" s="81"/>
      <c r="BA11" s="136">
        <v>2011</v>
      </c>
      <c r="BB11" s="355" t="e">
        <f>IF(Introduction!$C$17="National Average",'Annual Data'!AA11,_xlfn.XLOOKUP(Introduction!$C$17,lbs_mWh!$C$2:$BA$2,lbs_mWh!C7:BA7))</f>
        <v>#N/A</v>
      </c>
      <c r="BC11" s="353" t="e">
        <f>IF(Introduction!$C$17="National Average",AB11,_xlfn.XLOOKUP(Introduction!$C$17,tons_kWh!$C$2:$BA$2,tons_kWh!C7:BA7))</f>
        <v>#N/A</v>
      </c>
      <c r="BD11" s="296">
        <v>5.3E-3</v>
      </c>
      <c r="BE11" s="63"/>
      <c r="BF11" s="136">
        <f t="shared" si="1"/>
        <v>2011</v>
      </c>
      <c r="BG11" s="152">
        <f>IF(Introduction!$F$19="National Average",_xlfn.XLOOKUP($BF11,$R$7:$R$30,S$7:S$30,"",0),_xlfn.XLOOKUP($BF11,'Utility Cost'!$C$7:$C$30,'Utility Cost'!F$7:F$30,"",0))</f>
        <v>0</v>
      </c>
      <c r="BH11" s="369">
        <f>IF(Introduction!$F$18="National Average",_xlfn.XLOOKUP($BF11,$R$7:$R$30,T$7:T$30,"",0),_xlfn.XLOOKUP($BF11,'Utility Cost'!$C$7:$C$30,'Utility Cost'!E$7:E$30,"",0))</f>
        <v>0</v>
      </c>
    </row>
    <row r="12" spans="1:60" ht="32.25" customHeight="1" thickBot="1">
      <c r="A12" s="82"/>
      <c r="B12" s="136">
        <f>SUM(B11+1)</f>
        <v>2012</v>
      </c>
      <c r="C12" s="137">
        <f>SUM(Table4[[#This Row],[Number of houses using electricity]:[Number of houses using natural gas]])</f>
        <v>109428001</v>
      </c>
      <c r="D12" s="137">
        <v>47287001</v>
      </c>
      <c r="E12" s="139">
        <f>58340000+3801000</f>
        <v>62141000</v>
      </c>
      <c r="F12" s="82"/>
      <c r="G12" s="140">
        <v>2012</v>
      </c>
      <c r="H12" s="208">
        <v>0.93185000000000007</v>
      </c>
      <c r="I12" s="63"/>
      <c r="J12" s="136">
        <v>2012</v>
      </c>
      <c r="K12" s="297">
        <v>9.0198555326470023E-4</v>
      </c>
      <c r="L12" s="298">
        <v>0.17141794869097524</v>
      </c>
      <c r="M12" s="81"/>
      <c r="N12" s="136">
        <v>2012</v>
      </c>
      <c r="O12" s="305">
        <v>0.60699999999999998</v>
      </c>
      <c r="P12" s="306">
        <v>0.67800000000000005</v>
      </c>
      <c r="Q12" s="81"/>
      <c r="R12" s="136">
        <v>2012</v>
      </c>
      <c r="S12" s="153">
        <v>10.65</v>
      </c>
      <c r="T12" s="158">
        <v>0.1188</v>
      </c>
      <c r="U12" s="81"/>
      <c r="V12" s="136">
        <v>2012</v>
      </c>
      <c r="W12" s="153">
        <v>9.379999999999999</v>
      </c>
      <c r="X12" s="158">
        <v>7.87</v>
      </c>
      <c r="Y12" s="81"/>
      <c r="Z12" s="136">
        <v>2012</v>
      </c>
      <c r="AA12" s="345">
        <v>1549.36</v>
      </c>
      <c r="AB12" s="297">
        <f t="shared" si="0"/>
        <v>7.0277730111999994E-4</v>
      </c>
      <c r="AC12" s="298">
        <v>5.3E-3</v>
      </c>
      <c r="AD12" s="63"/>
      <c r="AE12" s="136">
        <v>2012</v>
      </c>
      <c r="AF12" s="300">
        <v>2.348318114772713</v>
      </c>
      <c r="AG12" s="300">
        <v>2.348318114772713</v>
      </c>
      <c r="AH12" s="229">
        <v>2.0009935983611125</v>
      </c>
      <c r="AI12" s="63"/>
      <c r="AJ12" s="136">
        <v>2012</v>
      </c>
      <c r="AK12" s="300">
        <v>0.57912482944724475</v>
      </c>
      <c r="AL12" s="335">
        <v>0.90600477477465746</v>
      </c>
      <c r="AM12" s="81"/>
      <c r="AN12" s="217">
        <v>2012</v>
      </c>
      <c r="AO12" s="218">
        <f>IF(Introduction!$F$17="National Average",_xlfn.XLOOKUP($AN12,$V$7:$V$30,W$7:W$30,"",0),_xlfn.XLOOKUP($AN12,'Utility Cost'!$C$7:$C$30,'Utility Cost'!D$7:D$30,"",0))</f>
        <v>0</v>
      </c>
      <c r="AP12" s="218">
        <f>IF(Introduction!$F$20="National Average",_xlfn.XLOOKUP($AN12,$V$7:$V$30,X$7:X$30,"",0),_xlfn.XLOOKUP($AN12,'Utility Cost'!$C$7:$C$30,'Utility Cost'!H$7:H$30,"",0))</f>
        <v>0</v>
      </c>
      <c r="AQ12" s="63"/>
      <c r="AR12" s="136">
        <v>2012</v>
      </c>
      <c r="AS12" s="295" t="e" cm="1">
        <f t="array" ref="AS12">IF(Introduction!$C$17="National Average",'Annual Data'!K12,INDEX('DHW Mix'!$AJ$7:$AS$30,'Annual Data'!AR12-2006,_xlfn.XLOOKUP(Introduction!$C$17,Regions!$B$2:$B$52,Regions!$C$2:$C$52,"",0)))</f>
        <v>#VALUE!</v>
      </c>
      <c r="AT12" s="296" t="e" cm="1">
        <f t="array" ref="AT12">IF(Introduction!$C$17="National Average",'Annual Data'!L12,INDEX('DHW Mix'!$AU$7:$BD$30,'Annual Data'!$AR12-2006,_xlfn.XLOOKUP(Introduction!$C$17,Regions!$B$2:$B$52,Regions!$C$2:$C$52,"",0)))</f>
        <v>#VALUE!</v>
      </c>
      <c r="AU12" s="81"/>
      <c r="AV12" s="136">
        <v>2012</v>
      </c>
      <c r="AW12" s="305" t="e" cm="1">
        <f t="array" ref="AW12">IF(Introduction!$C$17="National Average",O12,INDEX('DHW Mix'!$C$7:$L$30,'Annual Data'!$AV12-2006,_xlfn.XLOOKUP(Introduction!$C$17,Regions!$B$2:$B$52,Regions!$C$2:$C$52,"",0)))</f>
        <v>#VALUE!</v>
      </c>
      <c r="AX12" s="306" t="e" cm="1">
        <f t="array" ref="AX12">IF(Introduction!$C$17="National Average",P12,INDEX('DHW Mix'!$N$7:$W$30,'Annual Data'!$AV12-2006,_xlfn.XLOOKUP(Introduction!$C$17,Regions!$B$2:$B$52,Regions!$C$2:$C$52,"",0)))</f>
        <v>#VALUE!</v>
      </c>
      <c r="AY12" s="81"/>
      <c r="AZ12" s="81"/>
      <c r="BA12" s="136">
        <v>2012</v>
      </c>
      <c r="BB12" s="355" t="e">
        <f>IF(Introduction!$C$17="National Average",'Annual Data'!AA12,_xlfn.XLOOKUP(Introduction!$C$17,lbs_mWh!$C$2:$BA$2,lbs_mWh!C8:BA8))</f>
        <v>#N/A</v>
      </c>
      <c r="BC12" s="353" t="e">
        <f>IF(Introduction!$C$17="National Average",AB12,_xlfn.XLOOKUP(Introduction!$C$17,tons_kWh!$C$2:$BA$2,tons_kWh!C8:BA8))</f>
        <v>#N/A</v>
      </c>
      <c r="BD12" s="298">
        <v>5.3E-3</v>
      </c>
      <c r="BE12" s="63"/>
      <c r="BF12" s="136">
        <f t="shared" si="1"/>
        <v>2012</v>
      </c>
      <c r="BG12" s="152">
        <f>IF(Introduction!$F$19="National Average",_xlfn.XLOOKUP($BF12,$R$7:$R$30,S$7:S$30,"",0),_xlfn.XLOOKUP($BF12,'Utility Cost'!$C$7:$C$30,'Utility Cost'!F$7:F$30,"",0))</f>
        <v>0</v>
      </c>
      <c r="BH12" s="369">
        <f>IF(Introduction!$F$18="National Average",_xlfn.XLOOKUP($BF12,$R$7:$R$30,T$7:T$30,"",0),_xlfn.XLOOKUP($BF12,'Utility Cost'!$C$7:$C$30,'Utility Cost'!E$7:E$30,"",0))</f>
        <v>0</v>
      </c>
    </row>
    <row r="13" spans="1:60" ht="13.5" thickBot="1">
      <c r="A13" s="82"/>
      <c r="B13" s="136">
        <v>2013</v>
      </c>
      <c r="C13" s="137">
        <f>SUM(Table4[[#This Row],[Number of houses using electricity]:[Number of houses using natural gas]])</f>
        <v>110970000</v>
      </c>
      <c r="D13" s="138">
        <v>48607000</v>
      </c>
      <c r="E13" s="139">
        <v>62363000</v>
      </c>
      <c r="F13" s="82"/>
      <c r="G13" s="140">
        <v>2013</v>
      </c>
      <c r="H13" s="208">
        <v>0.94771000000000005</v>
      </c>
      <c r="I13" s="63"/>
      <c r="J13" s="136">
        <v>2013</v>
      </c>
      <c r="K13" s="297">
        <v>8.9653548651722923E-4</v>
      </c>
      <c r="L13" s="298">
        <v>0.17091901393033526</v>
      </c>
      <c r="M13" s="81"/>
      <c r="N13" s="136">
        <v>2013</v>
      </c>
      <c r="O13" s="305">
        <v>0.60699999999999998</v>
      </c>
      <c r="P13" s="306">
        <v>0.67800000000000005</v>
      </c>
      <c r="Q13" s="81"/>
      <c r="R13" s="136">
        <v>2013</v>
      </c>
      <c r="S13" s="153">
        <v>10.32</v>
      </c>
      <c r="T13" s="158">
        <v>0.12130000000000001</v>
      </c>
      <c r="U13" s="81"/>
      <c r="V13" s="136">
        <v>2013</v>
      </c>
      <c r="W13" s="153">
        <v>9.74</v>
      </c>
      <c r="X13" s="158">
        <v>8.4450000000000003</v>
      </c>
      <c r="Y13" s="81"/>
      <c r="Z13" s="136">
        <v>2013</v>
      </c>
      <c r="AA13" s="345"/>
      <c r="AB13" s="297">
        <f t="shared" si="0"/>
        <v>7.0277730111999994E-4</v>
      </c>
      <c r="AC13" s="298">
        <v>5.3E-3</v>
      </c>
      <c r="AD13" s="63"/>
      <c r="AE13" s="136">
        <v>2013</v>
      </c>
      <c r="AF13" s="300">
        <v>2.3622212831496183</v>
      </c>
      <c r="AG13" s="300">
        <v>2.3622212831496183</v>
      </c>
      <c r="AH13" s="229">
        <v>2.0185934863877155</v>
      </c>
      <c r="AI13" s="63"/>
      <c r="AJ13" s="136">
        <v>2013</v>
      </c>
      <c r="AK13" s="300">
        <v>0.58264534706542226</v>
      </c>
      <c r="AL13" s="335">
        <v>0.90864952017217726</v>
      </c>
      <c r="AM13" s="81"/>
      <c r="AN13" s="217">
        <v>2013</v>
      </c>
      <c r="AO13" s="218">
        <f>IF(Introduction!$F$17="National Average",_xlfn.XLOOKUP($AN13,$V$7:$V$30,W$7:W$30,"",0),_xlfn.XLOOKUP($AN13,'Utility Cost'!$C$7:$C$30,'Utility Cost'!D$7:D$30,"",0))</f>
        <v>0</v>
      </c>
      <c r="AP13" s="218">
        <f>IF(Introduction!$F$20="National Average",_xlfn.XLOOKUP($AN13,$V$7:$V$30,X$7:X$30,"",0),_xlfn.XLOOKUP($AN13,'Utility Cost'!$C$7:$C$30,'Utility Cost'!H$7:H$30,"",0))</f>
        <v>0</v>
      </c>
      <c r="AQ13" s="63"/>
      <c r="AR13" s="136">
        <v>2013</v>
      </c>
      <c r="AS13" s="295" t="e" cm="1">
        <f t="array" ref="AS13">IF(Introduction!$C$17="National Average",'Annual Data'!K13,INDEX('DHW Mix'!$AJ$7:$AS$30,'Annual Data'!AR13-2006,_xlfn.XLOOKUP(Introduction!$C$17,Regions!$B$2:$B$52,Regions!$C$2:$C$52,"",0)))</f>
        <v>#VALUE!</v>
      </c>
      <c r="AT13" s="296" t="e" cm="1">
        <f t="array" ref="AT13">IF(Introduction!$C$17="National Average",'Annual Data'!L13,INDEX('DHW Mix'!$AU$7:$BD$30,'Annual Data'!$AR13-2006,_xlfn.XLOOKUP(Introduction!$C$17,Regions!$B$2:$B$52,Regions!$C$2:$C$52,"",0)))</f>
        <v>#VALUE!</v>
      </c>
      <c r="AU13" s="81"/>
      <c r="AV13" s="136">
        <v>2013</v>
      </c>
      <c r="AW13" s="305" t="e" cm="1">
        <f t="array" ref="AW13">IF(Introduction!$C$17="National Average",O13,INDEX('DHW Mix'!$C$7:$L$30,'Annual Data'!$AV13-2006,_xlfn.XLOOKUP(Introduction!$C$17,Regions!$B$2:$B$52,Regions!$C$2:$C$52,"",0)))</f>
        <v>#VALUE!</v>
      </c>
      <c r="AX13" s="306" t="e" cm="1">
        <f t="array" ref="AX13">IF(Introduction!$C$17="National Average",P13,INDEX('DHW Mix'!$N$7:$W$30,'Annual Data'!$AV13-2006,_xlfn.XLOOKUP(Introduction!$C$17,Regions!$B$2:$B$52,Regions!$C$2:$C$52,"",0)))</f>
        <v>#VALUE!</v>
      </c>
      <c r="AY13" s="81"/>
      <c r="AZ13" s="81"/>
      <c r="BA13" s="136">
        <v>2013</v>
      </c>
      <c r="BB13" s="355" t="e">
        <f>IF(Introduction!$C$17="National Average",'Annual Data'!AA13,_xlfn.XLOOKUP(Introduction!$C$17,lbs_mWh!$C$2:$BA$2,lbs_mWh!C9:BA9))</f>
        <v>#N/A</v>
      </c>
      <c r="BC13" s="353" t="e">
        <f>IF(Introduction!$C$17="National Average",AB13,_xlfn.XLOOKUP(Introduction!$C$17,tons_kWh!$C$2:$BA$2,tons_kWh!C9:BA9))</f>
        <v>#N/A</v>
      </c>
      <c r="BD13" s="298">
        <v>5.3E-3</v>
      </c>
      <c r="BE13" s="63"/>
      <c r="BF13" s="136">
        <f t="shared" si="1"/>
        <v>2013</v>
      </c>
      <c r="BG13" s="152">
        <f>IF(Introduction!$F$19="National Average",_xlfn.XLOOKUP($BF13,$R$7:$R$30,S$7:S$30,"",0),_xlfn.XLOOKUP($BF13,'Utility Cost'!$C$7:$C$30,'Utility Cost'!F$7:F$30,"",0))</f>
        <v>0</v>
      </c>
      <c r="BH13" s="369">
        <f>IF(Introduction!$F$18="National Average",_xlfn.XLOOKUP($BF13,$R$7:$R$30,T$7:T$30,"",0),_xlfn.XLOOKUP($BF13,'Utility Cost'!$C$7:$C$30,'Utility Cost'!E$7:E$30,"",0))</f>
        <v>0</v>
      </c>
    </row>
    <row r="14" spans="1:60" ht="13.5" thickBot="1">
      <c r="A14" s="82"/>
      <c r="B14" s="136">
        <v>2014</v>
      </c>
      <c r="C14" s="137">
        <f>SUM(Table4[[#This Row],[Number of houses using electricity]:[Number of houses using natural gas]])</f>
        <v>110970000</v>
      </c>
      <c r="D14" s="138">
        <v>48607000</v>
      </c>
      <c r="E14" s="139">
        <v>62363000</v>
      </c>
      <c r="F14" s="82"/>
      <c r="G14" s="140">
        <v>2014</v>
      </c>
      <c r="H14" s="208">
        <v>0.96421000000000001</v>
      </c>
      <c r="I14" s="63"/>
      <c r="J14" s="136">
        <v>2014</v>
      </c>
      <c r="K14" s="297">
        <v>8.9167132419755077E-4</v>
      </c>
      <c r="L14" s="298">
        <v>0.17047372378354417</v>
      </c>
      <c r="M14" s="81"/>
      <c r="N14" s="136">
        <v>2014</v>
      </c>
      <c r="O14" s="305">
        <v>0.60699999999999998</v>
      </c>
      <c r="P14" s="306">
        <v>0.67800000000000005</v>
      </c>
      <c r="Q14" s="81"/>
      <c r="R14" s="136">
        <v>2014</v>
      </c>
      <c r="S14" s="152">
        <v>10.97</v>
      </c>
      <c r="T14" s="157">
        <v>0.12520000000000001</v>
      </c>
      <c r="U14" s="81"/>
      <c r="V14" s="136">
        <v>2014</v>
      </c>
      <c r="W14" s="152">
        <v>10.100000000000001</v>
      </c>
      <c r="X14" s="157">
        <v>9.02</v>
      </c>
      <c r="Y14" s="81"/>
      <c r="Z14" s="136">
        <v>2014</v>
      </c>
      <c r="AA14" s="345">
        <v>1552.5</v>
      </c>
      <c r="AB14" s="297">
        <f t="shared" si="0"/>
        <v>7.0420157999999996E-4</v>
      </c>
      <c r="AC14" s="298">
        <v>5.3E-3</v>
      </c>
      <c r="AD14" s="63"/>
      <c r="AE14" s="136">
        <v>2014</v>
      </c>
      <c r="AF14" s="300">
        <v>2.3617713029927789</v>
      </c>
      <c r="AG14" s="300">
        <v>2.3617713029927789</v>
      </c>
      <c r="AH14" s="229">
        <v>2.0243176489899493</v>
      </c>
      <c r="AI14" s="63"/>
      <c r="AJ14" s="136">
        <v>2014</v>
      </c>
      <c r="AK14" s="300">
        <v>0.58582373967043522</v>
      </c>
      <c r="AL14" s="335">
        <v>0.91102298083954003</v>
      </c>
      <c r="AM14" s="81"/>
      <c r="AN14" s="217">
        <v>2014</v>
      </c>
      <c r="AO14" s="218">
        <f>IF(Introduction!$F$17="National Average",_xlfn.XLOOKUP($AN14,$V$7:$V$30,W$7:W$30,"",0),_xlfn.XLOOKUP($AN14,'Utility Cost'!$C$7:$C$30,'Utility Cost'!D$7:D$30,"",0))</f>
        <v>0</v>
      </c>
      <c r="AP14" s="218">
        <f>IF(Introduction!$F$20="National Average",_xlfn.XLOOKUP($AN14,$V$7:$V$30,X$7:X$30,"",0),_xlfn.XLOOKUP($AN14,'Utility Cost'!$C$7:$C$30,'Utility Cost'!H$7:H$30,"",0))</f>
        <v>0</v>
      </c>
      <c r="AQ14" s="63"/>
      <c r="AR14" s="136">
        <v>2014</v>
      </c>
      <c r="AS14" s="295" t="e" cm="1">
        <f t="array" ref="AS14">IF(Introduction!$C$17="National Average",'Annual Data'!K14,INDEX('DHW Mix'!$AJ$7:$AS$30,'Annual Data'!AR14-2006,_xlfn.XLOOKUP(Introduction!$C$17,Regions!$B$2:$B$52,Regions!$C$2:$C$52,"",0)))</f>
        <v>#VALUE!</v>
      </c>
      <c r="AT14" s="296" t="e" cm="1">
        <f t="array" ref="AT14">IF(Introduction!$C$17="National Average",'Annual Data'!L14,INDEX('DHW Mix'!$AU$7:$BD$30,'Annual Data'!$AR14-2006,_xlfn.XLOOKUP(Introduction!$C$17,Regions!$B$2:$B$52,Regions!$C$2:$C$52,"",0)))</f>
        <v>#VALUE!</v>
      </c>
      <c r="AU14" s="81"/>
      <c r="AV14" s="136">
        <v>2014</v>
      </c>
      <c r="AW14" s="305" t="e" cm="1">
        <f t="array" ref="AW14">IF(Introduction!$C$17="National Average",O14,INDEX('DHW Mix'!$C$7:$L$30,'Annual Data'!$AV14-2006,_xlfn.XLOOKUP(Introduction!$C$17,Regions!$B$2:$B$52,Regions!$C$2:$C$52,"",0)))</f>
        <v>#VALUE!</v>
      </c>
      <c r="AX14" s="306" t="e" cm="1">
        <f t="array" ref="AX14">IF(Introduction!$C$17="National Average",P14,INDEX('DHW Mix'!$N$7:$W$30,'Annual Data'!$AV14-2006,_xlfn.XLOOKUP(Introduction!$C$17,Regions!$B$2:$B$52,Regions!$C$2:$C$52,"",0)))</f>
        <v>#VALUE!</v>
      </c>
      <c r="AY14" s="81"/>
      <c r="AZ14" s="81"/>
      <c r="BA14" s="136">
        <v>2014</v>
      </c>
      <c r="BB14" s="355" t="e">
        <f>IF(Introduction!$C$17="National Average",'Annual Data'!AA14,_xlfn.XLOOKUP(Introduction!$C$17,lbs_mWh!$C$2:$BA$2,lbs_mWh!C10:BA10))</f>
        <v>#N/A</v>
      </c>
      <c r="BC14" s="353" t="e">
        <f>IF(Introduction!$C$17="National Average",AB14,_xlfn.XLOOKUP(Introduction!$C$17,tons_kWh!$C$2:$BA$2,tons_kWh!C10:BA10))</f>
        <v>#N/A</v>
      </c>
      <c r="BD14" s="298">
        <v>5.3E-3</v>
      </c>
      <c r="BE14" s="63"/>
      <c r="BF14" s="136">
        <f t="shared" ref="BF14:BF24" si="2">SUM(BF13+1)</f>
        <v>2014</v>
      </c>
      <c r="BG14" s="152">
        <f>IF(Introduction!$F$19="National Average",_xlfn.XLOOKUP($BF14,$R$7:$R$30,S$7:S$30,"",0),_xlfn.XLOOKUP($BF14,'Utility Cost'!$C$7:$C$30,'Utility Cost'!F$7:F$30,"",0))</f>
        <v>0</v>
      </c>
      <c r="BH14" s="369">
        <f>IF(Introduction!$F$18="National Average",_xlfn.XLOOKUP($BF14,$R$7:$R$30,T$7:T$30,"",0),_xlfn.XLOOKUP($BF14,'Utility Cost'!$C$7:$C$30,'Utility Cost'!E$7:E$30,"",0))</f>
        <v>0</v>
      </c>
    </row>
    <row r="15" spans="1:60" ht="13.5" thickBot="1">
      <c r="A15" s="82"/>
      <c r="B15" s="136">
        <v>2015</v>
      </c>
      <c r="C15" s="137">
        <f>SUM(Table4[[#This Row],[Number of houses using electricity]:[Number of houses using natural gas]])</f>
        <v>113760000</v>
      </c>
      <c r="D15" s="138">
        <v>52821000</v>
      </c>
      <c r="E15" s="139">
        <f>57158000+3781000</f>
        <v>60939000</v>
      </c>
      <c r="F15" s="82"/>
      <c r="G15" s="140">
        <v>2015</v>
      </c>
      <c r="H15" s="208">
        <v>0.97316000000000003</v>
      </c>
      <c r="I15" s="63"/>
      <c r="J15" s="136">
        <v>2015</v>
      </c>
      <c r="K15" s="295">
        <v>8.8435069958609533E-4</v>
      </c>
      <c r="L15" s="296">
        <v>0.16961205904389517</v>
      </c>
      <c r="M15" s="81"/>
      <c r="N15" s="136">
        <v>2015</v>
      </c>
      <c r="O15" s="305">
        <v>0.60699999999999998</v>
      </c>
      <c r="P15" s="306">
        <v>0.67800000000000005</v>
      </c>
      <c r="Q15" s="81"/>
      <c r="R15" s="136">
        <v>2015</v>
      </c>
      <c r="S15" s="152">
        <v>10.38</v>
      </c>
      <c r="T15" s="157">
        <v>0.1265</v>
      </c>
      <c r="U15" s="81"/>
      <c r="V15" s="136">
        <v>2015</v>
      </c>
      <c r="W15" s="152">
        <v>10.56</v>
      </c>
      <c r="X15" s="157">
        <v>9.18</v>
      </c>
      <c r="Y15" s="81"/>
      <c r="Z15" s="136">
        <v>2015</v>
      </c>
      <c r="AA15" s="344"/>
      <c r="AB15" s="295">
        <f t="shared" si="0"/>
        <v>7.0420157999999996E-4</v>
      </c>
      <c r="AC15" s="296">
        <v>5.3E-3</v>
      </c>
      <c r="AD15" s="63"/>
      <c r="AE15" s="136">
        <v>2015</v>
      </c>
      <c r="AF15" s="299">
        <v>2.3531905994155013</v>
      </c>
      <c r="AG15" s="299">
        <v>2.3531905994155013</v>
      </c>
      <c r="AH15" s="229">
        <v>2.0282002989971661</v>
      </c>
      <c r="AI15" s="63"/>
      <c r="AJ15" s="136">
        <v>2015</v>
      </c>
      <c r="AK15" s="299">
        <v>0.59067316839663342</v>
      </c>
      <c r="AL15" s="334">
        <v>0.91565116815136438</v>
      </c>
      <c r="AM15" s="81"/>
      <c r="AN15" s="217">
        <v>2015</v>
      </c>
      <c r="AO15" s="218">
        <f>IF(Introduction!$F$17="National Average",_xlfn.XLOOKUP($AN15,$V$7:$V$30,W$7:W$30,"",0),_xlfn.XLOOKUP($AN15,'Utility Cost'!$C$7:$C$30,'Utility Cost'!D$7:D$30,"",0))</f>
        <v>0</v>
      </c>
      <c r="AP15" s="218">
        <f>IF(Introduction!$F$20="National Average",_xlfn.XLOOKUP($AN15,$V$7:$V$30,X$7:X$30,"",0),_xlfn.XLOOKUP($AN15,'Utility Cost'!$C$7:$C$30,'Utility Cost'!H$7:H$30,"",0))</f>
        <v>0</v>
      </c>
      <c r="AQ15" s="63"/>
      <c r="AR15" s="136">
        <v>2015</v>
      </c>
      <c r="AS15" s="295" t="e" cm="1">
        <f t="array" ref="AS15">IF(Introduction!$C$17="National Average",'Annual Data'!K15,INDEX('DHW Mix'!$AJ$7:$AS$30,'Annual Data'!AR15-2006,_xlfn.XLOOKUP(Introduction!$C$17,Regions!$B$2:$B$52,Regions!$C$2:$C$52,"",0)))</f>
        <v>#VALUE!</v>
      </c>
      <c r="AT15" s="296" t="e" cm="1">
        <f t="array" ref="AT15">IF(Introduction!$C$17="National Average",'Annual Data'!L15,INDEX('DHW Mix'!$AU$7:$BD$30,'Annual Data'!$AR15-2006,_xlfn.XLOOKUP(Introduction!$C$17,Regions!$B$2:$B$52,Regions!$C$2:$C$52,"",0)))</f>
        <v>#VALUE!</v>
      </c>
      <c r="AU15" s="81"/>
      <c r="AV15" s="136">
        <v>2015</v>
      </c>
      <c r="AW15" s="305" t="e" cm="1">
        <f t="array" ref="AW15">IF(Introduction!$C$17="National Average",O15,INDEX('DHW Mix'!$C$7:$L$30,'Annual Data'!$AV15-2006,_xlfn.XLOOKUP(Introduction!$C$17,Regions!$B$2:$B$52,Regions!$C$2:$C$52,"",0)))</f>
        <v>#VALUE!</v>
      </c>
      <c r="AX15" s="306" t="e" cm="1">
        <f t="array" ref="AX15">IF(Introduction!$C$17="National Average",P15,INDEX('DHW Mix'!$N$7:$W$30,'Annual Data'!$AV15-2006,_xlfn.XLOOKUP(Introduction!$C$17,Regions!$B$2:$B$52,Regions!$C$2:$C$52,"",0)))</f>
        <v>#VALUE!</v>
      </c>
      <c r="AY15" s="81"/>
      <c r="AZ15" s="81"/>
      <c r="BA15" s="136">
        <v>2015</v>
      </c>
      <c r="BB15" s="355" t="e">
        <f>IF(Introduction!$C$17="National Average",'Annual Data'!AA15,_xlfn.XLOOKUP(Introduction!$C$17,lbs_mWh!$C$2:$BA$2,lbs_mWh!C11:BA11))</f>
        <v>#N/A</v>
      </c>
      <c r="BC15" s="353" t="e">
        <f>IF(Introduction!$C$17="National Average",AB15,_xlfn.XLOOKUP(Introduction!$C$17,tons_kWh!$C$2:$BA$2,tons_kWh!C11:BA11))</f>
        <v>#N/A</v>
      </c>
      <c r="BD15" s="296">
        <v>5.3E-3</v>
      </c>
      <c r="BE15" s="63"/>
      <c r="BF15" s="136">
        <f t="shared" si="2"/>
        <v>2015</v>
      </c>
      <c r="BG15" s="152">
        <f>IF(Introduction!$F$19="National Average",_xlfn.XLOOKUP($BF15,$R$7:$R$30,S$7:S$30,"",0),_xlfn.XLOOKUP($BF15,'Utility Cost'!$C$7:$C$30,'Utility Cost'!F$7:F$30,"",0))</f>
        <v>0</v>
      </c>
      <c r="BH15" s="369">
        <f>IF(Introduction!$F$18="National Average",_xlfn.XLOOKUP($BF15,$R$7:$R$30,T$7:T$30,"",0),_xlfn.XLOOKUP($BF15,'Utility Cost'!$C$7:$C$30,'Utility Cost'!E$7:E$30,"",0))</f>
        <v>0</v>
      </c>
    </row>
    <row r="16" spans="1:60" ht="13.5" thickBot="1">
      <c r="A16" s="82"/>
      <c r="B16" s="136">
        <v>2016</v>
      </c>
      <c r="C16" s="137">
        <f>SUM(Table4[[#This Row],[Number of houses using electricity]:[Number of houses using natural gas]])</f>
        <v>113760000</v>
      </c>
      <c r="D16" s="138">
        <v>52821000</v>
      </c>
      <c r="E16" s="139">
        <f>57158000+3781000</f>
        <v>60939000</v>
      </c>
      <c r="F16" s="82"/>
      <c r="G16" s="140">
        <v>2016</v>
      </c>
      <c r="H16" s="208">
        <v>0.98241000000000001</v>
      </c>
      <c r="I16" s="63"/>
      <c r="J16" s="136">
        <v>2016</v>
      </c>
      <c r="K16" s="295">
        <v>8.7814287020049309E-4</v>
      </c>
      <c r="L16" s="296">
        <v>0.16884690099025096</v>
      </c>
      <c r="M16" s="81"/>
      <c r="N16" s="136">
        <v>2016</v>
      </c>
      <c r="O16" s="305">
        <v>0.60699999999999998</v>
      </c>
      <c r="P16" s="306">
        <v>0.67800000000000005</v>
      </c>
      <c r="Q16" s="81"/>
      <c r="R16" s="136">
        <v>2016</v>
      </c>
      <c r="S16" s="152">
        <v>10.050000000000001</v>
      </c>
      <c r="T16" s="157">
        <v>0.1255</v>
      </c>
      <c r="U16" s="81"/>
      <c r="V16" s="136">
        <v>2016</v>
      </c>
      <c r="W16" s="152">
        <v>11.02</v>
      </c>
      <c r="X16" s="157">
        <v>9.34</v>
      </c>
      <c r="Y16" s="81"/>
      <c r="Z16" s="136">
        <v>2016</v>
      </c>
      <c r="AA16" s="344">
        <v>1508.9</v>
      </c>
      <c r="AB16" s="295">
        <f t="shared" si="0"/>
        <v>6.8442496880000007E-4</v>
      </c>
      <c r="AC16" s="296">
        <v>5.3E-3</v>
      </c>
      <c r="AD16" s="63"/>
      <c r="AE16" s="136">
        <v>2016</v>
      </c>
      <c r="AF16" s="299">
        <v>2.5522907451564905</v>
      </c>
      <c r="AG16" s="299">
        <v>2.5522907451564905</v>
      </c>
      <c r="AH16" s="229">
        <v>2.0781729073858082</v>
      </c>
      <c r="AI16" s="63"/>
      <c r="AJ16" s="136">
        <v>2016</v>
      </c>
      <c r="AK16" s="299">
        <v>0.59484879673285418</v>
      </c>
      <c r="AL16" s="334">
        <v>0.91980059500806588</v>
      </c>
      <c r="AM16" s="81"/>
      <c r="AN16" s="217">
        <v>2016</v>
      </c>
      <c r="AO16" s="218">
        <f>IF(Introduction!$F$17="National Average",_xlfn.XLOOKUP($AN16,$V$7:$V$30,W$7:W$30,"",0),_xlfn.XLOOKUP($AN16,'Utility Cost'!$C$7:$C$30,'Utility Cost'!D$7:D$30,"",0))</f>
        <v>0</v>
      </c>
      <c r="AP16" s="218">
        <f>IF(Introduction!$F$20="National Average",_xlfn.XLOOKUP($AN16,$V$7:$V$30,X$7:X$30,"",0),_xlfn.XLOOKUP($AN16,'Utility Cost'!$C$7:$C$30,'Utility Cost'!H$7:H$30,"",0))</f>
        <v>0</v>
      </c>
      <c r="AQ16" s="63"/>
      <c r="AR16" s="136">
        <v>2016</v>
      </c>
      <c r="AS16" s="295" t="e" cm="1">
        <f t="array" ref="AS16">IF(Introduction!$C$17="National Average",'Annual Data'!K16,INDEX('DHW Mix'!$AJ$7:$AS$30,'Annual Data'!AR16-2006,_xlfn.XLOOKUP(Introduction!$C$17,Regions!$B$2:$B$52,Regions!$C$2:$C$52,"",0)))</f>
        <v>#VALUE!</v>
      </c>
      <c r="AT16" s="296" t="e" cm="1">
        <f t="array" ref="AT16">IF(Introduction!$C$17="National Average",'Annual Data'!L16,INDEX('DHW Mix'!$AU$7:$BD$30,'Annual Data'!$AR16-2006,_xlfn.XLOOKUP(Introduction!$C$17,Regions!$B$2:$B$52,Regions!$C$2:$C$52,"",0)))</f>
        <v>#VALUE!</v>
      </c>
      <c r="AU16" s="81"/>
      <c r="AV16" s="136">
        <v>2016</v>
      </c>
      <c r="AW16" s="305" t="e" cm="1">
        <f t="array" ref="AW16">IF(Introduction!$C$17="National Average",O16,INDEX('DHW Mix'!$C$7:$L$30,'Annual Data'!$AV16-2006,_xlfn.XLOOKUP(Introduction!$C$17,Regions!$B$2:$B$52,Regions!$C$2:$C$52,"",0)))</f>
        <v>#VALUE!</v>
      </c>
      <c r="AX16" s="306" t="e" cm="1">
        <f t="array" ref="AX16">IF(Introduction!$C$17="National Average",P16,INDEX('DHW Mix'!$N$7:$W$30,'Annual Data'!$AV16-2006,_xlfn.XLOOKUP(Introduction!$C$17,Regions!$B$2:$B$52,Regions!$C$2:$C$52,"",0)))</f>
        <v>#VALUE!</v>
      </c>
      <c r="AY16" s="81"/>
      <c r="AZ16" s="81"/>
      <c r="BA16" s="136">
        <v>2016</v>
      </c>
      <c r="BB16" s="355" t="e">
        <f>IF(Introduction!$C$17="National Average",'Annual Data'!AA16,_xlfn.XLOOKUP(Introduction!$C$17,lbs_mWh!$C$2:$BA$2,lbs_mWh!C12:BA12))</f>
        <v>#N/A</v>
      </c>
      <c r="BC16" s="353" t="e">
        <f>IF(Introduction!$C$17="National Average",AB16,_xlfn.XLOOKUP(Introduction!$C$17,tons_kWh!$C$2:$BA$2,tons_kWh!C12:BA12))</f>
        <v>#N/A</v>
      </c>
      <c r="BD16" s="296">
        <v>5.3E-3</v>
      </c>
      <c r="BE16" s="63"/>
      <c r="BF16" s="136">
        <f t="shared" si="2"/>
        <v>2016</v>
      </c>
      <c r="BG16" s="152">
        <f>IF(Introduction!$F$19="National Average",_xlfn.XLOOKUP($BF16,$R$7:$R$30,S$7:S$30,"",0),_xlfn.XLOOKUP($BF16,'Utility Cost'!$C$7:$C$30,'Utility Cost'!F$7:F$30,"",0))</f>
        <v>0</v>
      </c>
      <c r="BH16" s="369">
        <f>IF(Introduction!$F$18="National Average",_xlfn.XLOOKUP($BF16,$R$7:$R$30,T$7:T$30,"",0),_xlfn.XLOOKUP($BF16,'Utility Cost'!$C$7:$C$30,'Utility Cost'!E$7:E$30,"",0))</f>
        <v>0</v>
      </c>
    </row>
    <row r="17" spans="1:60" ht="13.5" thickBot="1">
      <c r="A17" s="82"/>
      <c r="B17" s="136">
        <v>2017</v>
      </c>
      <c r="C17" s="137">
        <f>SUM(Table4[[#This Row],[Number of houses using electricity]:[Number of houses using natural gas]])</f>
        <v>117274000</v>
      </c>
      <c r="D17" s="159">
        <v>54162000</v>
      </c>
      <c r="E17" s="160">
        <f>58801000+4311000</f>
        <v>63112000</v>
      </c>
      <c r="F17" s="82"/>
      <c r="G17" s="140">
        <v>2017</v>
      </c>
      <c r="H17" s="209">
        <v>1</v>
      </c>
      <c r="I17" s="63"/>
      <c r="J17" s="136">
        <v>2017</v>
      </c>
      <c r="K17" s="295">
        <v>8.7267653924980558E-4</v>
      </c>
      <c r="L17" s="296">
        <v>0.1681348644000199</v>
      </c>
      <c r="M17" s="81"/>
      <c r="N17" s="136">
        <v>2017</v>
      </c>
      <c r="O17" s="305">
        <v>0.60699999999999998</v>
      </c>
      <c r="P17" s="306">
        <v>0.67800000000000005</v>
      </c>
      <c r="Q17" s="81"/>
      <c r="R17" s="136">
        <v>2017</v>
      </c>
      <c r="S17" s="152">
        <v>10.91</v>
      </c>
      <c r="T17" s="157">
        <v>0.12890000000000001</v>
      </c>
      <c r="U17" s="81"/>
      <c r="V17" s="136">
        <v>2017</v>
      </c>
      <c r="W17" s="152">
        <v>11.508636923663895</v>
      </c>
      <c r="X17" s="157">
        <v>9.7495553818790697</v>
      </c>
      <c r="Y17" s="81"/>
      <c r="Z17" s="136">
        <v>2017</v>
      </c>
      <c r="AA17" s="344"/>
      <c r="AB17" s="295">
        <f t="shared" si="0"/>
        <v>6.8442496880000007E-4</v>
      </c>
      <c r="AC17" s="296">
        <v>5.3E-3</v>
      </c>
      <c r="AD17" s="63"/>
      <c r="AE17" s="136">
        <v>2017</v>
      </c>
      <c r="AF17" s="299">
        <v>2.7269141784429753</v>
      </c>
      <c r="AG17" s="299">
        <v>2.7269141784429753</v>
      </c>
      <c r="AH17" s="229">
        <v>2.1172120351245138</v>
      </c>
      <c r="AI17" s="63"/>
      <c r="AJ17" s="136">
        <v>2017</v>
      </c>
      <c r="AK17" s="299">
        <v>0.59857485128149057</v>
      </c>
      <c r="AL17" s="334">
        <v>0.92369587087306337</v>
      </c>
      <c r="AM17" s="81"/>
      <c r="AN17" s="217">
        <v>2017</v>
      </c>
      <c r="AO17" s="218">
        <f>IF(Introduction!$F$17="National Average",_xlfn.XLOOKUP($AN17,$V$7:$V$30,W$7:W$30,"",0),_xlfn.XLOOKUP($AN17,'Utility Cost'!$C$7:$C$30,'Utility Cost'!D$7:D$30,"",0))</f>
        <v>0</v>
      </c>
      <c r="AP17" s="218">
        <f>IF(Introduction!$F$20="National Average",_xlfn.XLOOKUP($AN17,$V$7:$V$30,X$7:X$30,"",0),_xlfn.XLOOKUP($AN17,'Utility Cost'!$C$7:$C$30,'Utility Cost'!H$7:H$30,"",0))</f>
        <v>0</v>
      </c>
      <c r="AQ17" s="63"/>
      <c r="AR17" s="136">
        <v>2017</v>
      </c>
      <c r="AS17" s="295" t="e" cm="1">
        <f t="array" ref="AS17">IF(Introduction!$C$17="National Average",'Annual Data'!K17,INDEX('DHW Mix'!$AJ$7:$AS$30,'Annual Data'!AR17-2006,_xlfn.XLOOKUP(Introduction!$C$17,Regions!$B$2:$B$52,Regions!$C$2:$C$52,"",0)))</f>
        <v>#VALUE!</v>
      </c>
      <c r="AT17" s="296" t="e" cm="1">
        <f t="array" ref="AT17">IF(Introduction!$C$17="National Average",'Annual Data'!L17,INDEX('DHW Mix'!$AU$7:$BD$30,'Annual Data'!$AR17-2006,_xlfn.XLOOKUP(Introduction!$C$17,Regions!$B$2:$B$52,Regions!$C$2:$C$52,"",0)))</f>
        <v>#VALUE!</v>
      </c>
      <c r="AU17" s="81"/>
      <c r="AV17" s="136">
        <v>2017</v>
      </c>
      <c r="AW17" s="305" t="e" cm="1">
        <f t="array" ref="AW17">IF(Introduction!$C$17="National Average",O17,INDEX('DHW Mix'!$C$7:$L$30,'Annual Data'!$AV17-2006,_xlfn.XLOOKUP(Introduction!$C$17,Regions!$B$2:$B$52,Regions!$C$2:$C$52,"",0)))</f>
        <v>#VALUE!</v>
      </c>
      <c r="AX17" s="306" t="e" cm="1">
        <f t="array" ref="AX17">IF(Introduction!$C$17="National Average",P17,INDEX('DHW Mix'!$N$7:$W$30,'Annual Data'!$AV17-2006,_xlfn.XLOOKUP(Introduction!$C$17,Regions!$B$2:$B$52,Regions!$C$2:$C$52,"",0)))</f>
        <v>#VALUE!</v>
      </c>
      <c r="AY17" s="81"/>
      <c r="AZ17" s="81"/>
      <c r="BA17" s="136">
        <v>2017</v>
      </c>
      <c r="BB17" s="355" t="e">
        <f>IF(Introduction!$C$17="National Average",'Annual Data'!AA17,_xlfn.XLOOKUP(Introduction!$C$17,lbs_mWh!$C$2:$BA$2,lbs_mWh!C13:BA13))</f>
        <v>#N/A</v>
      </c>
      <c r="BC17" s="353" t="e">
        <f>IF(Introduction!$C$17="National Average",AB17,_xlfn.XLOOKUP(Introduction!$C$17,tons_kWh!$C$2:$BA$2,tons_kWh!C13:BA13))</f>
        <v>#N/A</v>
      </c>
      <c r="BD17" s="296">
        <v>5.3E-3</v>
      </c>
      <c r="BE17" s="63"/>
      <c r="BF17" s="136">
        <f t="shared" si="2"/>
        <v>2017</v>
      </c>
      <c r="BG17" s="152">
        <f>IF(Introduction!$F$19="National Average",_xlfn.XLOOKUP($BF17,$R$7:$R$30,S$7:S$30,"",0),_xlfn.XLOOKUP($BF17,'Utility Cost'!$C$7:$C$30,'Utility Cost'!F$7:F$30,"",0))</f>
        <v>0</v>
      </c>
      <c r="BH17" s="369">
        <f>IF(Introduction!$F$18="National Average",_xlfn.XLOOKUP($BF17,$R$7:$R$30,T$7:T$30,"",0),_xlfn.XLOOKUP($BF17,'Utility Cost'!$C$7:$C$30,'Utility Cost'!E$7:E$30,"",0))</f>
        <v>0</v>
      </c>
    </row>
    <row r="18" spans="1:60" ht="13.5" thickBot="1">
      <c r="A18" s="82"/>
      <c r="B18" s="136">
        <v>2018</v>
      </c>
      <c r="C18" s="137">
        <f>SUM(Table4[[#This Row],[Number of houses using electricity]:[Number of houses using natural gas]])</f>
        <v>117274000</v>
      </c>
      <c r="D18" s="159">
        <v>54162000</v>
      </c>
      <c r="E18" s="160">
        <f>58801000+4311000</f>
        <v>63112000</v>
      </c>
      <c r="F18" s="82"/>
      <c r="G18" s="140">
        <v>2018</v>
      </c>
      <c r="H18" s="210">
        <v>1.02291</v>
      </c>
      <c r="I18" s="63"/>
      <c r="J18" s="136">
        <v>2018</v>
      </c>
      <c r="K18" s="295">
        <v>8.6788114542466345E-4</v>
      </c>
      <c r="L18" s="296">
        <v>0.16748029355907967</v>
      </c>
      <c r="M18" s="81"/>
      <c r="N18" s="136">
        <v>2018</v>
      </c>
      <c r="O18" s="305">
        <v>0.60699999999999998</v>
      </c>
      <c r="P18" s="306">
        <v>0.67800000000000005</v>
      </c>
      <c r="Q18" s="81"/>
      <c r="R18" s="136">
        <v>2018</v>
      </c>
      <c r="S18" s="152">
        <v>10.5</v>
      </c>
      <c r="T18" s="157">
        <v>0.12869999999999998</v>
      </c>
      <c r="U18" s="81"/>
      <c r="V18" s="136">
        <v>2018</v>
      </c>
      <c r="W18" s="152">
        <v>12.019179777079572</v>
      </c>
      <c r="X18" s="157">
        <v>10.177198140083442</v>
      </c>
      <c r="Y18" s="81"/>
      <c r="Z18" s="136">
        <v>2018</v>
      </c>
      <c r="AA18" s="344">
        <v>1440.1</v>
      </c>
      <c r="AB18" s="295">
        <f t="shared" si="0"/>
        <v>6.5321783919999995E-4</v>
      </c>
      <c r="AC18" s="296">
        <v>5.3E-3</v>
      </c>
      <c r="AD18" s="63"/>
      <c r="AE18" s="136">
        <v>2018</v>
      </c>
      <c r="AF18" s="299">
        <v>2.8594870954958265</v>
      </c>
      <c r="AG18" s="299">
        <v>2.8594870954958265</v>
      </c>
      <c r="AH18" s="229">
        <v>2.1196617899626116</v>
      </c>
      <c r="AI18" s="63"/>
      <c r="AJ18" s="136">
        <v>2018</v>
      </c>
      <c r="AK18" s="299">
        <v>0.60188221907125405</v>
      </c>
      <c r="AL18" s="334">
        <v>0.92730599341417963</v>
      </c>
      <c r="AM18" s="81"/>
      <c r="AN18" s="217">
        <v>2018</v>
      </c>
      <c r="AO18" s="218">
        <f>IF(Introduction!$F$17="National Average",_xlfn.XLOOKUP($AN18,$V$7:$V$30,W$7:W$30,"",0),_xlfn.XLOOKUP($AN18,'Utility Cost'!$C$7:$C$30,'Utility Cost'!D$7:D$30,"",0))</f>
        <v>0</v>
      </c>
      <c r="AP18" s="218">
        <f>IF(Introduction!$F$20="National Average",_xlfn.XLOOKUP($AN18,$V$7:$V$30,X$7:X$30,"",0),_xlfn.XLOOKUP($AN18,'Utility Cost'!$C$7:$C$30,'Utility Cost'!H$7:H$30,"",0))</f>
        <v>0</v>
      </c>
      <c r="AQ18" s="63"/>
      <c r="AR18" s="136">
        <v>2018</v>
      </c>
      <c r="AS18" s="295" t="e" cm="1">
        <f t="array" ref="AS18">IF(Introduction!$C$17="National Average",'Annual Data'!K18,INDEX('DHW Mix'!$AJ$7:$AS$30,'Annual Data'!AR18-2006,_xlfn.XLOOKUP(Introduction!$C$17,Regions!$B$2:$B$52,Regions!$C$2:$C$52,"",0)))</f>
        <v>#VALUE!</v>
      </c>
      <c r="AT18" s="296" t="e" cm="1">
        <f t="array" ref="AT18">IF(Introduction!$C$17="National Average",'Annual Data'!L18,INDEX('DHW Mix'!$AU$7:$BD$30,'Annual Data'!$AR18-2006,_xlfn.XLOOKUP(Introduction!$C$17,Regions!$B$2:$B$52,Regions!$C$2:$C$52,"",0)))</f>
        <v>#VALUE!</v>
      </c>
      <c r="AU18" s="81"/>
      <c r="AV18" s="136">
        <v>2018</v>
      </c>
      <c r="AW18" s="305" t="e" cm="1">
        <f t="array" ref="AW18">IF(Introduction!$C$17="National Average",O18,INDEX('DHW Mix'!$C$7:$L$30,'Annual Data'!$AV18-2006,_xlfn.XLOOKUP(Introduction!$C$17,Regions!$B$2:$B$52,Regions!$C$2:$C$52,"",0)))</f>
        <v>#VALUE!</v>
      </c>
      <c r="AX18" s="306" t="e" cm="1">
        <f t="array" ref="AX18">IF(Introduction!$C$17="National Average",P18,INDEX('DHW Mix'!$N$7:$W$30,'Annual Data'!$AV18-2006,_xlfn.XLOOKUP(Introduction!$C$17,Regions!$B$2:$B$52,Regions!$C$2:$C$52,"",0)))</f>
        <v>#VALUE!</v>
      </c>
      <c r="AY18" s="81"/>
      <c r="AZ18" s="81"/>
      <c r="BA18" s="136">
        <v>2018</v>
      </c>
      <c r="BB18" s="355" t="e">
        <f>IF(Introduction!$C$17="National Average",'Annual Data'!AA18,_xlfn.XLOOKUP(Introduction!$C$17,lbs_mWh!$C$2:$BA$2,lbs_mWh!C14:BA14))</f>
        <v>#N/A</v>
      </c>
      <c r="BC18" s="353" t="e">
        <f>IF(Introduction!$C$17="National Average",AB18,_xlfn.XLOOKUP(Introduction!$C$17,tons_kWh!$C$2:$BA$2,tons_kWh!C14:BA14))</f>
        <v>#N/A</v>
      </c>
      <c r="BD18" s="296">
        <v>5.3E-3</v>
      </c>
      <c r="BE18" s="63"/>
      <c r="BF18" s="136">
        <f t="shared" si="2"/>
        <v>2018</v>
      </c>
      <c r="BG18" s="152">
        <f>IF(Introduction!$F$19="National Average",_xlfn.XLOOKUP($BF18,$R$7:$R$30,S$7:S$30,"",0),_xlfn.XLOOKUP($BF18,'Utility Cost'!$C$7:$C$30,'Utility Cost'!F$7:F$30,"",0))</f>
        <v>0</v>
      </c>
      <c r="BH18" s="369">
        <f>IF(Introduction!$F$18="National Average",_xlfn.XLOOKUP($BF18,$R$7:$R$30,T$7:T$30,"",0),_xlfn.XLOOKUP($BF18,'Utility Cost'!$C$7:$C$30,'Utility Cost'!E$7:E$30,"",0))</f>
        <v>0</v>
      </c>
    </row>
    <row r="19" spans="1:60" ht="13.5" thickBot="1">
      <c r="A19" s="82"/>
      <c r="B19" s="136">
        <f t="shared" ref="B19:B24" si="3">SUM(B18+1)</f>
        <v>2019</v>
      </c>
      <c r="C19" s="137">
        <f>SUM(Table4[[#This Row],[Number of houses using electricity]:[Number of houses using natural gas]])</f>
        <v>119933000</v>
      </c>
      <c r="D19" s="161">
        <v>56125000</v>
      </c>
      <c r="E19" s="162">
        <v>63808000</v>
      </c>
      <c r="F19" s="82"/>
      <c r="G19" s="140">
        <v>2019</v>
      </c>
      <c r="H19" s="211">
        <v>1.0400799999999999</v>
      </c>
      <c r="I19" s="63"/>
      <c r="J19" s="136">
        <v>2019</v>
      </c>
      <c r="K19" s="295">
        <v>8.6380587216347202E-4</v>
      </c>
      <c r="L19" s="296">
        <v>0.16688609425381468</v>
      </c>
      <c r="M19" s="81"/>
      <c r="N19" s="136">
        <v>2019</v>
      </c>
      <c r="O19" s="305">
        <v>0.60699999999999998</v>
      </c>
      <c r="P19" s="306">
        <v>0.67800000000000005</v>
      </c>
      <c r="Q19" s="81"/>
      <c r="R19" s="136">
        <v>2019</v>
      </c>
      <c r="S19" s="152">
        <v>10.51</v>
      </c>
      <c r="T19" s="157">
        <v>0.13009999999999999</v>
      </c>
      <c r="U19" s="81"/>
      <c r="V19" s="136">
        <v>2019</v>
      </c>
      <c r="W19" s="152">
        <v>12.552621373450215</v>
      </c>
      <c r="X19" s="157">
        <v>10.623732817856402</v>
      </c>
      <c r="Y19" s="81"/>
      <c r="Z19" s="136">
        <v>2019</v>
      </c>
      <c r="AA19" s="344">
        <v>1427.8</v>
      </c>
      <c r="AB19" s="295">
        <f t="shared" si="0"/>
        <v>6.4763865759999992E-4</v>
      </c>
      <c r="AC19" s="296">
        <v>5.3E-3</v>
      </c>
      <c r="AD19" s="63"/>
      <c r="AE19" s="136">
        <v>2019</v>
      </c>
      <c r="AF19" s="299">
        <v>2.9928597046958361</v>
      </c>
      <c r="AG19" s="299">
        <v>2.9928597046958361</v>
      </c>
      <c r="AH19" s="229">
        <v>2.1189126234026276</v>
      </c>
      <c r="AI19" s="63"/>
      <c r="AJ19" s="136">
        <v>2019</v>
      </c>
      <c r="AK19" s="299">
        <v>0.60472178591469816</v>
      </c>
      <c r="AL19" s="334">
        <v>0.9306076739976844</v>
      </c>
      <c r="AM19" s="81"/>
      <c r="AN19" s="217">
        <v>2019</v>
      </c>
      <c r="AO19" s="218">
        <f>IF(Introduction!$F$17="National Average",_xlfn.XLOOKUP($AN19,$V$7:$V$30,W$7:W$30,"",0),_xlfn.XLOOKUP($AN19,'Utility Cost'!$C$7:$C$30,'Utility Cost'!D$7:D$30,"",0))</f>
        <v>0</v>
      </c>
      <c r="AP19" s="218">
        <f>IF(Introduction!$F$20="National Average",_xlfn.XLOOKUP($AN19,$V$7:$V$30,X$7:X$30,"",0),_xlfn.XLOOKUP($AN19,'Utility Cost'!$C$7:$C$30,'Utility Cost'!H$7:H$30,"",0))</f>
        <v>0</v>
      </c>
      <c r="AQ19" s="63"/>
      <c r="AR19" s="136">
        <v>2019</v>
      </c>
      <c r="AS19" s="295" t="e" cm="1">
        <f t="array" ref="AS19">IF(Introduction!$C$17="National Average",'Annual Data'!K19,INDEX('DHW Mix'!$AJ$7:$AS$30,'Annual Data'!AR19-2006,_xlfn.XLOOKUP(Introduction!$C$17,Regions!$B$2:$B$52,Regions!$C$2:$C$52,"",0)))</f>
        <v>#VALUE!</v>
      </c>
      <c r="AT19" s="296" t="e" cm="1">
        <f t="array" ref="AT19">IF(Introduction!$C$17="National Average",'Annual Data'!L19,INDEX('DHW Mix'!$AU$7:$BD$30,'Annual Data'!$AR19-2006,_xlfn.XLOOKUP(Introduction!$C$17,Regions!$B$2:$B$52,Regions!$C$2:$C$52,"",0)))</f>
        <v>#VALUE!</v>
      </c>
      <c r="AU19" s="81"/>
      <c r="AV19" s="136">
        <v>2019</v>
      </c>
      <c r="AW19" s="305" t="e" cm="1">
        <f t="array" ref="AW19">IF(Introduction!$C$17="National Average",O19,INDEX('DHW Mix'!$C$7:$L$30,'Annual Data'!$AV19-2006,_xlfn.XLOOKUP(Introduction!$C$17,Regions!$B$2:$B$52,Regions!$C$2:$C$52,"",0)))</f>
        <v>#VALUE!</v>
      </c>
      <c r="AX19" s="306" t="e" cm="1">
        <f t="array" ref="AX19">IF(Introduction!$C$17="National Average",P19,INDEX('DHW Mix'!$N$7:$W$30,'Annual Data'!$AV19-2006,_xlfn.XLOOKUP(Introduction!$C$17,Regions!$B$2:$B$52,Regions!$C$2:$C$52,"",0)))</f>
        <v>#VALUE!</v>
      </c>
      <c r="AY19" s="81"/>
      <c r="AZ19" s="81"/>
      <c r="BA19" s="136">
        <v>2019</v>
      </c>
      <c r="BB19" s="355" t="e">
        <f>IF(Introduction!$C$17="National Average",'Annual Data'!AA19,_xlfn.XLOOKUP(Introduction!$C$17,lbs_mWh!$C$2:$BA$2,lbs_mWh!C15:BA15))</f>
        <v>#N/A</v>
      </c>
      <c r="BC19" s="353" t="e">
        <f>IF(Introduction!$C$17="National Average",AB19,_xlfn.XLOOKUP(Introduction!$C$17,tons_kWh!$C$2:$BA$2,tons_kWh!C15:BA15))</f>
        <v>#N/A</v>
      </c>
      <c r="BD19" s="296">
        <v>5.3E-3</v>
      </c>
      <c r="BE19" s="63"/>
      <c r="BF19" s="136">
        <f t="shared" si="2"/>
        <v>2019</v>
      </c>
      <c r="BG19" s="152">
        <f>IF(Introduction!$F$19="National Average",_xlfn.XLOOKUP($BF19,$R$7:$R$30,S$7:S$30,"",0),_xlfn.XLOOKUP($BF19,'Utility Cost'!$C$7:$C$30,'Utility Cost'!F$7:F$30,"",0))</f>
        <v>0</v>
      </c>
      <c r="BH19" s="369">
        <f>IF(Introduction!$F$18="National Average",_xlfn.XLOOKUP($BF19,$R$7:$R$30,T$7:T$30,"",0),_xlfn.XLOOKUP($BF19,'Utility Cost'!$C$7:$C$30,'Utility Cost'!E$7:E$30,"",0))</f>
        <v>0</v>
      </c>
    </row>
    <row r="20" spans="1:60" ht="13.5" thickBot="1">
      <c r="A20" s="82"/>
      <c r="B20" s="136">
        <f t="shared" si="3"/>
        <v>2020</v>
      </c>
      <c r="C20" s="137">
        <f>SUM(Table4[[#This Row],[Number of houses using electricity]:[Number of houses using natural gas]])</f>
        <v>119933000</v>
      </c>
      <c r="D20" s="159">
        <v>56125000</v>
      </c>
      <c r="E20" s="160">
        <f>Houses_with_gas_19</f>
        <v>63808000</v>
      </c>
      <c r="F20" s="82"/>
      <c r="G20" s="149">
        <v>2020</v>
      </c>
      <c r="H20" s="209">
        <v>1.0538099999999999</v>
      </c>
      <c r="I20" s="63"/>
      <c r="J20" s="136">
        <v>2020</v>
      </c>
      <c r="K20" s="295">
        <v>8.468240745928468E-4</v>
      </c>
      <c r="L20" s="296">
        <v>0.16631223627413985</v>
      </c>
      <c r="M20" s="81"/>
      <c r="N20" s="136">
        <v>2020</v>
      </c>
      <c r="O20" s="305">
        <v>0.60199999999999998</v>
      </c>
      <c r="P20" s="306">
        <v>0.67300000000000004</v>
      </c>
      <c r="Q20" s="81"/>
      <c r="R20" s="136">
        <v>2020</v>
      </c>
      <c r="S20" s="152">
        <v>10.78</v>
      </c>
      <c r="T20" s="157">
        <v>0.13150000000000001</v>
      </c>
      <c r="U20" s="81"/>
      <c r="V20" s="136">
        <v>2020</v>
      </c>
      <c r="W20" s="152">
        <v>13.11</v>
      </c>
      <c r="X20" s="157">
        <v>11.09</v>
      </c>
      <c r="Y20" s="81"/>
      <c r="Z20" s="136">
        <v>2020</v>
      </c>
      <c r="AA20" s="344">
        <v>1406.8</v>
      </c>
      <c r="AB20" s="295">
        <f t="shared" si="0"/>
        <v>6.3811322559999999E-4</v>
      </c>
      <c r="AC20" s="296">
        <v>5.3E-3</v>
      </c>
      <c r="AD20" s="63"/>
      <c r="AE20" s="136">
        <v>2020</v>
      </c>
      <c r="AF20" s="299">
        <v>3.1639721016929614</v>
      </c>
      <c r="AG20" s="299">
        <v>3.1639721016929614</v>
      </c>
      <c r="AH20" s="229">
        <v>2.1551256074745817</v>
      </c>
      <c r="AI20" s="63"/>
      <c r="AJ20" s="136">
        <v>2020</v>
      </c>
      <c r="AK20" s="299">
        <v>0.60728503818863155</v>
      </c>
      <c r="AL20" s="334">
        <v>0.93381872239456809</v>
      </c>
      <c r="AM20" s="81"/>
      <c r="AN20" s="217">
        <v>2020</v>
      </c>
      <c r="AO20" s="218">
        <f>IF(Introduction!$F$17="National Average",_xlfn.XLOOKUP($AN20,$V$7:$V$30,W$7:W$30,"",0),_xlfn.XLOOKUP($AN20,'Utility Cost'!$C$7:$C$30,'Utility Cost'!D$7:D$30,"",0))</f>
        <v>0</v>
      </c>
      <c r="AP20" s="218">
        <f>IF(Introduction!$F$20="National Average",_xlfn.XLOOKUP($AN20,$V$7:$V$30,X$7:X$30,"",0),_xlfn.XLOOKUP($AN20,'Utility Cost'!$C$7:$C$30,'Utility Cost'!H$7:H$30,"",0))</f>
        <v>0</v>
      </c>
      <c r="AQ20" s="63"/>
      <c r="AR20" s="136">
        <v>2020</v>
      </c>
      <c r="AS20" s="295" t="e" cm="1">
        <f t="array" ref="AS20">IF(Introduction!$C$17="National Average",'Annual Data'!K20,INDEX('DHW Mix'!$AJ$7:$AS$30,'Annual Data'!AR20-2006,_xlfn.XLOOKUP(Introduction!$C$17,Regions!$B$2:$B$52,Regions!$C$2:$C$52,"",0)))</f>
        <v>#VALUE!</v>
      </c>
      <c r="AT20" s="296" t="e" cm="1">
        <f t="array" ref="AT20">IF(Introduction!$C$17="National Average",'Annual Data'!L20,INDEX('DHW Mix'!$AU$7:$BD$30,'Annual Data'!$AR20-2006,_xlfn.XLOOKUP(Introduction!$C$17,Regions!$B$2:$B$52,Regions!$C$2:$C$52,"",0)))</f>
        <v>#VALUE!</v>
      </c>
      <c r="AU20" s="81"/>
      <c r="AV20" s="136">
        <v>2020</v>
      </c>
      <c r="AW20" s="305" t="e" cm="1">
        <f t="array" ref="AW20">IF(Introduction!$C$17="National Average",O20,INDEX('DHW Mix'!$C$7:$L$30,'Annual Data'!$AV20-2006,_xlfn.XLOOKUP(Introduction!$C$17,Regions!$B$2:$B$52,Regions!$C$2:$C$52,"",0)))</f>
        <v>#VALUE!</v>
      </c>
      <c r="AX20" s="306" t="e" cm="1">
        <f t="array" ref="AX20">IF(Introduction!$C$17="National Average",P20,INDEX('DHW Mix'!$N$7:$W$30,'Annual Data'!$AV20-2006,_xlfn.XLOOKUP(Introduction!$C$17,Regions!$B$2:$B$52,Regions!$C$2:$C$52,"",0)))</f>
        <v>#VALUE!</v>
      </c>
      <c r="AY20" s="81"/>
      <c r="AZ20" s="81"/>
      <c r="BA20" s="136">
        <v>2020</v>
      </c>
      <c r="BB20" s="355" t="e">
        <f>IF(Introduction!$C$17="National Average",'Annual Data'!AA20,_xlfn.XLOOKUP(Introduction!$C$17,lbs_mWh!$C$2:$BA$2,lbs_mWh!C16:BA16))</f>
        <v>#N/A</v>
      </c>
      <c r="BC20" s="353" t="e">
        <f>IF(Introduction!$C$17="National Average",AB20,_xlfn.XLOOKUP(Introduction!$C$17,tons_kWh!$C$2:$BA$2,tons_kWh!C16:BA16))</f>
        <v>#N/A</v>
      </c>
      <c r="BD20" s="296">
        <v>5.3E-3</v>
      </c>
      <c r="BE20" s="63"/>
      <c r="BF20" s="136">
        <f t="shared" si="2"/>
        <v>2020</v>
      </c>
      <c r="BG20" s="152">
        <f>IF(Introduction!$F$19="National Average",_xlfn.XLOOKUP($BF20,$R$7:$R$30,S$7:S$30,"",0),_xlfn.XLOOKUP($BF20,'Utility Cost'!$C$7:$C$30,'Utility Cost'!F$7:F$30,"",0))</f>
        <v>0</v>
      </c>
      <c r="BH20" s="369">
        <f>IF(Introduction!$F$18="National Average",_xlfn.XLOOKUP($BF20,$R$7:$R$30,T$7:T$30,"",0),_xlfn.XLOOKUP($BF20,'Utility Cost'!$C$7:$C$30,'Utility Cost'!E$7:E$30,"",0))</f>
        <v>0</v>
      </c>
    </row>
    <row r="21" spans="1:60" ht="13.5" thickBot="1">
      <c r="A21" s="82"/>
      <c r="B21" s="136">
        <f t="shared" si="3"/>
        <v>2021</v>
      </c>
      <c r="C21" s="137">
        <f>SUM(Table4[[#This Row],[Number of houses using electricity]:[Number of houses using natural gas]])</f>
        <v>124259000</v>
      </c>
      <c r="D21" s="159">
        <v>58932000</v>
      </c>
      <c r="E21" s="160">
        <v>65327000</v>
      </c>
      <c r="F21" s="82"/>
      <c r="G21" s="149">
        <v>2021</v>
      </c>
      <c r="H21" s="212">
        <v>1.1021299999999998</v>
      </c>
      <c r="I21" s="63"/>
      <c r="J21" s="136">
        <v>2021</v>
      </c>
      <c r="K21" s="295">
        <v>8.4357455370140334E-4</v>
      </c>
      <c r="L21" s="296">
        <v>0.16578368029921961</v>
      </c>
      <c r="M21" s="81"/>
      <c r="N21" s="136">
        <v>2021</v>
      </c>
      <c r="O21" s="305">
        <v>0.60199999999999998</v>
      </c>
      <c r="P21" s="306">
        <v>0.67300000000000004</v>
      </c>
      <c r="Q21" s="81"/>
      <c r="R21" s="136">
        <v>2021</v>
      </c>
      <c r="S21" s="152">
        <v>12.18</v>
      </c>
      <c r="T21" s="157">
        <v>0.1366</v>
      </c>
      <c r="U21" s="81"/>
      <c r="V21" s="136">
        <v>2021</v>
      </c>
      <c r="W21" s="152">
        <v>13.991880695290337</v>
      </c>
      <c r="X21" s="157">
        <v>11.620000000000001</v>
      </c>
      <c r="Y21" s="81"/>
      <c r="Z21" s="136">
        <v>2021</v>
      </c>
      <c r="AA21" s="344">
        <v>1417.3</v>
      </c>
      <c r="AB21" s="295">
        <f t="shared" si="0"/>
        <v>6.4287594160000001E-4</v>
      </c>
      <c r="AC21" s="296">
        <v>5.3E-3</v>
      </c>
      <c r="AD21" s="63"/>
      <c r="AE21" s="136">
        <v>2021</v>
      </c>
      <c r="AF21" s="299">
        <v>2.8917756323232147</v>
      </c>
      <c r="AG21" s="299">
        <v>2.8917756323232147</v>
      </c>
      <c r="AH21" s="229">
        <v>2.2505431422330906</v>
      </c>
      <c r="AI21" s="63"/>
      <c r="AJ21" s="136">
        <v>2021</v>
      </c>
      <c r="AK21" s="299">
        <v>0.60962435177982066</v>
      </c>
      <c r="AL21" s="334">
        <v>0.93679594828509716</v>
      </c>
      <c r="AM21" s="81"/>
      <c r="AN21" s="217">
        <v>2021</v>
      </c>
      <c r="AO21" s="218">
        <f>IF(Introduction!$F$17="National Average",_xlfn.XLOOKUP($AN21,$V$7:$V$30,W$7:W$30,"",0),_xlfn.XLOOKUP($AN21,'Utility Cost'!$C$7:$C$30,'Utility Cost'!D$7:D$30,"",0))</f>
        <v>0</v>
      </c>
      <c r="AP21" s="218">
        <f>IF(Introduction!$F$20="National Average",_xlfn.XLOOKUP($AN21,$V$7:$V$30,X$7:X$30,"",0),_xlfn.XLOOKUP($AN21,'Utility Cost'!$C$7:$C$30,'Utility Cost'!H$7:H$30,"",0))</f>
        <v>0</v>
      </c>
      <c r="AQ21" s="63"/>
      <c r="AR21" s="136">
        <v>2021</v>
      </c>
      <c r="AS21" s="295" t="e" cm="1">
        <f t="array" ref="AS21">IF(Introduction!$C$17="National Average",'Annual Data'!K21,INDEX('DHW Mix'!$AJ$7:$AS$30,'Annual Data'!AR21-2006,_xlfn.XLOOKUP(Introduction!$C$17,Regions!$B$2:$B$52,Regions!$C$2:$C$52,"",0)))</f>
        <v>#VALUE!</v>
      </c>
      <c r="AT21" s="296" t="e" cm="1">
        <f t="array" ref="AT21">IF(Introduction!$C$17="National Average",'Annual Data'!L21,INDEX('DHW Mix'!$AU$7:$BD$30,'Annual Data'!$AR21-2006,_xlfn.XLOOKUP(Introduction!$C$17,Regions!$B$2:$B$52,Regions!$C$2:$C$52,"",0)))</f>
        <v>#VALUE!</v>
      </c>
      <c r="AU21" s="81"/>
      <c r="AV21" s="136">
        <v>2021</v>
      </c>
      <c r="AW21" s="305" t="e" cm="1">
        <f t="array" ref="AW21">IF(Introduction!$C$17="National Average",O21,INDEX('DHW Mix'!$C$7:$L$30,'Annual Data'!$AV21-2006,_xlfn.XLOOKUP(Introduction!$C$17,Regions!$B$2:$B$52,Regions!$C$2:$C$52,"",0)))</f>
        <v>#VALUE!</v>
      </c>
      <c r="AX21" s="306" t="e" cm="1">
        <f t="array" ref="AX21">IF(Introduction!$C$17="National Average",P21,INDEX('DHW Mix'!$N$7:$W$30,'Annual Data'!$AV21-2006,_xlfn.XLOOKUP(Introduction!$C$17,Regions!$B$2:$B$52,Regions!$C$2:$C$52,"",0)))</f>
        <v>#VALUE!</v>
      </c>
      <c r="AY21" s="81"/>
      <c r="AZ21" s="81"/>
      <c r="BA21" s="136">
        <v>2021</v>
      </c>
      <c r="BB21" s="355" t="e">
        <f>IF(Introduction!$C$17="National Average",'Annual Data'!AA21,_xlfn.XLOOKUP(Introduction!$C$17,lbs_mWh!$C$2:$BA$2,lbs_mWh!C17:BA17))</f>
        <v>#N/A</v>
      </c>
      <c r="BC21" s="353" t="e">
        <f>IF(Introduction!$C$17="National Average",AB21,_xlfn.XLOOKUP(Introduction!$C$17,tons_kWh!$C$2:$BA$2,tons_kWh!C17:BA17))</f>
        <v>#N/A</v>
      </c>
      <c r="BD21" s="296">
        <v>5.3E-3</v>
      </c>
      <c r="BE21" s="63"/>
      <c r="BF21" s="136">
        <f t="shared" si="2"/>
        <v>2021</v>
      </c>
      <c r="BG21" s="152">
        <f>IF(Introduction!$F$19="National Average",_xlfn.XLOOKUP($BF21,$R$7:$R$30,S$7:S$30,"",0),_xlfn.XLOOKUP($BF21,'Utility Cost'!$C$7:$C$30,'Utility Cost'!F$7:F$30,"",0))</f>
        <v>0</v>
      </c>
      <c r="BH21" s="369">
        <f>IF(Introduction!$F$18="National Average",_xlfn.XLOOKUP($BF21,$R$7:$R$30,T$7:T$30,"",0),_xlfn.XLOOKUP($BF21,'Utility Cost'!$C$7:$C$30,'Utility Cost'!E$7:E$30,"",0))</f>
        <v>0</v>
      </c>
    </row>
    <row r="22" spans="1:60" ht="13.5" thickBot="1">
      <c r="A22" s="82"/>
      <c r="B22" s="136">
        <f t="shared" si="3"/>
        <v>2022</v>
      </c>
      <c r="C22" s="137">
        <f>SUM(Table4[[#This Row],[Number of houses using electricity]:[Number of houses using natural gas]])</f>
        <v>124259000</v>
      </c>
      <c r="D22" s="159">
        <v>58932000</v>
      </c>
      <c r="E22" s="160">
        <v>65327000</v>
      </c>
      <c r="F22" s="82"/>
      <c r="G22" s="149">
        <v>2022</v>
      </c>
      <c r="H22" s="212">
        <v>1.1797299999999999</v>
      </c>
      <c r="I22" s="63"/>
      <c r="J22" s="136">
        <v>2022</v>
      </c>
      <c r="K22" s="295">
        <v>8.4090528787803345E-4</v>
      </c>
      <c r="L22" s="296">
        <v>0.16532246814602117</v>
      </c>
      <c r="M22" s="81"/>
      <c r="N22" s="136">
        <v>2022</v>
      </c>
      <c r="O22" s="305">
        <v>0.60199999999999998</v>
      </c>
      <c r="P22" s="306">
        <v>0.67300000000000004</v>
      </c>
      <c r="Q22" s="81"/>
      <c r="R22" s="136">
        <v>2022</v>
      </c>
      <c r="S22" s="152">
        <v>14.75</v>
      </c>
      <c r="T22" s="157">
        <v>0.15040000000000001</v>
      </c>
      <c r="U22" s="81"/>
      <c r="V22" s="136">
        <v>2022</v>
      </c>
      <c r="W22" s="152">
        <v>14.873761390580672</v>
      </c>
      <c r="X22" s="157">
        <v>12.15</v>
      </c>
      <c r="Y22" s="81"/>
      <c r="Z22" s="136">
        <v>2022</v>
      </c>
      <c r="AA22" s="344">
        <v>1412.5</v>
      </c>
      <c r="AB22" s="295">
        <f t="shared" si="0"/>
        <v>6.4069870000000001E-4</v>
      </c>
      <c r="AC22" s="296">
        <v>5.3E-3</v>
      </c>
      <c r="AD22" s="63"/>
      <c r="AE22" s="136">
        <v>2022</v>
      </c>
      <c r="AF22" s="299">
        <v>2.9027767302537368</v>
      </c>
      <c r="AG22" s="299">
        <v>2.9027767302537368</v>
      </c>
      <c r="AH22" s="229">
        <v>2.2366437407429078</v>
      </c>
      <c r="AI22" s="63"/>
      <c r="AJ22" s="136">
        <v>2022</v>
      </c>
      <c r="AK22" s="299">
        <v>0.61155946798227212</v>
      </c>
      <c r="AL22" s="334">
        <v>0.93940939630133735</v>
      </c>
      <c r="AM22" s="81"/>
      <c r="AN22" s="217">
        <v>2022</v>
      </c>
      <c r="AO22" s="218">
        <f>IF(Introduction!$F$17="National Average",_xlfn.XLOOKUP($AN22,$V$7:$V$30,W$7:W$30,"",0),_xlfn.XLOOKUP($AN22,'Utility Cost'!$C$7:$C$30,'Utility Cost'!D$7:D$30,"",0))</f>
        <v>0</v>
      </c>
      <c r="AP22" s="218">
        <f>IF(Introduction!$F$20="National Average",_xlfn.XLOOKUP($AN22,$V$7:$V$30,X$7:X$30,"",0),_xlfn.XLOOKUP($AN22,'Utility Cost'!$C$7:$C$30,'Utility Cost'!H$7:H$30,"",0))</f>
        <v>0</v>
      </c>
      <c r="AQ22" s="63"/>
      <c r="AR22" s="136">
        <v>2022</v>
      </c>
      <c r="AS22" s="295" t="e" cm="1">
        <f t="array" ref="AS22">IF(Introduction!$C$17="National Average",'Annual Data'!K22,INDEX('DHW Mix'!$AJ$7:$AS$30,'Annual Data'!AR22-2006,_xlfn.XLOOKUP(Introduction!$C$17,Regions!$B$2:$B$52,Regions!$C$2:$C$52,"",0)))</f>
        <v>#VALUE!</v>
      </c>
      <c r="AT22" s="296" t="e" cm="1">
        <f t="array" ref="AT22">IF(Introduction!$C$17="National Average",'Annual Data'!L22,INDEX('DHW Mix'!$AU$7:$BD$30,'Annual Data'!$AR22-2006,_xlfn.XLOOKUP(Introduction!$C$17,Regions!$B$2:$B$52,Regions!$C$2:$C$52,"",0)))</f>
        <v>#VALUE!</v>
      </c>
      <c r="AU22" s="81"/>
      <c r="AV22" s="136">
        <v>2022</v>
      </c>
      <c r="AW22" s="305" t="e" cm="1">
        <f t="array" ref="AW22">IF(Introduction!$C$17="National Average",O22,INDEX('DHW Mix'!$C$7:$L$30,'Annual Data'!$AV22-2006,_xlfn.XLOOKUP(Introduction!$C$17,Regions!$B$2:$B$52,Regions!$C$2:$C$52,"",0)))</f>
        <v>#VALUE!</v>
      </c>
      <c r="AX22" s="306" t="e" cm="1">
        <f t="array" ref="AX22">IF(Introduction!$C$17="National Average",P22,INDEX('DHW Mix'!$N$7:$W$30,'Annual Data'!$AV22-2006,_xlfn.XLOOKUP(Introduction!$C$17,Regions!$B$2:$B$52,Regions!$C$2:$C$52,"",0)))</f>
        <v>#VALUE!</v>
      </c>
      <c r="AY22" s="81"/>
      <c r="AZ22" s="81"/>
      <c r="BA22" s="136">
        <v>2022</v>
      </c>
      <c r="BB22" s="355" t="e">
        <f>IF(Introduction!$C$17="National Average",'Annual Data'!AA22,_xlfn.XLOOKUP(Introduction!$C$17,lbs_mWh!$C$2:$BA$2,lbs_mWh!C18:BA18))</f>
        <v>#N/A</v>
      </c>
      <c r="BC22" s="353" t="e">
        <f>IF(Introduction!$C$17="National Average",AB22,_xlfn.XLOOKUP(Introduction!$C$17,tons_kWh!$C$2:$BA$2,tons_kWh!C18:BA18))</f>
        <v>#N/A</v>
      </c>
      <c r="BD22" s="296">
        <v>5.3E-3</v>
      </c>
      <c r="BE22" s="63"/>
      <c r="BF22" s="294">
        <f t="shared" si="2"/>
        <v>2022</v>
      </c>
      <c r="BG22" s="152">
        <f>IF(Introduction!$F$19="National Average",_xlfn.XLOOKUP($BF22,$R$7:$R$30,S$7:S$30,"",0),_xlfn.XLOOKUP($BF22,'Utility Cost'!$C$7:$C$30,'Utility Cost'!F$7:F$30,"",0))</f>
        <v>0</v>
      </c>
      <c r="BH22" s="369">
        <f>IF(Introduction!$F$18="National Average",_xlfn.XLOOKUP($BF22,$R$7:$R$30,T$7:T$30,"",0),_xlfn.XLOOKUP($BF22,'Utility Cost'!$C$7:$C$30,'Utility Cost'!E$7:E$30,"",0))</f>
        <v>0</v>
      </c>
    </row>
    <row r="23" spans="1:60" ht="13.5" thickBot="1">
      <c r="A23" s="82"/>
      <c r="B23" s="136">
        <f t="shared" si="3"/>
        <v>2023</v>
      </c>
      <c r="C23" s="137">
        <f>SUM(Table4[[#This Row],[Number of houses using electricity]:[Number of houses using natural gas]])</f>
        <v>129257000</v>
      </c>
      <c r="D23" s="159">
        <v>61973000</v>
      </c>
      <c r="E23" s="160">
        <v>67284000</v>
      </c>
      <c r="F23" s="82"/>
      <c r="G23" s="149">
        <v>2023</v>
      </c>
      <c r="H23" s="212">
        <v>1.22262</v>
      </c>
      <c r="I23" s="63"/>
      <c r="J23" s="136">
        <v>2023</v>
      </c>
      <c r="K23" s="295">
        <v>8.3841364555021342E-4</v>
      </c>
      <c r="L23" s="296">
        <v>0.16489573002652824</v>
      </c>
      <c r="M23" s="81"/>
      <c r="N23" s="136">
        <v>2023</v>
      </c>
      <c r="O23" s="305">
        <v>0.60199999999999998</v>
      </c>
      <c r="P23" s="306">
        <v>0.67300000000000004</v>
      </c>
      <c r="Q23" s="81"/>
      <c r="R23" s="136">
        <v>2023</v>
      </c>
      <c r="S23" s="152">
        <v>15.39</v>
      </c>
      <c r="T23" s="157">
        <v>0.16</v>
      </c>
      <c r="U23" s="81"/>
      <c r="V23" s="136">
        <v>2023</v>
      </c>
      <c r="W23" s="152">
        <v>15.205636811596934</v>
      </c>
      <c r="X23" s="157">
        <v>12.421100648952265</v>
      </c>
      <c r="Y23" s="81"/>
      <c r="Z23" s="136">
        <v>2023</v>
      </c>
      <c r="AA23" s="344">
        <v>1400.5</v>
      </c>
      <c r="AB23" s="295">
        <f t="shared" si="0"/>
        <v>6.3525559600000005E-4</v>
      </c>
      <c r="AC23" s="296">
        <v>5.3E-3</v>
      </c>
      <c r="AD23" s="63"/>
      <c r="AE23" s="136">
        <v>2023</v>
      </c>
      <c r="AF23" s="299">
        <v>2.9291454013983222</v>
      </c>
      <c r="AG23" s="299">
        <v>2.9291454013983222</v>
      </c>
      <c r="AH23" s="229">
        <v>2.2736073233306211</v>
      </c>
      <c r="AI23" s="63"/>
      <c r="AJ23" s="136">
        <v>2023</v>
      </c>
      <c r="AK23" s="299">
        <v>0.61337693298238405</v>
      </c>
      <c r="AL23" s="334">
        <v>0.94184051928522006</v>
      </c>
      <c r="AM23" s="81"/>
      <c r="AN23" s="217">
        <v>2023</v>
      </c>
      <c r="AO23" s="218">
        <f>IF(Introduction!$F$17="National Average",_xlfn.XLOOKUP($AN23,$V$7:$V$30,W$7:W$30,"",0),_xlfn.XLOOKUP($AN23,'Utility Cost'!$C$7:$C$30,'Utility Cost'!D$7:D$30,"",0))</f>
        <v>0</v>
      </c>
      <c r="AP23" s="218">
        <f>IF(Introduction!$F$20="National Average",_xlfn.XLOOKUP($AN23,$V$7:$V$30,X$7:X$30,"",0),_xlfn.XLOOKUP($AN23,'Utility Cost'!$C$7:$C$30,'Utility Cost'!H$7:H$30,"",0))</f>
        <v>0</v>
      </c>
      <c r="AQ23" s="63"/>
      <c r="AR23" s="136">
        <v>2023</v>
      </c>
      <c r="AS23" s="295" t="e" cm="1">
        <f t="array" ref="AS23">IF(Introduction!$C$17="National Average",'Annual Data'!K23,INDEX('DHW Mix'!$AJ$7:$AS$30,'Annual Data'!AR23-2006,_xlfn.XLOOKUP(Introduction!$C$17,Regions!$B$2:$B$52,Regions!$C$2:$C$52,"",0)))</f>
        <v>#VALUE!</v>
      </c>
      <c r="AT23" s="296" t="e" cm="1">
        <f t="array" ref="AT23">IF(Introduction!$C$17="National Average",'Annual Data'!L23,INDEX('DHW Mix'!$AU$7:$BD$30,'Annual Data'!$AR23-2006,_xlfn.XLOOKUP(Introduction!$C$17,Regions!$B$2:$B$52,Regions!$C$2:$C$52,"",0)))</f>
        <v>#VALUE!</v>
      </c>
      <c r="AU23" s="81"/>
      <c r="AV23" s="136">
        <v>2023</v>
      </c>
      <c r="AW23" s="305" t="e" cm="1">
        <f t="array" ref="AW23">IF(Introduction!$C$17="National Average",O23,INDEX('DHW Mix'!$C$7:$L$30,'Annual Data'!$AV23-2006,_xlfn.XLOOKUP(Introduction!$C$17,Regions!$B$2:$B$52,Regions!$C$2:$C$52,"",0)))</f>
        <v>#VALUE!</v>
      </c>
      <c r="AX23" s="306" t="e" cm="1">
        <f t="array" ref="AX23">IF(Introduction!$C$17="National Average",P23,INDEX('DHW Mix'!$N$7:$W$30,'Annual Data'!$AV23-2006,_xlfn.XLOOKUP(Introduction!$C$17,Regions!$B$2:$B$52,Regions!$C$2:$C$52,"",0)))</f>
        <v>#VALUE!</v>
      </c>
      <c r="AY23" s="81"/>
      <c r="AZ23" s="81"/>
      <c r="BA23" s="136">
        <v>2023</v>
      </c>
      <c r="BB23" s="355" t="e">
        <f>IF(Introduction!$C$17="National Average",'Annual Data'!AA23,_xlfn.XLOOKUP(Introduction!$C$17,lbs_mWh!$C$2:$BA$2,lbs_mWh!C19:BA19))</f>
        <v>#N/A</v>
      </c>
      <c r="BC23" s="353" t="e">
        <f>IF(Introduction!$C$17="National Average",AB23,_xlfn.XLOOKUP(Introduction!$C$17,tons_kWh!$C$2:$BA$2,tons_kWh!C19:BA19))</f>
        <v>#N/A</v>
      </c>
      <c r="BD23" s="296">
        <v>5.3E-3</v>
      </c>
      <c r="BE23" s="63"/>
      <c r="BF23" s="136">
        <f t="shared" si="2"/>
        <v>2023</v>
      </c>
      <c r="BG23" s="152">
        <f>IF(Introduction!$F$19="National Average",_xlfn.XLOOKUP($BF23,$R$7:$R$30,S$7:S$30,"",0),_xlfn.XLOOKUP($BF23,'Utility Cost'!$C$7:$C$30,'Utility Cost'!F$7:F$30,"",0))</f>
        <v>0</v>
      </c>
      <c r="BH23" s="369">
        <f>IF(Introduction!$F$18="National Average",_xlfn.XLOOKUP($BF23,$R$7:$R$30,T$7:T$30,"",0),_xlfn.XLOOKUP($BF23,'Utility Cost'!$C$7:$C$30,'Utility Cost'!E$7:E$30,"",0))</f>
        <v>0</v>
      </c>
    </row>
    <row r="24" spans="1:60" ht="13.5" thickBot="1">
      <c r="A24" s="82"/>
      <c r="B24" s="136">
        <f t="shared" si="3"/>
        <v>2024</v>
      </c>
      <c r="C24" s="137">
        <f>SUM(Table4[[#This Row],[Number of houses using electricity]:[Number of houses using natural gas]])</f>
        <v>129257000</v>
      </c>
      <c r="D24" s="159">
        <v>61973000</v>
      </c>
      <c r="E24" s="160">
        <v>67284000</v>
      </c>
      <c r="F24" s="82"/>
      <c r="G24" s="147">
        <v>2024</v>
      </c>
      <c r="H24" s="213">
        <v>1.2161744444444411</v>
      </c>
      <c r="I24" s="63"/>
      <c r="J24" s="83">
        <v>2024</v>
      </c>
      <c r="K24" s="174">
        <v>8.3618123677011162E-4</v>
      </c>
      <c r="L24" s="175">
        <v>0.164534320172327</v>
      </c>
      <c r="M24" s="81"/>
      <c r="N24" s="83">
        <v>2024</v>
      </c>
      <c r="O24" s="307">
        <v>0.60199999999999998</v>
      </c>
      <c r="P24" s="308">
        <v>0.67300000000000004</v>
      </c>
      <c r="Q24" s="81"/>
      <c r="R24" s="136">
        <v>2024</v>
      </c>
      <c r="S24" s="152">
        <v>15.39</v>
      </c>
      <c r="T24" s="157">
        <v>0.16</v>
      </c>
      <c r="U24" s="81"/>
      <c r="V24" s="83">
        <v>2024</v>
      </c>
      <c r="W24" s="219">
        <v>15.544917306029561</v>
      </c>
      <c r="X24" s="220">
        <v>12.698250315341763</v>
      </c>
      <c r="Y24" s="81"/>
      <c r="Z24" s="83">
        <v>2024</v>
      </c>
      <c r="AA24" s="346">
        <f>AA23</f>
        <v>1400.5</v>
      </c>
      <c r="AB24" s="174">
        <f t="shared" si="0"/>
        <v>6.3525559600000005E-4</v>
      </c>
      <c r="AC24" s="175">
        <v>5.3E-3</v>
      </c>
      <c r="AD24" s="63"/>
      <c r="AE24" s="83">
        <v>2024</v>
      </c>
      <c r="AF24" s="231">
        <v>2.964688261659965</v>
      </c>
      <c r="AG24" s="231">
        <v>2.964688261659965</v>
      </c>
      <c r="AH24" s="230">
        <v>2.3248665079022084</v>
      </c>
      <c r="AI24" s="63"/>
      <c r="AJ24" s="83">
        <v>2024</v>
      </c>
      <c r="AK24" s="231">
        <v>0.61500090314325306</v>
      </c>
      <c r="AL24" s="336">
        <v>0.94398467246207352</v>
      </c>
      <c r="AM24" s="81"/>
      <c r="AN24" s="217">
        <v>2024</v>
      </c>
      <c r="AO24" s="218">
        <f>IF(Introduction!$F$17="National Average",_xlfn.XLOOKUP($AN24,$V$7:$V$30,W$7:W$30,"",0),_xlfn.XLOOKUP($AN24,'Utility Cost'!$C$7:$C$30,'Utility Cost'!D$7:D$30,"",0))</f>
        <v>0</v>
      </c>
      <c r="AP24" s="218">
        <f>IF(Introduction!$F$20="National Average",_xlfn.XLOOKUP($AN24,$V$7:$V$30,X$7:X$30,"",0),_xlfn.XLOOKUP($AN24,'Utility Cost'!$C$7:$C$30,'Utility Cost'!H$7:H$30,"",0))</f>
        <v>0</v>
      </c>
      <c r="AQ24" s="63"/>
      <c r="AR24" s="83">
        <v>2024</v>
      </c>
      <c r="AS24" s="174" t="e" cm="1">
        <f t="array" ref="AS24">IF(Introduction!$C$17="National Average",'Annual Data'!K24,INDEX('DHW Mix'!$AJ$7:$AS$30,'Annual Data'!AR24-2006,_xlfn.XLOOKUP(Introduction!$C$17,Regions!$B$2:$B$52,Regions!$C$2:$C$52,"",0)))</f>
        <v>#VALUE!</v>
      </c>
      <c r="AT24" s="175" t="e" cm="1">
        <f t="array" ref="AT24">IF(Introduction!$C$17="National Average",'Annual Data'!L24,INDEX('DHW Mix'!$AU$7:$BD$30,'Annual Data'!$AR24-2006,_xlfn.XLOOKUP(Introduction!$C$17,Regions!$B$2:$B$52,Regions!$C$2:$C$52,"",0)))</f>
        <v>#VALUE!</v>
      </c>
      <c r="AU24" s="81"/>
      <c r="AV24" s="83">
        <v>2024</v>
      </c>
      <c r="AW24" s="307" t="e" cm="1">
        <f t="array" ref="AW24">IF(Introduction!$C$17="National Average",O24,INDEX('DHW Mix'!$C$7:$L$30,'Annual Data'!$AV24-2006,_xlfn.XLOOKUP(Introduction!$C$17,Regions!$B$2:$B$52,Regions!$C$2:$C$52,"",0)))</f>
        <v>#VALUE!</v>
      </c>
      <c r="AX24" s="308" t="e" cm="1">
        <f t="array" ref="AX24">IF(Introduction!$C$17="National Average",P24,INDEX('DHW Mix'!$N$7:$W$30,'Annual Data'!$AV24-2006,_xlfn.XLOOKUP(Introduction!$C$17,Regions!$B$2:$B$52,Regions!$C$2:$C$52,"",0)))</f>
        <v>#VALUE!</v>
      </c>
      <c r="AY24" s="81"/>
      <c r="AZ24" s="81"/>
      <c r="BA24" s="83">
        <v>2024</v>
      </c>
      <c r="BB24" s="355" t="e">
        <f>IF(Introduction!$C$17="National Average",'Annual Data'!AA24,_xlfn.XLOOKUP(Introduction!$C$17,lbs_mWh!$C$2:$BA$2,lbs_mWh!C20:BA20))</f>
        <v>#N/A</v>
      </c>
      <c r="BC24" s="353" t="e">
        <f>IF(Introduction!$C$17="National Average",AB24,_xlfn.XLOOKUP(Introduction!$C$17,tons_kWh!$C$2:$BA$2,tons_kWh!C20:BA20))</f>
        <v>#N/A</v>
      </c>
      <c r="BD24" s="175">
        <v>5.3E-3</v>
      </c>
      <c r="BE24" s="63"/>
      <c r="BF24" s="136">
        <f t="shared" si="2"/>
        <v>2024</v>
      </c>
      <c r="BG24" s="152">
        <f>IF(Introduction!$F$19="National Average",_xlfn.XLOOKUP($BF24,$R$7:$R$30,S$7:S$30,"",0),_xlfn.XLOOKUP($BF24,'Utility Cost'!$C$7:$C$30,'Utility Cost'!F$7:F$30,"",0))</f>
        <v>0</v>
      </c>
      <c r="BH24" s="369">
        <f>IF(Introduction!$F$18="National Average",_xlfn.XLOOKUP($BF24,$R$7:$R$30,T$7:T$30,"",0),_xlfn.XLOOKUP($BF24,'Utility Cost'!$C$7:$C$30,'Utility Cost'!E$7:E$30,"",0))</f>
        <v>0</v>
      </c>
    </row>
    <row r="25" spans="1:60" ht="13.5" thickBot="1">
      <c r="A25" s="82"/>
      <c r="B25" s="83">
        <f t="shared" ref="B25:B30" si="4">SUM(B24+1)</f>
        <v>2025</v>
      </c>
      <c r="C25" s="95"/>
      <c r="D25" s="95"/>
      <c r="E25" s="94"/>
      <c r="F25" s="82"/>
      <c r="G25" s="147">
        <v>2025</v>
      </c>
      <c r="H25" s="213">
        <v>1.246590444444446</v>
      </c>
      <c r="I25" s="63"/>
      <c r="J25" s="83">
        <v>2025</v>
      </c>
      <c r="K25" s="174">
        <v>8.3425138410894782E-4</v>
      </c>
      <c r="L25" s="175">
        <v>0.16422538437755707</v>
      </c>
      <c r="M25" s="81"/>
      <c r="N25" s="83">
        <v>2025</v>
      </c>
      <c r="O25" s="307">
        <v>0.60199999999999998</v>
      </c>
      <c r="P25" s="308">
        <v>0.67300000000000004</v>
      </c>
      <c r="Q25" s="81"/>
      <c r="R25" s="136">
        <v>2025</v>
      </c>
      <c r="S25" s="85"/>
      <c r="T25" s="86"/>
      <c r="U25" s="81"/>
      <c r="V25" s="83">
        <v>2025</v>
      </c>
      <c r="W25" s="219">
        <v>15.891768101879265</v>
      </c>
      <c r="X25" s="220">
        <v>12.981583969748961</v>
      </c>
      <c r="Y25" s="81"/>
      <c r="Z25" s="83">
        <v>2025</v>
      </c>
      <c r="AA25" s="346"/>
      <c r="AB25" s="174">
        <f t="shared" si="0"/>
        <v>6.3525559600000005E-4</v>
      </c>
      <c r="AC25" s="175">
        <v>5.3E-3</v>
      </c>
      <c r="AD25" s="63"/>
      <c r="AE25" s="83">
        <v>2025</v>
      </c>
      <c r="AF25" s="231">
        <v>2.9948783680728037</v>
      </c>
      <c r="AG25" s="231">
        <v>2.9948783680728037</v>
      </c>
      <c r="AH25" s="230">
        <v>2.3573862133387182</v>
      </c>
      <c r="AI25" s="63"/>
      <c r="AJ25" s="83">
        <v>2025</v>
      </c>
      <c r="AK25" s="231">
        <v>0.61642890819437524</v>
      </c>
      <c r="AL25" s="336">
        <v>0.9457541832567421</v>
      </c>
      <c r="AM25" s="81"/>
      <c r="AN25" s="217">
        <v>2025</v>
      </c>
      <c r="AO25" s="218">
        <f>IF(Introduction!$F$17="National Average",_xlfn.XLOOKUP($AN25,$V$7:$V$30,W$7:W$30,"",0),_xlfn.XLOOKUP($AN25,'Utility Cost'!$C$7:$C$30,'Utility Cost'!D$7:D$30,"",0))</f>
        <v>0</v>
      </c>
      <c r="AP25" s="218">
        <f>IF(Introduction!$F$20="National Average",_xlfn.XLOOKUP($AN25,$V$7:$V$30,X$7:X$30,"",0),_xlfn.XLOOKUP($AN25,'Utility Cost'!$C$7:$C$30,'Utility Cost'!H$7:H$30,"",0))</f>
        <v>0</v>
      </c>
      <c r="AQ25" s="63"/>
      <c r="AR25" s="83">
        <v>2025</v>
      </c>
      <c r="AS25" s="174" t="e" cm="1">
        <f t="array" ref="AS25">IF(Introduction!$C$17="National Average",'Annual Data'!K25,INDEX('DHW Mix'!$AJ$7:$AS$30,'Annual Data'!AR25-2006,_xlfn.XLOOKUP(Introduction!$C$17,Regions!$B$2:$B$52,Regions!$C$2:$C$52,"",0)))</f>
        <v>#VALUE!</v>
      </c>
      <c r="AT25" s="175" t="e" cm="1">
        <f t="array" ref="AT25">IF(Introduction!$C$17="National Average",'Annual Data'!L25,INDEX('DHW Mix'!$AU$7:$BD$30,'Annual Data'!$AR25-2006,_xlfn.XLOOKUP(Introduction!$C$17,Regions!$B$2:$B$52,Regions!$C$2:$C$52,"",0)))</f>
        <v>#VALUE!</v>
      </c>
      <c r="AU25" s="81"/>
      <c r="AV25" s="83">
        <v>2025</v>
      </c>
      <c r="AW25" s="307" t="e" cm="1">
        <f t="array" ref="AW25">IF(Introduction!$C$17="National Average",O25,INDEX('DHW Mix'!$C$7:$L$30,'Annual Data'!$AV25-2006,_xlfn.XLOOKUP(Introduction!$C$17,Regions!$B$2:$B$52,Regions!$C$2:$C$52,"",0)))</f>
        <v>#VALUE!</v>
      </c>
      <c r="AX25" s="308" t="e" cm="1">
        <f t="array" ref="AX25">IF(Introduction!$C$17="National Average",P25,INDEX('DHW Mix'!$N$7:$W$30,'Annual Data'!$AV25-2006,_xlfn.XLOOKUP(Introduction!$C$17,Regions!$B$2:$B$52,Regions!$C$2:$C$52,"",0)))</f>
        <v>#VALUE!</v>
      </c>
      <c r="AY25" s="81"/>
      <c r="AZ25" s="81"/>
      <c r="BA25" s="83">
        <v>2025</v>
      </c>
      <c r="BB25" s="355" t="e">
        <f>IF(Introduction!$C$17="National Average",'Annual Data'!AA25,_xlfn.XLOOKUP(Introduction!$C$17,lbs_mWh!$C$2:$BA$2,lbs_mWh!C21:BA21))</f>
        <v>#N/A</v>
      </c>
      <c r="BC25" s="353" t="e">
        <f>IF(Introduction!$C$17="National Average",AB25,_xlfn.XLOOKUP(Introduction!$C$17,tons_kWh!$C$2:$BA$2,tons_kWh!C21:BA21))</f>
        <v>#N/A</v>
      </c>
      <c r="BD25" s="175">
        <v>5.3E-3</v>
      </c>
      <c r="BE25" s="63"/>
      <c r="BF25" s="83">
        <f t="shared" ref="BF25:BF30" si="5">SUM(BF24+1)</f>
        <v>2025</v>
      </c>
      <c r="BG25" s="339">
        <f>IF(Introduction!$F$19="National Average",_xlfn.XLOOKUP($BF25,$R$7:$R$30,S$7:S$30,"",0),_xlfn.XLOOKUP($BF25,'Utility Cost'!$C$7:$C$30,'Utility Cost'!F$7:F$30,"",0))</f>
        <v>0</v>
      </c>
      <c r="BH25" s="370">
        <f>IF(Introduction!$F$18="National Average",_xlfn.XLOOKUP($BF25,$R$7:$R$30,T$7:T$30,"",0),_xlfn.XLOOKUP($BF25,'Utility Cost'!$C$7:$C$30,'Utility Cost'!E$7:E$30,"",0))</f>
        <v>0</v>
      </c>
    </row>
    <row r="26" spans="1:60" ht="13.5" thickBot="1">
      <c r="A26" s="82"/>
      <c r="B26" s="83">
        <f t="shared" si="4"/>
        <v>2026</v>
      </c>
      <c r="C26" s="95"/>
      <c r="D26" s="95"/>
      <c r="E26" s="94"/>
      <c r="F26" s="82"/>
      <c r="G26" s="147">
        <v>2026</v>
      </c>
      <c r="H26" s="213">
        <v>1.2770064444444416</v>
      </c>
      <c r="I26" s="63"/>
      <c r="J26" s="83">
        <v>2026</v>
      </c>
      <c r="K26" s="174">
        <v>8.3266658988668195E-4</v>
      </c>
      <c r="L26" s="175">
        <v>0.16397461004785846</v>
      </c>
      <c r="M26" s="81"/>
      <c r="N26" s="83">
        <v>2026</v>
      </c>
      <c r="O26" s="307">
        <v>0.60199999999999998</v>
      </c>
      <c r="P26" s="308">
        <v>0.67300000000000004</v>
      </c>
      <c r="Q26" s="81"/>
      <c r="R26" s="136">
        <v>2026</v>
      </c>
      <c r="S26" s="85"/>
      <c r="T26" s="86"/>
      <c r="U26" s="81"/>
      <c r="V26" s="83">
        <v>2026</v>
      </c>
      <c r="W26" s="219">
        <v>16.246358113847855</v>
      </c>
      <c r="X26" s="220">
        <v>13.271239594327337</v>
      </c>
      <c r="Y26" s="81"/>
      <c r="Z26" s="83">
        <v>2026</v>
      </c>
      <c r="AA26" s="346"/>
      <c r="AB26" s="174">
        <f t="shared" si="0"/>
        <v>6.3525559600000005E-4</v>
      </c>
      <c r="AC26" s="175">
        <v>5.3E-3</v>
      </c>
      <c r="AD26" s="63"/>
      <c r="AE26" s="83">
        <v>2026</v>
      </c>
      <c r="AF26" s="231">
        <v>3.0125647647339751</v>
      </c>
      <c r="AG26" s="231">
        <v>3.0125647647339751</v>
      </c>
      <c r="AH26" s="230">
        <v>2.3748159307120358</v>
      </c>
      <c r="AI26" s="63"/>
      <c r="AJ26" s="83">
        <v>2026</v>
      </c>
      <c r="AK26" s="231">
        <v>0.61760586978170551</v>
      </c>
      <c r="AL26" s="336">
        <v>0.94718798886606259</v>
      </c>
      <c r="AM26" s="81"/>
      <c r="AN26" s="217">
        <v>2026</v>
      </c>
      <c r="AO26" s="218">
        <f>IF(Introduction!$F$17="National Average",_xlfn.XLOOKUP($AN26,$V$7:$V$30,W$7:W$30,"",0),_xlfn.XLOOKUP($AN26,'Utility Cost'!$C$7:$C$30,'Utility Cost'!D$7:D$30,"",0))</f>
        <v>0</v>
      </c>
      <c r="AP26" s="218">
        <f>IF(Introduction!$F$20="National Average",_xlfn.XLOOKUP($AN26,$V$7:$V$30,X$7:X$30,"",0),_xlfn.XLOOKUP($AN26,'Utility Cost'!$C$7:$C$30,'Utility Cost'!H$7:H$30,"",0))</f>
        <v>0</v>
      </c>
      <c r="AQ26" s="63"/>
      <c r="AR26" s="83">
        <v>2026</v>
      </c>
      <c r="AS26" s="174" t="e" cm="1">
        <f t="array" ref="AS26">IF(Introduction!$C$17="National Average",'Annual Data'!K26,INDEX('DHW Mix'!$AJ$7:$AS$30,'Annual Data'!AR26-2006,_xlfn.XLOOKUP(Introduction!$C$17,Regions!$B$2:$B$52,Regions!$C$2:$C$52,"",0)))</f>
        <v>#VALUE!</v>
      </c>
      <c r="AT26" s="175" t="e" cm="1">
        <f t="array" ref="AT26">IF(Introduction!$C$17="National Average",'Annual Data'!L26,INDEX('DHW Mix'!$AU$7:$BD$30,'Annual Data'!$AR26-2006,_xlfn.XLOOKUP(Introduction!$C$17,Regions!$B$2:$B$52,Regions!$C$2:$C$52,"",0)))</f>
        <v>#VALUE!</v>
      </c>
      <c r="AU26" s="81"/>
      <c r="AV26" s="83">
        <v>2026</v>
      </c>
      <c r="AW26" s="307" t="e" cm="1">
        <f t="array" ref="AW26">IF(Introduction!$C$17="National Average",O26,INDEX('DHW Mix'!$C$7:$L$30,'Annual Data'!$AV26-2006,_xlfn.XLOOKUP(Introduction!$C$17,Regions!$B$2:$B$52,Regions!$C$2:$C$52,"",0)))</f>
        <v>#VALUE!</v>
      </c>
      <c r="AX26" s="308" t="e" cm="1">
        <f t="array" ref="AX26">IF(Introduction!$C$17="National Average",P26,INDEX('DHW Mix'!$N$7:$W$30,'Annual Data'!$AV26-2006,_xlfn.XLOOKUP(Introduction!$C$17,Regions!$B$2:$B$52,Regions!$C$2:$C$52,"",0)))</f>
        <v>#VALUE!</v>
      </c>
      <c r="AY26" s="81"/>
      <c r="AZ26" s="81"/>
      <c r="BA26" s="83">
        <v>2026</v>
      </c>
      <c r="BB26" s="355" t="e">
        <f>IF(Introduction!$C$17="National Average",'Annual Data'!AA26,_xlfn.XLOOKUP(Introduction!$C$17,lbs_mWh!$C$2:$BA$2,lbs_mWh!C22:BA22))</f>
        <v>#N/A</v>
      </c>
      <c r="BC26" s="353" t="e">
        <f>IF(Introduction!$C$17="National Average",AB26,_xlfn.XLOOKUP(Introduction!$C$17,tons_kWh!$C$2:$BA$2,tons_kWh!C22:BA22))</f>
        <v>#N/A</v>
      </c>
      <c r="BD26" s="175">
        <v>5.3E-3</v>
      </c>
      <c r="BE26" s="63"/>
      <c r="BF26" s="83">
        <f t="shared" si="5"/>
        <v>2026</v>
      </c>
      <c r="BG26" s="339">
        <f>IF(Introduction!$F$19="National Average",_xlfn.XLOOKUP($BF26,$R$7:$R$30,S$7:S$30,"",0),_xlfn.XLOOKUP($BF26,'Utility Cost'!$C$7:$C$30,'Utility Cost'!F$7:F$30,"",0))</f>
        <v>0</v>
      </c>
      <c r="BH26" s="370">
        <f>IF(Introduction!$F$18="National Average",_xlfn.XLOOKUP($BF26,$R$7:$R$30,T$7:T$30,"",0),_xlfn.XLOOKUP($BF26,'Utility Cost'!$C$7:$C$30,'Utility Cost'!E$7:E$30,"",0))</f>
        <v>0</v>
      </c>
    </row>
    <row r="27" spans="1:60" ht="13.5" thickBot="1">
      <c r="A27" s="82"/>
      <c r="B27" s="83">
        <f t="shared" si="4"/>
        <v>2027</v>
      </c>
      <c r="C27" s="95"/>
      <c r="D27" s="95"/>
      <c r="E27" s="94"/>
      <c r="F27" s="82"/>
      <c r="G27" s="147">
        <v>2027</v>
      </c>
      <c r="H27" s="213">
        <v>1.3074224444444462</v>
      </c>
      <c r="I27" s="63"/>
      <c r="J27" s="83">
        <v>2027</v>
      </c>
      <c r="K27" s="174">
        <v>8.3147823448851299E-4</v>
      </c>
      <c r="L27" s="175">
        <v>0.16378884557017853</v>
      </c>
      <c r="M27" s="81"/>
      <c r="N27" s="83">
        <v>2027</v>
      </c>
      <c r="O27" s="307">
        <v>0.60199999999999998</v>
      </c>
      <c r="P27" s="308">
        <v>0.67300000000000004</v>
      </c>
      <c r="Q27" s="81"/>
      <c r="R27" s="136">
        <v>2027</v>
      </c>
      <c r="S27" s="85"/>
      <c r="T27" s="86"/>
      <c r="U27" s="81"/>
      <c r="V27" s="83">
        <v>2027</v>
      </c>
      <c r="W27" s="219">
        <v>16.608860025598883</v>
      </c>
      <c r="X27" s="220">
        <v>13.567358250000019</v>
      </c>
      <c r="Y27" s="81"/>
      <c r="Z27" s="83">
        <v>2027</v>
      </c>
      <c r="AA27" s="346"/>
      <c r="AB27" s="174">
        <f t="shared" si="0"/>
        <v>6.3525559600000005E-4</v>
      </c>
      <c r="AC27" s="175">
        <v>5.3E-3</v>
      </c>
      <c r="AD27" s="63"/>
      <c r="AE27" s="83">
        <v>2027</v>
      </c>
      <c r="AF27" s="231">
        <v>3.0305513039543741</v>
      </c>
      <c r="AG27" s="231">
        <v>3.0305513039543741</v>
      </c>
      <c r="AH27" s="230">
        <v>2.3921465621696534</v>
      </c>
      <c r="AI27" s="63"/>
      <c r="AJ27" s="83">
        <v>2027</v>
      </c>
      <c r="AK27" s="231">
        <v>0.61849089137094204</v>
      </c>
      <c r="AL27" s="336">
        <v>0.94824779792538538</v>
      </c>
      <c r="AM27" s="81"/>
      <c r="AN27" s="217">
        <v>2027</v>
      </c>
      <c r="AO27" s="218">
        <f>IF(Introduction!$F$17="National Average",_xlfn.XLOOKUP($AN27,$V$7:$V$30,W$7:W$30,"",0),_xlfn.XLOOKUP($AN27,'Utility Cost'!$C$7:$C$30,'Utility Cost'!D$7:D$30,"",0))</f>
        <v>0</v>
      </c>
      <c r="AP27" s="218">
        <f>IF(Introduction!$F$20="National Average",_xlfn.XLOOKUP($AN27,$V$7:$V$30,X$7:X$30,"",0),_xlfn.XLOOKUP($AN27,'Utility Cost'!$C$7:$C$30,'Utility Cost'!H$7:H$30,"",0))</f>
        <v>0</v>
      </c>
      <c r="AQ27" s="63"/>
      <c r="AR27" s="83">
        <v>2027</v>
      </c>
      <c r="AS27" s="174" t="e" cm="1">
        <f t="array" ref="AS27">IF(Introduction!$C$17="National Average",'Annual Data'!K27,INDEX('DHW Mix'!$AJ$7:$AS$30,'Annual Data'!AR27-2006,_xlfn.XLOOKUP(Introduction!$C$17,Regions!$B$2:$B$52,Regions!$C$2:$C$52,"",0)))</f>
        <v>#VALUE!</v>
      </c>
      <c r="AT27" s="175" t="e" cm="1">
        <f t="array" ref="AT27">IF(Introduction!$C$17="National Average",'Annual Data'!L27,INDEX('DHW Mix'!$AU$7:$BD$30,'Annual Data'!$AR27-2006,_xlfn.XLOOKUP(Introduction!$C$17,Regions!$B$2:$B$52,Regions!$C$2:$C$52,"",0)))</f>
        <v>#VALUE!</v>
      </c>
      <c r="AU27" s="81"/>
      <c r="AV27" s="83">
        <v>2027</v>
      </c>
      <c r="AW27" s="307" t="e" cm="1">
        <f t="array" ref="AW27">IF(Introduction!$C$17="National Average",O27,INDEX('DHW Mix'!$C$7:$L$30,'Annual Data'!$AV27-2006,_xlfn.XLOOKUP(Introduction!$C$17,Regions!$B$2:$B$52,Regions!$C$2:$C$52,"",0)))</f>
        <v>#VALUE!</v>
      </c>
      <c r="AX27" s="308" t="e" cm="1">
        <f t="array" ref="AX27">IF(Introduction!$C$17="National Average",P27,INDEX('DHW Mix'!$N$7:$W$30,'Annual Data'!$AV27-2006,_xlfn.XLOOKUP(Introduction!$C$17,Regions!$B$2:$B$52,Regions!$C$2:$C$52,"",0)))</f>
        <v>#VALUE!</v>
      </c>
      <c r="AY27" s="81"/>
      <c r="AZ27" s="81"/>
      <c r="BA27" s="83">
        <v>2027</v>
      </c>
      <c r="BB27" s="355" t="e">
        <f>IF(Introduction!$C$17="National Average",'Annual Data'!AA27,_xlfn.XLOOKUP(Introduction!$C$17,lbs_mWh!$C$2:$BA$2,lbs_mWh!C23:BA23))</f>
        <v>#N/A</v>
      </c>
      <c r="BC27" s="353" t="e">
        <f>IF(Introduction!$C$17="National Average",AB27,_xlfn.XLOOKUP(Introduction!$C$17,tons_kWh!$C$2:$BA$2,tons_kWh!C23:BA23))</f>
        <v>#N/A</v>
      </c>
      <c r="BD27" s="175">
        <v>5.3E-3</v>
      </c>
      <c r="BE27" s="63"/>
      <c r="BF27" s="83">
        <f t="shared" si="5"/>
        <v>2027</v>
      </c>
      <c r="BG27" s="339">
        <f>IF(Introduction!$F$19="National Average",_xlfn.XLOOKUP($BF27,$R$7:$R$30,S$7:S$30,"",0),_xlfn.XLOOKUP($BF27,'Utility Cost'!$C$7:$C$30,'Utility Cost'!F$7:F$30,"",0))</f>
        <v>0</v>
      </c>
      <c r="BH27" s="370">
        <f>IF(Introduction!$F$18="National Average",_xlfn.XLOOKUP($BF27,$R$7:$R$30,T$7:T$30,"",0),_xlfn.XLOOKUP($BF27,'Utility Cost'!$C$7:$C$30,'Utility Cost'!E$7:E$30,"",0))</f>
        <v>0</v>
      </c>
    </row>
    <row r="28" spans="1:60" ht="13.5" thickBot="1">
      <c r="A28" s="82"/>
      <c r="B28" s="83">
        <f t="shared" si="4"/>
        <v>2028</v>
      </c>
      <c r="C28" s="93"/>
      <c r="D28" s="84"/>
      <c r="E28" s="94"/>
      <c r="F28" s="82"/>
      <c r="G28" s="147">
        <v>2028</v>
      </c>
      <c r="H28" s="213">
        <v>1.3378384444444418</v>
      </c>
      <c r="I28" s="63"/>
      <c r="J28" s="83">
        <v>2028</v>
      </c>
      <c r="K28" s="174">
        <v>8.3062375779313798E-4</v>
      </c>
      <c r="L28" s="175">
        <v>0.16365681285491424</v>
      </c>
      <c r="M28" s="81"/>
      <c r="N28" s="83">
        <v>2028</v>
      </c>
      <c r="O28" s="307">
        <v>0.60199999999999998</v>
      </c>
      <c r="P28" s="308">
        <v>0.67300000000000004</v>
      </c>
      <c r="Q28" s="81"/>
      <c r="R28" s="136">
        <v>2028</v>
      </c>
      <c r="S28" s="85"/>
      <c r="T28" s="86"/>
      <c r="U28" s="81"/>
      <c r="V28" s="83">
        <v>2028</v>
      </c>
      <c r="W28" s="219">
        <v>16.877495030074098</v>
      </c>
      <c r="X28" s="220">
        <v>13.786799399999969</v>
      </c>
      <c r="Y28" s="81"/>
      <c r="Z28" s="83">
        <v>2028</v>
      </c>
      <c r="AA28" s="346"/>
      <c r="AB28" s="174">
        <f t="shared" si="0"/>
        <v>6.3525559600000005E-4</v>
      </c>
      <c r="AC28" s="175">
        <v>5.3E-3</v>
      </c>
      <c r="AD28" s="63"/>
      <c r="AE28" s="83">
        <v>2028</v>
      </c>
      <c r="AF28" s="231">
        <v>3.0490176219028688</v>
      </c>
      <c r="AG28" s="231">
        <v>3.0490176219028688</v>
      </c>
      <c r="AH28" s="230">
        <v>2.4105077878619521</v>
      </c>
      <c r="AI28" s="63"/>
      <c r="AJ28" s="83">
        <v>2028</v>
      </c>
      <c r="AK28" s="231">
        <v>0.61912847619336187</v>
      </c>
      <c r="AL28" s="336">
        <v>0.94899874938882112</v>
      </c>
      <c r="AM28" s="81"/>
      <c r="AN28" s="217">
        <v>2028</v>
      </c>
      <c r="AO28" s="218">
        <f>IF(Introduction!$F$17="National Average",_xlfn.XLOOKUP($AN28,$V$7:$V$30,W$7:W$30,"",0),_xlfn.XLOOKUP($AN28,'Utility Cost'!$C$7:$C$30,'Utility Cost'!D$7:D$30,"",0))</f>
        <v>0</v>
      </c>
      <c r="AP28" s="218">
        <f>IF(Introduction!$F$20="National Average",_xlfn.XLOOKUP($AN28,$V$7:$V$30,X$7:X$30,"",0),_xlfn.XLOOKUP($AN28,'Utility Cost'!$C$7:$C$30,'Utility Cost'!H$7:H$30,"",0))</f>
        <v>0</v>
      </c>
      <c r="AQ28" s="63"/>
      <c r="AR28" s="83">
        <v>2028</v>
      </c>
      <c r="AS28" s="174" t="e" cm="1">
        <f t="array" ref="AS28">IF(Introduction!$C$17="National Average",'Annual Data'!K28,INDEX('DHW Mix'!$AJ$7:$AS$30,'Annual Data'!AR28-2006,_xlfn.XLOOKUP(Introduction!$C$17,Regions!$B$2:$B$52,Regions!$C$2:$C$52,"",0)))</f>
        <v>#VALUE!</v>
      </c>
      <c r="AT28" s="175" t="e" cm="1">
        <f t="array" ref="AT28">IF(Introduction!$C$17="National Average",'Annual Data'!L28,INDEX('DHW Mix'!$AU$7:$BD$30,'Annual Data'!$AR28-2006,_xlfn.XLOOKUP(Introduction!$C$17,Regions!$B$2:$B$52,Regions!$C$2:$C$52,"",0)))</f>
        <v>#VALUE!</v>
      </c>
      <c r="AU28" s="81"/>
      <c r="AV28" s="83">
        <v>2028</v>
      </c>
      <c r="AW28" s="307" t="e" cm="1">
        <f t="array" ref="AW28">IF(Introduction!$C$17="National Average",O28,INDEX('DHW Mix'!$C$7:$L$30,'Annual Data'!$AV28-2006,_xlfn.XLOOKUP(Introduction!$C$17,Regions!$B$2:$B$52,Regions!$C$2:$C$52,"",0)))</f>
        <v>#VALUE!</v>
      </c>
      <c r="AX28" s="308" t="e" cm="1">
        <f t="array" ref="AX28">IF(Introduction!$C$17="National Average",P28,INDEX('DHW Mix'!$N$7:$W$30,'Annual Data'!$AV28-2006,_xlfn.XLOOKUP(Introduction!$C$17,Regions!$B$2:$B$52,Regions!$C$2:$C$52,"",0)))</f>
        <v>#VALUE!</v>
      </c>
      <c r="AY28" s="81"/>
      <c r="AZ28" s="81"/>
      <c r="BA28" s="83">
        <v>2028</v>
      </c>
      <c r="BB28" s="355" t="e">
        <f>IF(Introduction!$C$17="National Average",'Annual Data'!AA28,_xlfn.XLOOKUP(Introduction!$C$17,lbs_mWh!$C$2:$BA$2,lbs_mWh!C24:BA24))</f>
        <v>#N/A</v>
      </c>
      <c r="BC28" s="353" t="e">
        <f>IF(Introduction!$C$17="National Average",AB28,_xlfn.XLOOKUP(Introduction!$C$17,tons_kWh!$C$2:$BA$2,tons_kWh!C24:BA24))</f>
        <v>#N/A</v>
      </c>
      <c r="BD28" s="175">
        <v>5.3E-3</v>
      </c>
      <c r="BE28" s="63"/>
      <c r="BF28" s="83">
        <f t="shared" si="5"/>
        <v>2028</v>
      </c>
      <c r="BG28" s="339">
        <f>IF(Introduction!$F$19="National Average",_xlfn.XLOOKUP($BF28,$R$7:$R$30,S$7:S$30,"",0),_xlfn.XLOOKUP($BF28,'Utility Cost'!$C$7:$C$30,'Utility Cost'!F$7:F$30,"",0))</f>
        <v>0</v>
      </c>
      <c r="BH28" s="370">
        <f>IF(Introduction!$F$18="National Average",_xlfn.XLOOKUP($BF28,$R$7:$R$30,T$7:T$30,"",0),_xlfn.XLOOKUP($BF28,'Utility Cost'!$C$7:$C$30,'Utility Cost'!E$7:E$30,"",0))</f>
        <v>0</v>
      </c>
    </row>
    <row r="29" spans="1:60" ht="13.5" thickBot="1">
      <c r="A29" s="82"/>
      <c r="B29" s="83">
        <f t="shared" si="4"/>
        <v>2029</v>
      </c>
      <c r="C29" s="93"/>
      <c r="D29" s="84"/>
      <c r="E29" s="94"/>
      <c r="F29" s="82"/>
      <c r="G29" s="147">
        <v>2029</v>
      </c>
      <c r="H29" s="213">
        <v>1.3682544444444467</v>
      </c>
      <c r="I29" s="63"/>
      <c r="J29" s="83">
        <v>2029</v>
      </c>
      <c r="K29" s="174">
        <v>8.3004834543765115E-4</v>
      </c>
      <c r="L29" s="175">
        <v>0.16356879352019257</v>
      </c>
      <c r="M29" s="81"/>
      <c r="N29" s="83">
        <v>2029</v>
      </c>
      <c r="O29" s="307">
        <v>0.60199999999999998</v>
      </c>
      <c r="P29" s="308">
        <v>0.67300000000000004</v>
      </c>
      <c r="Q29" s="81"/>
      <c r="R29" s="136">
        <v>2029</v>
      </c>
      <c r="S29" s="85"/>
      <c r="T29" s="86"/>
      <c r="U29" s="81"/>
      <c r="V29" s="83">
        <v>2029</v>
      </c>
      <c r="W29" s="219">
        <v>17.146130034549422</v>
      </c>
      <c r="X29" s="220">
        <v>14.006240550000005</v>
      </c>
      <c r="Y29" s="81"/>
      <c r="Z29" s="83">
        <v>2029</v>
      </c>
      <c r="AA29" s="346"/>
      <c r="AB29" s="174">
        <f t="shared" si="0"/>
        <v>6.3525559600000005E-4</v>
      </c>
      <c r="AC29" s="175">
        <v>5.3E-3</v>
      </c>
      <c r="AD29" s="63"/>
      <c r="AE29" s="83">
        <v>2029</v>
      </c>
      <c r="AF29" s="231">
        <v>3.0678366660880756</v>
      </c>
      <c r="AG29" s="231">
        <v>3.0678366660880756</v>
      </c>
      <c r="AH29" s="230">
        <v>2.4293261882390031</v>
      </c>
      <c r="AI29" s="63"/>
      <c r="AJ29" s="83">
        <v>2029</v>
      </c>
      <c r="AK29" s="231">
        <v>0.61955832805584476</v>
      </c>
      <c r="AL29" s="336">
        <v>0.94949744862020236</v>
      </c>
      <c r="AM29" s="81"/>
      <c r="AN29" s="217">
        <v>2029</v>
      </c>
      <c r="AO29" s="218">
        <f>IF(Introduction!$F$17="National Average",_xlfn.XLOOKUP($AN29,$V$7:$V$30,W$7:W$30,"",0),_xlfn.XLOOKUP($AN29,'Utility Cost'!$C$7:$C$30,'Utility Cost'!D$7:D$30,"",0))</f>
        <v>0</v>
      </c>
      <c r="AP29" s="218">
        <f>IF(Introduction!$F$20="National Average",_xlfn.XLOOKUP($AN29,$V$7:$V$30,X$7:X$30,"",0),_xlfn.XLOOKUP($AN29,'Utility Cost'!$C$7:$C$30,'Utility Cost'!H$7:H$30,"",0))</f>
        <v>0</v>
      </c>
      <c r="AQ29" s="63"/>
      <c r="AR29" s="83">
        <v>2029</v>
      </c>
      <c r="AS29" s="174" t="e" cm="1">
        <f t="array" ref="AS29">IF(Introduction!$C$17="National Average",'Annual Data'!K29,INDEX('DHW Mix'!$AJ$7:$AS$30,'Annual Data'!AR29-2006,_xlfn.XLOOKUP(Introduction!$C$17,Regions!$B$2:$B$52,Regions!$C$2:$C$52,"",0)))</f>
        <v>#VALUE!</v>
      </c>
      <c r="AT29" s="175" t="e" cm="1">
        <f t="array" ref="AT29">IF(Introduction!$C$17="National Average",'Annual Data'!L29,INDEX('DHW Mix'!$AU$7:$BD$30,'Annual Data'!$AR29-2006,_xlfn.XLOOKUP(Introduction!$C$17,Regions!$B$2:$B$52,Regions!$C$2:$C$52,"",0)))</f>
        <v>#VALUE!</v>
      </c>
      <c r="AU29" s="81"/>
      <c r="AV29" s="83">
        <v>2029</v>
      </c>
      <c r="AW29" s="307" t="e" cm="1">
        <f t="array" ref="AW29">IF(Introduction!$C$17="National Average",O29,INDEX('DHW Mix'!$C$7:$L$30,'Annual Data'!$AV29-2006,_xlfn.XLOOKUP(Introduction!$C$17,Regions!$B$2:$B$52,Regions!$C$2:$C$52,"",0)))</f>
        <v>#VALUE!</v>
      </c>
      <c r="AX29" s="308" t="e" cm="1">
        <f t="array" ref="AX29">IF(Introduction!$C$17="National Average",P29,INDEX('DHW Mix'!$N$7:$W$30,'Annual Data'!$AV29-2006,_xlfn.XLOOKUP(Introduction!$C$17,Regions!$B$2:$B$52,Regions!$C$2:$C$52,"",0)))</f>
        <v>#VALUE!</v>
      </c>
      <c r="AY29" s="81"/>
      <c r="AZ29" s="81"/>
      <c r="BA29" s="83">
        <v>2029</v>
      </c>
      <c r="BB29" s="355" t="e">
        <f>IF(Introduction!$C$17="National Average",'Annual Data'!AA29,_xlfn.XLOOKUP(Introduction!$C$17,lbs_mWh!$C$2:$BA$2,lbs_mWh!C25:BA25))</f>
        <v>#N/A</v>
      </c>
      <c r="BC29" s="353" t="e">
        <f>IF(Introduction!$C$17="National Average",AB29,_xlfn.XLOOKUP(Introduction!$C$17,tons_kWh!$C$2:$BA$2,tons_kWh!C25:BA25))</f>
        <v>#N/A</v>
      </c>
      <c r="BD29" s="175">
        <v>5.3E-3</v>
      </c>
      <c r="BE29" s="63"/>
      <c r="BF29" s="83">
        <f t="shared" si="5"/>
        <v>2029</v>
      </c>
      <c r="BG29" s="339">
        <f>IF(Introduction!$F$19="National Average",_xlfn.XLOOKUP($BF29,$R$7:$R$30,S$7:S$30,"",0),_xlfn.XLOOKUP($BF29,'Utility Cost'!$C$7:$C$30,'Utility Cost'!F$7:F$30,"",0))</f>
        <v>0</v>
      </c>
      <c r="BH29" s="370">
        <f>IF(Introduction!$F$18="National Average",_xlfn.XLOOKUP($BF29,$R$7:$R$30,T$7:T$30,"",0),_xlfn.XLOOKUP($BF29,'Utility Cost'!$C$7:$C$30,'Utility Cost'!E$7:E$30,"",0))</f>
        <v>0</v>
      </c>
    </row>
    <row r="30" spans="1:60" ht="13.5" thickBot="1">
      <c r="A30" s="82"/>
      <c r="B30" s="87">
        <f t="shared" si="4"/>
        <v>2030</v>
      </c>
      <c r="C30" s="96"/>
      <c r="D30" s="97"/>
      <c r="E30" s="98"/>
      <c r="F30" s="82"/>
      <c r="G30" s="148">
        <v>2030</v>
      </c>
      <c r="H30" s="315">
        <v>1.3986704444444422</v>
      </c>
      <c r="I30" s="63"/>
      <c r="J30" s="87">
        <v>2030</v>
      </c>
      <c r="K30" s="176">
        <v>8.2969764070861334E-4</v>
      </c>
      <c r="L30" s="177">
        <v>0.1635156179334224</v>
      </c>
      <c r="M30" s="81"/>
      <c r="N30" s="87">
        <v>2030</v>
      </c>
      <c r="O30" s="309">
        <v>0.60199999999999998</v>
      </c>
      <c r="P30" s="310">
        <v>0.67300000000000004</v>
      </c>
      <c r="Q30" s="81"/>
      <c r="R30" s="136">
        <v>2030</v>
      </c>
      <c r="S30" s="88"/>
      <c r="T30" s="89"/>
      <c r="U30" s="81"/>
      <c r="V30" s="87">
        <v>2030</v>
      </c>
      <c r="W30" s="222">
        <v>17.414765039024743</v>
      </c>
      <c r="X30" s="223">
        <v>14.225681700000042</v>
      </c>
      <c r="Y30" s="81"/>
      <c r="Z30" s="87">
        <v>2030</v>
      </c>
      <c r="AA30" s="347"/>
      <c r="AB30" s="176">
        <f t="shared" si="0"/>
        <v>6.3525559600000005E-4</v>
      </c>
      <c r="AC30" s="177">
        <v>5.3E-3</v>
      </c>
      <c r="AD30" s="63"/>
      <c r="AE30" s="87">
        <v>2030</v>
      </c>
      <c r="AF30" s="232">
        <v>3.0870709814161881</v>
      </c>
      <c r="AG30" s="232">
        <v>3.0870709814161881</v>
      </c>
      <c r="AH30" s="233">
        <v>2.4469031092994626</v>
      </c>
      <c r="AI30" s="63"/>
      <c r="AJ30" s="87">
        <v>2030</v>
      </c>
      <c r="AK30" s="232">
        <v>0.61982046355267439</v>
      </c>
      <c r="AL30" s="337">
        <v>0.94979731595828387</v>
      </c>
      <c r="AM30" s="81"/>
      <c r="AN30" s="221">
        <v>2030</v>
      </c>
      <c r="AO30" s="218">
        <f>IF(Introduction!$F$17="National Average",_xlfn.XLOOKUP($AN30,$V$7:$V$30,W$7:W$30,"",0),_xlfn.XLOOKUP($AN30,'Utility Cost'!$C$7:$C$30,'Utility Cost'!D$7:D$30,"",0))</f>
        <v>0</v>
      </c>
      <c r="AP30" s="218">
        <f>IF(Introduction!$F$20="National Average",_xlfn.XLOOKUP($AN30,$V$7:$V$30,X$7:X$30,"",0),_xlfn.XLOOKUP($AN30,'Utility Cost'!$C$7:$C$30,'Utility Cost'!H$7:H$30,"",0))</f>
        <v>0</v>
      </c>
      <c r="AQ30" s="63"/>
      <c r="AR30" s="87">
        <v>2030</v>
      </c>
      <c r="AS30" s="176" t="e" cm="1">
        <f t="array" ref="AS30">IF(Introduction!$C$17="National Average",'Annual Data'!K30,INDEX('DHW Mix'!$AJ$7:$AS$30,'Annual Data'!AR30-2006,_xlfn.XLOOKUP(Introduction!$C$17,Regions!$B$2:$B$52,Regions!$C$2:$C$52,"",0)))</f>
        <v>#VALUE!</v>
      </c>
      <c r="AT30" s="177" t="e" cm="1">
        <f t="array" ref="AT30">IF(Introduction!$C$17="National Average",'Annual Data'!L30,INDEX('DHW Mix'!$AU$7:$BD$30,'Annual Data'!$AR30-2006,_xlfn.XLOOKUP(Introduction!$C$17,Regions!$B$2:$B$52,Regions!$C$2:$C$52,"",0)))</f>
        <v>#VALUE!</v>
      </c>
      <c r="AU30" s="81"/>
      <c r="AV30" s="87">
        <v>2030</v>
      </c>
      <c r="AW30" s="309" t="e" cm="1">
        <f t="array" ref="AW30">IF(Introduction!$C$17="National Average",O30,INDEX('DHW Mix'!$C$7:$L$30,'Annual Data'!$AV30-2006,_xlfn.XLOOKUP(Introduction!$C$17,Regions!$B$2:$B$52,Regions!$C$2:$C$52,"",0)))</f>
        <v>#VALUE!</v>
      </c>
      <c r="AX30" s="310" t="e" cm="1">
        <f t="array" ref="AX30">IF(Introduction!$C$17="National Average",P30,INDEX('DHW Mix'!$N$7:$W$30,'Annual Data'!$AV30-2006,_xlfn.XLOOKUP(Introduction!$C$17,Regions!$B$2:$B$52,Regions!$C$2:$C$52,"",0)))</f>
        <v>#VALUE!</v>
      </c>
      <c r="AY30" s="81"/>
      <c r="AZ30" s="81"/>
      <c r="BA30" s="87">
        <v>2030</v>
      </c>
      <c r="BB30" s="356" t="e">
        <f>IF(Introduction!$C$17="National Average",'Annual Data'!AA30,_xlfn.XLOOKUP(Introduction!$C$17,lbs_mWh!$C$2:$BA$2,lbs_mWh!C26:BA26))</f>
        <v>#N/A</v>
      </c>
      <c r="BC30" s="357" t="e">
        <f>IF(Introduction!$C$17="National Average",AB30,_xlfn.XLOOKUP(Introduction!$C$17,tons_kWh!$C$2:$BA$2,tons_kWh!C26:BA26))</f>
        <v>#N/A</v>
      </c>
      <c r="BD30" s="177">
        <v>5.3E-3</v>
      </c>
      <c r="BE30" s="63"/>
      <c r="BF30" s="87">
        <f t="shared" si="5"/>
        <v>2030</v>
      </c>
      <c r="BG30" s="371">
        <f>IF(Introduction!$F$19="National Average",_xlfn.XLOOKUP($BF30,$R$7:$R$30,S$7:S$30,"",0),_xlfn.XLOOKUP($BF30,'Utility Cost'!$C$7:$C$30,'Utility Cost'!F$7:F$30,"",0))</f>
        <v>0</v>
      </c>
      <c r="BH30" s="372">
        <f>IF(Introduction!$F$18="National Average",_xlfn.XLOOKUP($BF30,$R$7:$R$30,T$7:T$30,"",0),_xlfn.XLOOKUP($BF30,'Utility Cost'!$C$7:$C$30,'Utility Cost'!E$7:E$30,"",0))</f>
        <v>0</v>
      </c>
    </row>
    <row r="31" spans="1:60">
      <c r="A31" s="63"/>
      <c r="B31" s="63"/>
      <c r="C31" s="65"/>
      <c r="D31" s="63"/>
      <c r="E31" s="63"/>
      <c r="F31" s="63"/>
      <c r="G31" s="63"/>
      <c r="H31" s="63"/>
      <c r="I31" s="63"/>
      <c r="J31" s="81"/>
      <c r="K31" s="81"/>
      <c r="L31" s="81"/>
      <c r="M31" s="81"/>
      <c r="N31" s="81"/>
      <c r="O31" s="81"/>
      <c r="P31" s="81"/>
      <c r="Q31" s="81"/>
      <c r="R31" s="81"/>
      <c r="S31" s="81"/>
      <c r="T31" s="81"/>
      <c r="U31" s="81"/>
      <c r="V31" s="81"/>
      <c r="W31" s="81"/>
      <c r="X31" s="81"/>
      <c r="Y31" s="81"/>
      <c r="AD31" s="63"/>
      <c r="AE31" s="63"/>
      <c r="AF31" s="63"/>
      <c r="AG31" s="63"/>
      <c r="AH31" s="63"/>
      <c r="AI31" s="63"/>
      <c r="AJ31" s="63"/>
      <c r="AK31" s="63"/>
      <c r="AL31" s="63"/>
      <c r="AM31" s="81"/>
      <c r="AN31" s="63"/>
      <c r="AO31" s="215"/>
      <c r="AP31" s="215"/>
      <c r="AQ31" s="63"/>
      <c r="AR31" s="63"/>
      <c r="AS31" s="63"/>
      <c r="AT31" s="63"/>
      <c r="AU31" s="63"/>
      <c r="AV31" s="63"/>
      <c r="AW31" s="63"/>
      <c r="AX31" s="63"/>
      <c r="AY31" s="63"/>
      <c r="AZ31" s="81"/>
      <c r="BA31" s="81"/>
      <c r="BB31" s="81"/>
      <c r="BC31" s="81"/>
      <c r="BD31" s="81"/>
      <c r="BE31" s="63"/>
      <c r="BF31" s="63"/>
      <c r="BG31" s="81"/>
      <c r="BH31" s="81"/>
    </row>
    <row r="32" spans="1:60">
      <c r="A32" s="63"/>
      <c r="B32" s="63"/>
      <c r="C32" s="65"/>
      <c r="D32" s="63"/>
      <c r="E32" s="63"/>
      <c r="F32" s="63"/>
      <c r="G32" s="63"/>
      <c r="H32" s="63"/>
      <c r="I32" s="63"/>
      <c r="J32" s="81"/>
      <c r="K32" s="81"/>
      <c r="L32" s="81"/>
      <c r="M32" s="81"/>
      <c r="N32" s="81"/>
      <c r="O32" s="81"/>
      <c r="P32" s="81"/>
      <c r="Q32" s="81"/>
      <c r="R32" s="81"/>
      <c r="S32" s="81"/>
      <c r="T32" s="81"/>
      <c r="U32" s="81"/>
      <c r="V32" s="81"/>
      <c r="W32" s="81"/>
      <c r="X32" s="81"/>
      <c r="Y32" s="81"/>
      <c r="AD32" s="63"/>
      <c r="AE32" s="63"/>
      <c r="AF32" s="63"/>
      <c r="AG32" s="63"/>
      <c r="AH32" s="63"/>
      <c r="AI32" s="63"/>
      <c r="AJ32" s="63"/>
      <c r="AK32" s="63"/>
      <c r="AL32" s="63"/>
      <c r="AM32" s="81"/>
      <c r="AN32" s="63"/>
      <c r="AO32" s="215"/>
      <c r="AP32" s="215"/>
      <c r="AQ32" s="63"/>
      <c r="AR32" s="63"/>
      <c r="AS32" s="63"/>
      <c r="AT32" s="63"/>
      <c r="AU32" s="63"/>
      <c r="AV32" s="63"/>
      <c r="AW32" s="63"/>
      <c r="AX32" s="63"/>
      <c r="AY32" s="63"/>
      <c r="AZ32" s="81"/>
      <c r="BA32" s="81"/>
      <c r="BB32" s="81"/>
      <c r="BC32" s="81"/>
      <c r="BD32" s="81"/>
      <c r="BE32" s="63"/>
      <c r="BF32" s="63"/>
      <c r="BG32" s="81"/>
      <c r="BH32" s="81"/>
    </row>
    <row r="33" spans="1:60">
      <c r="A33" s="63"/>
      <c r="B33" s="63"/>
      <c r="C33" s="65"/>
      <c r="D33" s="63"/>
      <c r="E33" s="63"/>
      <c r="F33" s="63"/>
      <c r="G33" s="63"/>
      <c r="H33" s="63"/>
      <c r="I33" s="63"/>
      <c r="J33" s="81"/>
      <c r="K33" s="81"/>
      <c r="L33" s="81"/>
      <c r="M33" s="81"/>
      <c r="N33" s="81"/>
      <c r="O33" s="81"/>
      <c r="P33" s="81"/>
      <c r="Q33" s="81"/>
      <c r="R33" s="81"/>
      <c r="S33" s="81"/>
      <c r="T33" s="81"/>
      <c r="U33" s="81"/>
      <c r="V33" s="81"/>
      <c r="W33" s="81"/>
      <c r="X33" s="81"/>
      <c r="Y33" s="81"/>
      <c r="AD33" s="63"/>
      <c r="AE33" s="63"/>
      <c r="AF33" s="63"/>
      <c r="AG33" s="63"/>
      <c r="AH33" s="63"/>
      <c r="AI33" s="63"/>
      <c r="AJ33" s="63"/>
      <c r="AK33" s="63"/>
      <c r="AL33" s="63"/>
      <c r="AM33" s="81"/>
      <c r="AN33" s="63"/>
      <c r="AO33" s="215"/>
      <c r="AP33" s="215"/>
      <c r="AQ33" s="63"/>
      <c r="AR33" s="63"/>
      <c r="AS33" s="63"/>
      <c r="AT33" s="63"/>
      <c r="AU33" s="63"/>
      <c r="AV33" s="63"/>
      <c r="AW33" s="63"/>
      <c r="AX33" s="63"/>
      <c r="AY33" s="63"/>
      <c r="AZ33" s="81"/>
      <c r="BA33" s="81"/>
      <c r="BB33" s="81"/>
      <c r="BC33" s="81"/>
      <c r="BD33" s="81"/>
      <c r="BE33" s="63"/>
      <c r="BF33" s="63"/>
      <c r="BG33" s="63"/>
      <c r="BH33" s="63"/>
    </row>
    <row r="34" spans="1:60">
      <c r="A34" s="63"/>
      <c r="B34" s="63"/>
      <c r="C34" s="65"/>
      <c r="D34" s="63"/>
      <c r="E34" s="63"/>
      <c r="F34" s="63"/>
      <c r="G34" s="63"/>
      <c r="H34" s="63"/>
      <c r="I34" s="63"/>
      <c r="J34" s="81"/>
      <c r="K34" s="81"/>
      <c r="L34" s="81"/>
      <c r="M34" s="81"/>
      <c r="N34" s="81"/>
      <c r="O34" s="81"/>
      <c r="P34" s="81"/>
      <c r="Q34" s="81"/>
      <c r="R34" s="81"/>
      <c r="S34" s="81"/>
      <c r="T34" s="81"/>
      <c r="U34" s="81"/>
      <c r="V34" s="81"/>
      <c r="W34" s="81"/>
      <c r="X34" s="81"/>
      <c r="Y34" s="81"/>
      <c r="AD34" s="63"/>
      <c r="AE34" s="63"/>
      <c r="AF34" s="63"/>
      <c r="AG34" s="63"/>
      <c r="AH34" s="63"/>
      <c r="AI34" s="63"/>
      <c r="AJ34" s="63"/>
      <c r="AK34" s="63"/>
      <c r="AL34" s="63"/>
      <c r="AM34" s="81"/>
      <c r="AN34" s="63"/>
      <c r="AO34" s="215"/>
      <c r="AP34" s="215"/>
      <c r="AQ34" s="63"/>
      <c r="AR34" s="63"/>
      <c r="AS34" s="63"/>
      <c r="AT34" s="63"/>
      <c r="AU34" s="63"/>
      <c r="AV34" s="63"/>
      <c r="AW34" s="63"/>
      <c r="AX34" s="63"/>
      <c r="AY34" s="63"/>
      <c r="AZ34" s="81"/>
      <c r="BA34" s="81"/>
      <c r="BB34" s="81"/>
      <c r="BC34" s="81"/>
      <c r="BD34" s="81"/>
      <c r="BE34" s="63"/>
      <c r="BF34" s="63"/>
      <c r="BG34" s="63"/>
      <c r="BH34" s="63"/>
    </row>
    <row r="35" spans="1:60">
      <c r="A35" s="63"/>
      <c r="B35" s="63"/>
      <c r="C35" s="63"/>
      <c r="D35" s="63"/>
      <c r="E35" s="63"/>
      <c r="F35" s="63"/>
      <c r="G35" s="63"/>
      <c r="H35" s="63"/>
      <c r="I35" s="63"/>
      <c r="J35" s="81"/>
      <c r="K35" s="81"/>
      <c r="L35" s="81"/>
      <c r="M35" s="81"/>
      <c r="N35" s="81"/>
      <c r="O35" s="81"/>
      <c r="P35" s="81"/>
      <c r="Q35" s="81"/>
      <c r="R35" s="81"/>
      <c r="S35" s="81"/>
      <c r="T35" s="81"/>
      <c r="U35" s="81"/>
      <c r="V35" s="81"/>
      <c r="W35" s="81"/>
      <c r="X35" s="81"/>
      <c r="Y35" s="81"/>
      <c r="AD35" s="63"/>
      <c r="AE35" s="63"/>
      <c r="AF35" s="63"/>
      <c r="AG35" s="63"/>
      <c r="AH35" s="63"/>
      <c r="AI35" s="63"/>
      <c r="AJ35" s="63"/>
      <c r="AK35" s="63"/>
      <c r="AL35" s="63"/>
      <c r="AM35" s="81"/>
      <c r="AN35" s="63"/>
      <c r="AO35" s="215"/>
      <c r="AP35" s="215"/>
      <c r="AQ35" s="63"/>
      <c r="AR35" s="63"/>
      <c r="AS35" s="63"/>
      <c r="AT35" s="63"/>
      <c r="AU35" s="63"/>
      <c r="AV35" s="63"/>
      <c r="AW35" s="63"/>
      <c r="AX35" s="63"/>
      <c r="AY35" s="63"/>
      <c r="AZ35" s="81"/>
      <c r="BA35" s="81"/>
      <c r="BB35" s="81"/>
      <c r="BC35" s="81"/>
      <c r="BD35" s="81"/>
      <c r="BE35" s="63"/>
      <c r="BF35" s="63"/>
      <c r="BG35" s="81"/>
      <c r="BH35" s="81"/>
    </row>
    <row r="36" spans="1:60">
      <c r="A36" s="63"/>
      <c r="B36" s="63"/>
      <c r="C36" s="63"/>
      <c r="D36" s="63"/>
      <c r="E36" s="63"/>
      <c r="F36" s="63"/>
      <c r="G36" s="63"/>
      <c r="H36" s="63"/>
      <c r="I36" s="63"/>
      <c r="J36" s="81"/>
      <c r="K36" s="81"/>
      <c r="L36" s="81"/>
      <c r="M36" s="81"/>
      <c r="N36" s="81"/>
      <c r="O36" s="81"/>
      <c r="P36" s="81"/>
      <c r="Q36" s="81"/>
      <c r="R36" s="81"/>
      <c r="S36" s="81"/>
      <c r="T36" s="81"/>
      <c r="U36" s="81"/>
      <c r="V36" s="81"/>
      <c r="W36" s="81"/>
      <c r="X36" s="81"/>
      <c r="Y36" s="81"/>
      <c r="AD36" s="63"/>
      <c r="AE36" s="63"/>
      <c r="AF36" s="63"/>
      <c r="AG36" s="63"/>
      <c r="AH36" s="63"/>
      <c r="AI36" s="63"/>
      <c r="AJ36" s="63"/>
      <c r="AK36" s="63"/>
      <c r="AL36" s="63"/>
      <c r="AM36" s="81"/>
      <c r="AN36" s="63"/>
      <c r="AO36" s="215"/>
      <c r="AP36" s="215"/>
      <c r="AQ36" s="63"/>
      <c r="AR36" s="63"/>
      <c r="AS36" s="63"/>
      <c r="AT36" s="63"/>
      <c r="AU36" s="63"/>
      <c r="AV36" s="63"/>
      <c r="AW36" s="63"/>
      <c r="AX36" s="63"/>
      <c r="AY36" s="63"/>
      <c r="AZ36" s="81"/>
      <c r="BA36" s="81"/>
      <c r="BB36" s="81"/>
      <c r="BC36" s="81"/>
      <c r="BD36" s="81"/>
      <c r="BE36" s="63"/>
      <c r="BF36" s="63"/>
      <c r="BG36" s="81"/>
      <c r="BH36" s="81"/>
    </row>
    <row r="37" spans="1:60">
      <c r="A37" s="63"/>
      <c r="B37" s="63"/>
      <c r="C37" s="63"/>
      <c r="D37" s="63"/>
      <c r="E37" s="63"/>
      <c r="F37" s="63"/>
      <c r="G37" s="63"/>
      <c r="H37" s="63"/>
      <c r="I37" s="63"/>
      <c r="J37" s="81"/>
      <c r="K37" s="81"/>
      <c r="L37" s="81"/>
      <c r="M37" s="81"/>
      <c r="N37" s="81"/>
      <c r="O37" s="81"/>
      <c r="P37" s="81"/>
      <c r="Q37" s="81"/>
      <c r="R37" s="81"/>
      <c r="S37" s="81"/>
      <c r="T37" s="81"/>
      <c r="U37" s="81"/>
      <c r="V37" s="81"/>
      <c r="W37" s="81"/>
      <c r="X37" s="81"/>
      <c r="Y37" s="81"/>
      <c r="AD37" s="63"/>
      <c r="AE37" s="63"/>
      <c r="AF37" s="63"/>
      <c r="AG37" s="63"/>
      <c r="AH37" s="63"/>
      <c r="AI37" s="63"/>
      <c r="AJ37" s="63"/>
      <c r="AK37" s="63"/>
      <c r="AL37" s="63"/>
      <c r="AM37" s="81"/>
      <c r="AN37" s="63"/>
      <c r="AO37" s="215"/>
      <c r="AP37" s="215"/>
      <c r="AQ37" s="63"/>
      <c r="AR37" s="63"/>
      <c r="AS37" s="63"/>
      <c r="AT37" s="63"/>
      <c r="AU37" s="63"/>
      <c r="AV37" s="63"/>
      <c r="AW37" s="63"/>
      <c r="AX37" s="63"/>
      <c r="AY37" s="63"/>
      <c r="AZ37" s="81"/>
      <c r="BA37" s="81"/>
      <c r="BB37" s="81"/>
      <c r="BC37" s="81"/>
      <c r="BD37" s="81"/>
      <c r="BE37" s="63"/>
      <c r="BF37" s="63"/>
      <c r="BG37" s="81"/>
      <c r="BH37" s="81"/>
    </row>
    <row r="38" spans="1:60">
      <c r="A38" s="63"/>
      <c r="B38" s="63"/>
      <c r="C38" s="63"/>
      <c r="D38" s="63"/>
      <c r="E38" s="63"/>
      <c r="F38" s="63"/>
      <c r="G38" s="63"/>
      <c r="H38" s="63"/>
      <c r="I38" s="63"/>
      <c r="J38" s="81"/>
      <c r="K38" s="81"/>
      <c r="L38" s="81"/>
      <c r="M38" s="81"/>
      <c r="N38" s="81"/>
      <c r="O38" s="81"/>
      <c r="P38" s="81"/>
      <c r="Q38" s="81"/>
      <c r="R38" s="81"/>
      <c r="S38" s="81"/>
      <c r="T38" s="81"/>
      <c r="U38" s="81"/>
      <c r="V38" s="81"/>
      <c r="W38" s="81"/>
      <c r="X38" s="81"/>
      <c r="Y38" s="81"/>
      <c r="AD38" s="63"/>
      <c r="AE38" s="63"/>
      <c r="AF38" s="63"/>
      <c r="AG38" s="63"/>
      <c r="AH38" s="63"/>
      <c r="AI38" s="63"/>
      <c r="AJ38" s="63"/>
      <c r="AK38" s="63"/>
      <c r="AL38" s="63"/>
      <c r="AM38" s="81"/>
      <c r="AN38" s="63"/>
      <c r="AO38" s="215"/>
      <c r="AP38" s="215"/>
      <c r="AQ38" s="63"/>
      <c r="AR38" s="63"/>
      <c r="AS38" s="63"/>
      <c r="AT38" s="63"/>
      <c r="AU38" s="63"/>
      <c r="AV38" s="63"/>
      <c r="AW38" s="63"/>
      <c r="AX38" s="63"/>
      <c r="AY38" s="63"/>
      <c r="AZ38" s="81"/>
      <c r="BA38" s="81"/>
      <c r="BB38" s="81"/>
      <c r="BC38" s="81"/>
      <c r="BD38" s="81"/>
      <c r="BE38" s="63"/>
      <c r="BF38" s="63"/>
      <c r="BG38" s="81"/>
      <c r="BH38" s="81"/>
    </row>
    <row r="39" spans="1:60">
      <c r="A39" s="63"/>
      <c r="B39" s="63"/>
      <c r="C39" s="63"/>
      <c r="D39" s="63"/>
      <c r="E39" s="63"/>
      <c r="F39" s="63"/>
      <c r="G39" s="63"/>
      <c r="H39" s="63"/>
      <c r="I39" s="63"/>
      <c r="J39" s="81"/>
      <c r="K39" s="81"/>
      <c r="L39" s="81"/>
      <c r="M39" s="81"/>
      <c r="N39" s="81"/>
      <c r="O39" s="81"/>
      <c r="P39" s="81"/>
      <c r="Q39" s="81"/>
      <c r="R39" s="81"/>
      <c r="S39" s="81"/>
      <c r="T39" s="81"/>
      <c r="U39" s="81"/>
      <c r="V39" s="81"/>
      <c r="W39" s="81"/>
      <c r="X39" s="81"/>
      <c r="Y39" s="81"/>
      <c r="AD39" s="63"/>
      <c r="AE39" s="63"/>
      <c r="AF39" s="63"/>
      <c r="AG39" s="63"/>
      <c r="AH39" s="63"/>
      <c r="AI39" s="63"/>
      <c r="AJ39" s="63"/>
      <c r="AK39" s="63"/>
      <c r="AL39" s="63"/>
      <c r="AM39" s="81"/>
      <c r="AN39" s="63"/>
      <c r="AO39" s="215"/>
      <c r="AP39" s="215"/>
      <c r="AQ39" s="63"/>
      <c r="AR39" s="63"/>
      <c r="AS39" s="63"/>
      <c r="AT39" s="63"/>
      <c r="AU39" s="63"/>
      <c r="AV39" s="63"/>
      <c r="AW39" s="63"/>
      <c r="AX39" s="63"/>
      <c r="AY39" s="63"/>
      <c r="AZ39" s="81"/>
      <c r="BA39" s="81"/>
      <c r="BB39" s="81"/>
      <c r="BC39" s="81"/>
      <c r="BD39" s="81"/>
      <c r="BE39" s="63"/>
      <c r="BF39" s="63"/>
      <c r="BG39" s="81"/>
      <c r="BH39" s="81"/>
    </row>
    <row r="40" spans="1:60">
      <c r="A40" s="63"/>
      <c r="B40" s="63"/>
      <c r="C40" s="63"/>
      <c r="D40" s="63"/>
      <c r="E40" s="63"/>
      <c r="F40" s="63"/>
      <c r="G40" s="63"/>
      <c r="H40" s="63"/>
      <c r="I40" s="63"/>
      <c r="J40" s="81"/>
      <c r="K40" s="81"/>
      <c r="L40" s="81"/>
      <c r="M40" s="81"/>
      <c r="N40" s="81"/>
      <c r="O40" s="81"/>
      <c r="P40" s="81"/>
      <c r="Q40" s="81"/>
      <c r="R40" s="81"/>
      <c r="S40" s="81"/>
      <c r="T40" s="81"/>
      <c r="U40" s="81"/>
      <c r="V40" s="81"/>
      <c r="W40" s="81"/>
      <c r="X40" s="81"/>
      <c r="Y40" s="81"/>
      <c r="AD40" s="63"/>
      <c r="AE40" s="63"/>
      <c r="AF40" s="63"/>
      <c r="AG40" s="63"/>
      <c r="AH40" s="63"/>
      <c r="AI40" s="63"/>
      <c r="AJ40" s="63"/>
      <c r="AK40" s="63"/>
      <c r="AL40" s="63"/>
      <c r="AM40" s="81"/>
      <c r="AN40" s="63"/>
      <c r="AO40" s="215"/>
      <c r="AP40" s="215"/>
      <c r="AQ40" s="63"/>
      <c r="AR40" s="63"/>
      <c r="AS40" s="63"/>
      <c r="AT40" s="63"/>
      <c r="AU40" s="63"/>
      <c r="AV40" s="63"/>
      <c r="AW40" s="63"/>
      <c r="AX40" s="63"/>
      <c r="AY40" s="63"/>
      <c r="AZ40" s="81"/>
      <c r="BA40" s="81"/>
      <c r="BB40" s="81"/>
      <c r="BC40" s="81"/>
      <c r="BD40" s="81"/>
      <c r="BE40" s="63"/>
      <c r="BF40" s="63"/>
      <c r="BG40" s="81"/>
      <c r="BH40" s="81"/>
    </row>
    <row r="41" spans="1:60">
      <c r="A41" s="63"/>
      <c r="B41" s="63"/>
      <c r="C41" s="63"/>
      <c r="D41" s="63"/>
      <c r="E41" s="63"/>
      <c r="F41" s="63"/>
      <c r="G41" s="63"/>
      <c r="H41" s="63"/>
      <c r="I41" s="63"/>
      <c r="J41" s="81"/>
      <c r="K41" s="81"/>
      <c r="L41" s="81"/>
      <c r="M41" s="81"/>
      <c r="N41" s="81"/>
      <c r="O41" s="81"/>
      <c r="P41" s="81"/>
      <c r="Q41" s="81"/>
      <c r="R41" s="81"/>
      <c r="S41" s="81"/>
      <c r="T41" s="81"/>
      <c r="U41" s="81"/>
      <c r="V41" s="81"/>
      <c r="W41" s="81"/>
      <c r="X41" s="81"/>
      <c r="Y41" s="81"/>
      <c r="AD41" s="63"/>
      <c r="AE41" s="63"/>
      <c r="AF41" s="63"/>
      <c r="AG41" s="63"/>
      <c r="AH41" s="63"/>
      <c r="AI41" s="63"/>
      <c r="AJ41" s="63"/>
      <c r="AK41" s="63"/>
      <c r="AL41" s="63"/>
      <c r="AM41" s="81"/>
      <c r="AN41" s="63"/>
      <c r="AO41" s="215"/>
      <c r="AP41" s="215"/>
      <c r="AQ41" s="63"/>
      <c r="AR41" s="63"/>
      <c r="AS41" s="63"/>
      <c r="AT41" s="63"/>
      <c r="AU41" s="63"/>
      <c r="AV41" s="63"/>
      <c r="AW41" s="63"/>
      <c r="AX41" s="63"/>
      <c r="AY41" s="63"/>
      <c r="AZ41" s="81"/>
      <c r="BA41" s="81"/>
      <c r="BB41" s="81"/>
      <c r="BC41" s="81"/>
      <c r="BD41" s="81"/>
      <c r="BE41" s="63"/>
      <c r="BF41" s="63"/>
      <c r="BG41" s="81"/>
      <c r="BH41" s="81"/>
    </row>
    <row r="42" spans="1:60">
      <c r="A42" s="63"/>
      <c r="B42" s="63"/>
      <c r="C42" s="63"/>
      <c r="D42" s="63"/>
      <c r="E42" s="63"/>
      <c r="F42" s="63"/>
      <c r="G42" s="63"/>
      <c r="H42" s="63"/>
      <c r="I42" s="63"/>
      <c r="J42" s="81"/>
      <c r="K42" s="81"/>
      <c r="L42" s="81"/>
      <c r="M42" s="81"/>
      <c r="N42" s="81"/>
      <c r="O42" s="81"/>
      <c r="P42" s="81"/>
      <c r="Q42" s="81"/>
      <c r="R42" s="81"/>
      <c r="S42" s="81"/>
      <c r="T42" s="81"/>
      <c r="U42" s="81"/>
      <c r="V42" s="81"/>
      <c r="W42" s="81"/>
      <c r="X42" s="81"/>
      <c r="Y42" s="81"/>
      <c r="AD42" s="63"/>
      <c r="AE42" s="63"/>
      <c r="AF42" s="63"/>
      <c r="AG42" s="63"/>
      <c r="AH42" s="63"/>
      <c r="AI42" s="63"/>
      <c r="AJ42" s="63"/>
      <c r="AK42" s="63"/>
      <c r="AL42" s="63"/>
      <c r="AM42" s="81"/>
      <c r="AN42" s="63"/>
      <c r="AO42" s="215"/>
      <c r="AP42" s="215"/>
      <c r="AQ42" s="63"/>
      <c r="AR42" s="63"/>
      <c r="AS42" s="63"/>
      <c r="AT42" s="63"/>
      <c r="AU42" s="63"/>
      <c r="AV42" s="63"/>
      <c r="AW42" s="63"/>
      <c r="AX42" s="63"/>
      <c r="AY42" s="63"/>
      <c r="AZ42" s="81"/>
      <c r="BA42" s="81"/>
      <c r="BB42" s="81"/>
      <c r="BC42" s="81"/>
      <c r="BD42" s="81"/>
      <c r="BE42" s="63"/>
      <c r="BF42" s="63"/>
      <c r="BG42" s="81"/>
      <c r="BH42" s="81"/>
    </row>
    <row r="46" spans="1:60">
      <c r="BG46"/>
      <c r="BH46"/>
    </row>
    <row r="47" spans="1:60">
      <c r="BG47"/>
      <c r="BH47"/>
    </row>
    <row r="52" spans="41:41">
      <c r="AO52"/>
    </row>
    <row r="53" spans="41:41">
      <c r="AO53"/>
    </row>
    <row r="54" spans="41:41">
      <c r="AO54"/>
    </row>
    <row r="55" spans="41:41">
      <c r="AO55"/>
    </row>
    <row r="56" spans="41:41" ht="39" customHeight="1">
      <c r="AO56"/>
    </row>
    <row r="57" spans="41:41">
      <c r="AO57"/>
    </row>
    <row r="58" spans="41:41">
      <c r="AO58"/>
    </row>
    <row r="59" spans="41:41">
      <c r="AO59"/>
    </row>
    <row r="60" spans="41:41">
      <c r="AO60"/>
    </row>
    <row r="61" spans="41:41">
      <c r="AO61"/>
    </row>
    <row r="62" spans="41:41">
      <c r="AO62"/>
    </row>
    <row r="63" spans="41:41">
      <c r="AO63"/>
    </row>
    <row r="64" spans="41:41">
      <c r="AO64"/>
    </row>
    <row r="65" spans="41:41">
      <c r="AO65"/>
    </row>
    <row r="66" spans="41:41">
      <c r="AO66"/>
    </row>
    <row r="67" spans="41:41">
      <c r="AO67"/>
    </row>
    <row r="68" spans="41:41">
      <c r="AO68"/>
    </row>
    <row r="69" spans="41:41">
      <c r="AO69"/>
    </row>
    <row r="70" spans="41:41">
      <c r="AO70"/>
    </row>
    <row r="71" spans="41:41">
      <c r="AO71"/>
    </row>
    <row r="72" spans="41:41">
      <c r="AO72"/>
    </row>
    <row r="73" spans="41:41">
      <c r="AO73"/>
    </row>
    <row r="74" spans="41:41">
      <c r="AO74"/>
    </row>
  </sheetData>
  <mergeCells count="30">
    <mergeCell ref="Z4:AC4"/>
    <mergeCell ref="Z5:AC5"/>
    <mergeCell ref="BA4:BD4"/>
    <mergeCell ref="BA5:BD5"/>
    <mergeCell ref="R3:T3"/>
    <mergeCell ref="R4:T4"/>
    <mergeCell ref="R5:T5"/>
    <mergeCell ref="V4:X4"/>
    <mergeCell ref="V5:X5"/>
    <mergeCell ref="G5:H5"/>
    <mergeCell ref="BF5:BH5"/>
    <mergeCell ref="AE5:AH5"/>
    <mergeCell ref="B5:E5"/>
    <mergeCell ref="AN4:AP4"/>
    <mergeCell ref="AN5:AP5"/>
    <mergeCell ref="AR5:AT5"/>
    <mergeCell ref="AR4:AT4"/>
    <mergeCell ref="AV5:AX5"/>
    <mergeCell ref="AV4:AX4"/>
    <mergeCell ref="AJ5:AL5"/>
    <mergeCell ref="J4:L4"/>
    <mergeCell ref="J5:L5"/>
    <mergeCell ref="N4:P4"/>
    <mergeCell ref="N5:P5"/>
    <mergeCell ref="BF4:BH4"/>
    <mergeCell ref="B1:E1"/>
    <mergeCell ref="B2:E2"/>
    <mergeCell ref="B3:E3"/>
    <mergeCell ref="B4:E4"/>
    <mergeCell ref="G4:H4"/>
  </mergeCells>
  <phoneticPr fontId="43" type="noConversion"/>
  <pageMargins left="0.7" right="0.7" top="0.75" bottom="0.75" header="0.3" footer="0.3"/>
  <pageSetup orientation="portrait" r:id="rId1"/>
  <ignoredErrors>
    <ignoredError sqref="R7:R30" calculatedColumn="1"/>
  </ignoredErrors>
  <legacyDrawing r:id="rId2"/>
  <tableParts count="6">
    <tablePart r:id="rId3"/>
    <tablePart r:id="rId4"/>
    <tablePart r:id="rId5"/>
    <tablePart r:id="rId6"/>
    <tablePart r:id="rId7"/>
    <tablePart r:id="rId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A6BCC-406E-433D-ADCB-7C4AB75DA295}">
  <sheetPr>
    <tabColor rgb="FFFFFF00"/>
  </sheetPr>
  <dimension ref="A5:BD32"/>
  <sheetViews>
    <sheetView topLeftCell="AD3" zoomScale="114" workbookViewId="0">
      <selection activeCell="B39" sqref="B39"/>
    </sheetView>
  </sheetViews>
  <sheetFormatPr defaultRowHeight="12.75"/>
  <cols>
    <col min="9" max="9" width="9.28515625" customWidth="1"/>
    <col min="25" max="25" width="9.5703125" bestFit="1" customWidth="1"/>
    <col min="35" max="45" width="10.7109375" bestFit="1" customWidth="1"/>
    <col min="46" max="46" width="9.5703125" bestFit="1" customWidth="1"/>
  </cols>
  <sheetData>
    <row r="5" spans="1:56">
      <c r="A5" s="165"/>
      <c r="B5" s="413" t="s">
        <v>191</v>
      </c>
      <c r="C5" s="413"/>
      <c r="D5" s="413"/>
      <c r="E5" s="413"/>
      <c r="F5" s="413"/>
      <c r="G5" s="413"/>
      <c r="H5" s="413"/>
      <c r="I5" s="413"/>
      <c r="J5" s="413"/>
      <c r="K5" s="413"/>
      <c r="L5" s="413"/>
      <c r="M5" s="413" t="s">
        <v>192</v>
      </c>
      <c r="N5" s="413"/>
      <c r="O5" s="413"/>
      <c r="P5" s="413"/>
      <c r="Q5" s="413"/>
      <c r="R5" s="413"/>
      <c r="S5" s="413"/>
      <c r="T5" s="413"/>
      <c r="U5" s="413"/>
      <c r="V5" s="413"/>
      <c r="W5" s="413"/>
      <c r="X5" s="413" t="s">
        <v>193</v>
      </c>
      <c r="Y5" s="413"/>
      <c r="Z5" s="413"/>
      <c r="AA5" s="413"/>
      <c r="AB5" s="413"/>
      <c r="AC5" s="413"/>
      <c r="AD5" s="413"/>
      <c r="AE5" s="413"/>
      <c r="AF5" s="413"/>
      <c r="AG5" s="413"/>
      <c r="AH5" s="413"/>
      <c r="AI5" s="413" t="s">
        <v>178</v>
      </c>
      <c r="AJ5" s="413"/>
      <c r="AK5" s="413"/>
      <c r="AL5" s="413"/>
      <c r="AM5" s="413"/>
      <c r="AN5" s="413"/>
      <c r="AO5" s="413"/>
      <c r="AP5" s="413"/>
      <c r="AQ5" s="413"/>
      <c r="AR5" s="413"/>
      <c r="AS5" s="413"/>
      <c r="AT5" s="413" t="s">
        <v>179</v>
      </c>
      <c r="AU5" s="413"/>
      <c r="AV5" s="413"/>
      <c r="AW5" s="413"/>
      <c r="AX5" s="413"/>
      <c r="AY5" s="413"/>
      <c r="AZ5" s="413"/>
      <c r="BA5" s="413"/>
      <c r="BB5" s="413"/>
      <c r="BC5" s="413"/>
      <c r="BD5" s="413"/>
    </row>
    <row r="6" spans="1:56">
      <c r="A6" s="165"/>
      <c r="B6" s="165" t="s">
        <v>194</v>
      </c>
      <c r="C6" s="165">
        <v>1</v>
      </c>
      <c r="D6" s="165">
        <v>2</v>
      </c>
      <c r="E6" s="165">
        <v>3</v>
      </c>
      <c r="F6" s="165">
        <v>4</v>
      </c>
      <c r="G6" s="165">
        <v>5</v>
      </c>
      <c r="H6" s="165">
        <v>6</v>
      </c>
      <c r="I6" s="165">
        <v>7</v>
      </c>
      <c r="J6" s="165">
        <v>8</v>
      </c>
      <c r="K6" s="165">
        <v>9</v>
      </c>
      <c r="L6" s="165">
        <v>10</v>
      </c>
      <c r="M6" s="165" t="s">
        <v>194</v>
      </c>
      <c r="N6" s="165">
        <v>1</v>
      </c>
      <c r="O6" s="165">
        <v>2</v>
      </c>
      <c r="P6" s="165">
        <v>3</v>
      </c>
      <c r="Q6" s="165">
        <v>4</v>
      </c>
      <c r="R6" s="165">
        <v>5</v>
      </c>
      <c r="S6" s="165">
        <v>6</v>
      </c>
      <c r="T6" s="165">
        <v>7</v>
      </c>
      <c r="U6" s="165">
        <v>8</v>
      </c>
      <c r="V6" s="165">
        <v>9</v>
      </c>
      <c r="W6" s="165">
        <v>10</v>
      </c>
      <c r="X6" s="165" t="s">
        <v>194</v>
      </c>
      <c r="Y6" s="165">
        <v>1</v>
      </c>
      <c r="Z6" s="165">
        <v>2</v>
      </c>
      <c r="AA6" s="165">
        <v>3</v>
      </c>
      <c r="AB6" s="165">
        <v>4</v>
      </c>
      <c r="AC6" s="165">
        <v>5</v>
      </c>
      <c r="AD6" s="165">
        <v>6</v>
      </c>
      <c r="AE6" s="165">
        <v>7</v>
      </c>
      <c r="AF6" s="165">
        <v>8</v>
      </c>
      <c r="AG6" s="165">
        <v>9</v>
      </c>
      <c r="AH6" s="165">
        <v>10</v>
      </c>
      <c r="AI6" s="165" t="s">
        <v>194</v>
      </c>
      <c r="AJ6" s="165">
        <v>1</v>
      </c>
      <c r="AK6" s="165">
        <v>2</v>
      </c>
      <c r="AL6" s="165">
        <v>3</v>
      </c>
      <c r="AM6" s="165">
        <v>4</v>
      </c>
      <c r="AN6" s="165">
        <v>5</v>
      </c>
      <c r="AO6" s="165">
        <v>6</v>
      </c>
      <c r="AP6" s="165">
        <v>7</v>
      </c>
      <c r="AQ6" s="165">
        <v>8</v>
      </c>
      <c r="AR6" s="165">
        <v>9</v>
      </c>
      <c r="AS6" s="165">
        <v>10</v>
      </c>
      <c r="AT6" s="165" t="s">
        <v>194</v>
      </c>
      <c r="AU6" s="165">
        <v>1</v>
      </c>
      <c r="AV6" s="165">
        <v>2</v>
      </c>
      <c r="AW6" s="165">
        <v>3</v>
      </c>
      <c r="AX6" s="165">
        <v>4</v>
      </c>
      <c r="AY6" s="165">
        <v>5</v>
      </c>
      <c r="AZ6" s="165">
        <v>6</v>
      </c>
      <c r="BA6" s="165">
        <v>7</v>
      </c>
      <c r="BB6" s="165">
        <v>8</v>
      </c>
      <c r="BC6" s="165">
        <v>9</v>
      </c>
      <c r="BD6" s="165">
        <v>10</v>
      </c>
    </row>
    <row r="7" spans="1:56" ht="15.75">
      <c r="A7" s="327">
        <v>2007</v>
      </c>
      <c r="B7" s="328">
        <v>0.60651223694244727</v>
      </c>
      <c r="C7" s="328">
        <v>0.66189963092730897</v>
      </c>
      <c r="D7" s="328">
        <v>0.65026427738595249</v>
      </c>
      <c r="E7" s="328">
        <v>0.65291198712531529</v>
      </c>
      <c r="F7" s="328">
        <v>0.6466553309941736</v>
      </c>
      <c r="G7" s="328">
        <v>0.55995637413403709</v>
      </c>
      <c r="H7" s="328">
        <v>0.58682802401250556</v>
      </c>
      <c r="I7" s="328">
        <v>0.545559639766656</v>
      </c>
      <c r="J7" s="328">
        <v>0.66312740216042787</v>
      </c>
      <c r="K7" s="328">
        <v>0.57312202200520268</v>
      </c>
      <c r="L7" s="328">
        <v>0.5964130381895727</v>
      </c>
      <c r="M7" s="328">
        <v>0.67827358190835063</v>
      </c>
      <c r="N7" s="328">
        <v>0.74021430432488156</v>
      </c>
      <c r="O7" s="328">
        <v>0.72720227844548435</v>
      </c>
      <c r="P7" s="328">
        <v>0.73016326003725729</v>
      </c>
      <c r="Q7" s="328">
        <v>0.72316632855532703</v>
      </c>
      <c r="R7" s="328">
        <v>0.62620932021252129</v>
      </c>
      <c r="S7" s="328">
        <v>0.65626037129557713</v>
      </c>
      <c r="T7" s="328">
        <v>0.61010919231341598</v>
      </c>
      <c r="U7" s="328">
        <v>0.74158734305572327</v>
      </c>
      <c r="V7" s="328">
        <v>0.64093270186222595</v>
      </c>
      <c r="W7" s="328">
        <v>0.6669794656559751</v>
      </c>
      <c r="X7" s="330">
        <v>64.481425386795991</v>
      </c>
      <c r="Y7" s="330">
        <v>77.201923493599082</v>
      </c>
      <c r="Z7" s="331">
        <v>73.578573962727575</v>
      </c>
      <c r="AA7" s="331">
        <v>74.287980351799462</v>
      </c>
      <c r="AB7" s="331">
        <v>72.633677565373134</v>
      </c>
      <c r="AC7" s="331">
        <v>55.628812357982582</v>
      </c>
      <c r="AD7" s="331">
        <v>59.048401760991744</v>
      </c>
      <c r="AE7" s="331">
        <v>51.828656050829139</v>
      </c>
      <c r="AF7" s="331">
        <v>77.677709059894084</v>
      </c>
      <c r="AG7" s="331">
        <v>56.895134952578971</v>
      </c>
      <c r="AH7" s="331">
        <v>61.183569953707497</v>
      </c>
      <c r="AI7" s="329">
        <f>(((((1 / BTU_therm) / (1 /water_weight) * X7) / 'Annual Data'!$AK7)) * (1 / therms_per_mcf))</f>
        <v>9.3182057649193327E-4</v>
      </c>
      <c r="AJ7" s="329">
        <f>(((((1 / BTU_therm) / (1 /water_weight) * Y7) / 'Annual Data'!$AK7)) * (1 / therms_per_mcf))</f>
        <v>1.1156443956467283E-3</v>
      </c>
      <c r="AK7" s="329">
        <f>(((((1 / BTU_therm) / (1 /water_weight) * Z7) / 'Annual Data'!$AK7)) * (1 / therms_per_mcf))</f>
        <v>1.0632833997717855E-3</v>
      </c>
      <c r="AL7" s="329">
        <f>(((((1 / BTU_therm) / (1 /water_weight) * AA7) / 'Annual Data'!$AK7)) * (1 / therms_per_mcf))</f>
        <v>1.0735350259799027E-3</v>
      </c>
      <c r="AM7" s="329">
        <f>(((((1 / BTU_therm) / (1 /water_weight) * AB7) / 'Annual Data'!$AK7)) * (1 / therms_per_mcf))</f>
        <v>1.0496287092864808E-3</v>
      </c>
      <c r="AN7" s="329">
        <f>(((((1 / BTU_therm) / (1 /water_weight) * AC7) / 'Annual Data'!$AK7)) * (1 / therms_per_mcf))</f>
        <v>8.0389153450059292E-4</v>
      </c>
      <c r="AO7" s="329">
        <f>(((((1 / BTU_therm) / (1 /water_weight) * AD7) / 'Annual Data'!$AK7)) * (1 / therms_per_mcf))</f>
        <v>8.5330799435338943E-4</v>
      </c>
      <c r="AP7" s="329">
        <f>(((((1 / BTU_therm) / (1 /water_weight) * AE7) / 'Annual Data'!$AK7)) * (1 / therms_per_mcf))</f>
        <v>7.4897550527745023E-4</v>
      </c>
      <c r="AQ7" s="329">
        <f>(((((1 / BTU_therm) / (1 /water_weight) * AF7) / 'Annual Data'!$AK7)) * (1 / therms_per_mcf))</f>
        <v>1.122519969162855E-3</v>
      </c>
      <c r="AR7" s="329">
        <f>(((((1 / BTU_therm) / (1 /water_weight) * AG7) / 'Annual Data'!$AK7)) * (1 / therms_per_mcf))</f>
        <v>8.2219115246101083E-4</v>
      </c>
      <c r="AS7" s="329">
        <f>(((((1 / BTU_therm) / (1 /water_weight) * AH7) / 'Annual Data'!$AK7)) * (1 / therms_per_mcf))</f>
        <v>8.841632932911677E-4</v>
      </c>
      <c r="AT7" s="332">
        <f>((1*(1 / BTU_kWh)*water_weight * X7) / 'Annual Data'!$AL7)</f>
        <v>0.17697255213937307</v>
      </c>
      <c r="AU7" s="332">
        <f>((1*(1 / BTU_kWh)*water_weight * Y7) / 'Annual Data'!$AL7)</f>
        <v>0.21188460628428635</v>
      </c>
      <c r="AV7" s="332">
        <f>((1*(1 / BTU_kWh)*water_weight * Z7) / 'Annual Data'!$AL7)</f>
        <v>0.20194013917728845</v>
      </c>
      <c r="AW7" s="332">
        <f>((1*(1 / BTU_kWh)*water_weight * AA7) / 'Annual Data'!$AL7)</f>
        <v>0.2038871410995465</v>
      </c>
      <c r="AX7" s="332">
        <f>((1*(1 / BTU_kWh)*water_weight * AB7) / 'Annual Data'!$AL7)</f>
        <v>0.19934682294793979</v>
      </c>
      <c r="AY7" s="332">
        <f>((1*(1 / BTU_kWh)*water_weight * AC7) / 'Annual Data'!$AL7)</f>
        <v>0.1526761053500286</v>
      </c>
      <c r="AZ7" s="332">
        <f>((1*(1 / BTU_kWh)*water_weight * AD7) / 'Annual Data'!$AL7)</f>
        <v>0.16206134242084574</v>
      </c>
      <c r="BA7" s="332">
        <f>((1*(1 / BTU_kWh)*water_weight * AE7) / 'Annual Data'!$AL7)</f>
        <v>0.14224638305137741</v>
      </c>
      <c r="BB7" s="332">
        <f>((1*(1 / BTU_kWh)*water_weight * AF7) / 'Annual Data'!$AL7)</f>
        <v>0.21319042397415933</v>
      </c>
      <c r="BC7" s="332">
        <f>((1*(1 / BTU_kWh)*water_weight * AG7) / 'Annual Data'!$AL7)</f>
        <v>0.15615159212863455</v>
      </c>
      <c r="BD7" s="332">
        <f>((1*(1 / BTU_kWh)*water_weight * AH7) / 'Annual Data'!$AL7)</f>
        <v>0.16792142014160119</v>
      </c>
    </row>
    <row r="8" spans="1:56" ht="15.75">
      <c r="A8" s="327">
        <v>2008</v>
      </c>
      <c r="B8" s="328">
        <v>0.60651223694244727</v>
      </c>
      <c r="C8" s="328">
        <v>0.66189963092730897</v>
      </c>
      <c r="D8" s="328">
        <v>0.65026427738595249</v>
      </c>
      <c r="E8" s="328">
        <v>0.65291198712531529</v>
      </c>
      <c r="F8" s="328">
        <v>0.6466553309941736</v>
      </c>
      <c r="G8" s="328">
        <v>0.55995637413403709</v>
      </c>
      <c r="H8" s="328">
        <v>0.58682802401250556</v>
      </c>
      <c r="I8" s="328">
        <v>0.545559639766656</v>
      </c>
      <c r="J8" s="328">
        <v>0.66312740216042787</v>
      </c>
      <c r="K8" s="328">
        <v>0.57312202200520268</v>
      </c>
      <c r="L8" s="328">
        <v>0.5964130381895727</v>
      </c>
      <c r="M8" s="328">
        <v>0.67827358190835063</v>
      </c>
      <c r="N8" s="328">
        <v>0.74021430432488156</v>
      </c>
      <c r="O8" s="328">
        <v>0.72720227844548435</v>
      </c>
      <c r="P8" s="328">
        <v>0.73016326003725729</v>
      </c>
      <c r="Q8" s="328">
        <v>0.72316632855532703</v>
      </c>
      <c r="R8" s="328">
        <v>0.62620932021252129</v>
      </c>
      <c r="S8" s="328">
        <v>0.65626037129557713</v>
      </c>
      <c r="T8" s="328">
        <v>0.61010919231341598</v>
      </c>
      <c r="U8" s="328">
        <v>0.74158734305572327</v>
      </c>
      <c r="V8" s="328">
        <v>0.64093270186222595</v>
      </c>
      <c r="W8" s="328">
        <v>0.6669794656559751</v>
      </c>
      <c r="X8" s="330">
        <v>64.481425386795991</v>
      </c>
      <c r="Y8" s="330">
        <v>77.201923493599082</v>
      </c>
      <c r="Z8" s="331">
        <v>73.578573962727575</v>
      </c>
      <c r="AA8" s="331">
        <v>74.287980351799462</v>
      </c>
      <c r="AB8" s="331">
        <v>72.633677565373134</v>
      </c>
      <c r="AC8" s="331">
        <v>55.628812357982582</v>
      </c>
      <c r="AD8" s="331">
        <v>59.048401760991744</v>
      </c>
      <c r="AE8" s="331">
        <v>51.828656050829139</v>
      </c>
      <c r="AF8" s="331">
        <v>77.677709059894084</v>
      </c>
      <c r="AG8" s="331">
        <v>56.895134952578971</v>
      </c>
      <c r="AH8" s="331">
        <v>61.183569953707497</v>
      </c>
      <c r="AI8" s="329">
        <f>(((((1 / BTU_therm) / (1 /water_weight) * X8) / 'Annual Data'!$AK8)) * (1 / therms_per_mcf))</f>
        <v>9.2571757241347984E-4</v>
      </c>
      <c r="AJ8" s="329">
        <f>(((((1 / BTU_therm) / (1 /water_weight) * Y8) / 'Annual Data'!$AK8)) * (1 / therms_per_mcf))</f>
        <v>1.1083374285454338E-3</v>
      </c>
      <c r="AK8" s="329">
        <f>(((((1 / BTU_therm) / (1 /water_weight) * Z8) / 'Annual Data'!$AK8)) * (1 / therms_per_mcf))</f>
        <v>1.0563193735535737E-3</v>
      </c>
      <c r="AL8" s="329">
        <f>(((((1 / BTU_therm) / (1 /water_weight) * AA8) / 'Annual Data'!$AK8)) * (1 / therms_per_mcf))</f>
        <v>1.0665038562384232E-3</v>
      </c>
      <c r="AM8" s="329">
        <f>(((((1 / BTU_therm) / (1 /water_weight) * AB8) / 'Annual Data'!$AK8)) * (1 / therms_per_mcf))</f>
        <v>1.0427541151261394E-3</v>
      </c>
      <c r="AN8" s="329">
        <f>(((((1 / BTU_therm) / (1 /water_weight) * AC8) / 'Annual Data'!$AK8)) * (1 / therms_per_mcf))</f>
        <v>7.9862640788988656E-4</v>
      </c>
      <c r="AO8" s="329">
        <f>(((((1 / BTU_therm) / (1 /water_weight) * AD8) / 'Annual Data'!$AK8)) * (1 / therms_per_mcf))</f>
        <v>8.4771921224114884E-4</v>
      </c>
      <c r="AP8" s="329">
        <f>(((((1 / BTU_therm) / (1 /water_weight) * AE8) / 'Annual Data'!$AK8)) * (1 / therms_per_mcf))</f>
        <v>7.4407005386471292E-4</v>
      </c>
      <c r="AQ8" s="329">
        <f>(((((1 / BTU_therm) / (1 /water_weight) * AF8) / 'Annual Data'!$AK8)) * (1 / therms_per_mcf))</f>
        <v>1.115167970159208E-3</v>
      </c>
      <c r="AR8" s="329">
        <f>(((((1 / BTU_therm) / (1 /water_weight) * AG8) / 'Annual Data'!$AK8)) * (1 / therms_per_mcf))</f>
        <v>8.1680617161455991E-4</v>
      </c>
      <c r="AS8" s="329">
        <f>(((((1 / BTU_therm) / (1 /water_weight) * AH8) / 'Annual Data'!$AK8)) * (1 / therms_per_mcf))</f>
        <v>8.7837242290140908E-4</v>
      </c>
      <c r="AT8" s="332">
        <f>((1*(1 / BTU_kWh)*water_weight * X8) / 'Annual Data'!$AL8)</f>
        <v>0.1763489761693928</v>
      </c>
      <c r="AU8" s="332">
        <f>((1*(1 / BTU_kWh)*water_weight * Y8) / 'Annual Data'!$AL8)</f>
        <v>0.21113801509096072</v>
      </c>
      <c r="AV8" s="332">
        <f>((1*(1 / BTU_kWh)*water_weight * Z8) / 'Annual Data'!$AL8)</f>
        <v>0.20122858805456822</v>
      </c>
      <c r="AW8" s="332">
        <f>((1*(1 / BTU_kWh)*water_weight * AA8) / 'Annual Data'!$AL8)</f>
        <v>0.20316872957052287</v>
      </c>
      <c r="AX8" s="332">
        <f>((1*(1 / BTU_kWh)*water_weight * AB8) / 'Annual Data'!$AL8)</f>
        <v>0.19864440956812734</v>
      </c>
      <c r="AY8" s="332">
        <f>((1*(1 / BTU_kWh)*water_weight * AC8) / 'Annual Data'!$AL8)</f>
        <v>0.15213813972012979</v>
      </c>
      <c r="AZ8" s="332">
        <f>((1*(1 / BTU_kWh)*water_weight * AD8) / 'Annual Data'!$AL8)</f>
        <v>0.16149030720903054</v>
      </c>
      <c r="BA8" s="332">
        <f>((1*(1 / BTU_kWh)*water_weight * AE8) / 'Annual Data'!$AL8)</f>
        <v>0.141745167324898</v>
      </c>
      <c r="BB8" s="332">
        <f>((1*(1 / BTU_kWh)*water_weight * AF8) / 'Annual Data'!$AL8)</f>
        <v>0.21243923163493433</v>
      </c>
      <c r="BC8" s="332">
        <f>((1*(1 / BTU_kWh)*water_weight * AG8) / 'Annual Data'!$AL8)</f>
        <v>0.15560138036218563</v>
      </c>
      <c r="BD8" s="332">
        <f>((1*(1 / BTU_kWh)*water_weight * AH8) / 'Annual Data'!$AL8)</f>
        <v>0.16732973650942529</v>
      </c>
    </row>
    <row r="9" spans="1:56" ht="15.75">
      <c r="A9" s="327">
        <v>2009</v>
      </c>
      <c r="B9" s="328">
        <v>0.60651223694244727</v>
      </c>
      <c r="C9" s="328">
        <v>0.66189963092730897</v>
      </c>
      <c r="D9" s="328">
        <v>0.65026427738595249</v>
      </c>
      <c r="E9" s="328">
        <v>0.65291198712531529</v>
      </c>
      <c r="F9" s="328">
        <v>0.6466553309941736</v>
      </c>
      <c r="G9" s="328">
        <v>0.55995637413403709</v>
      </c>
      <c r="H9" s="328">
        <v>0.58682802401250556</v>
      </c>
      <c r="I9" s="328">
        <v>0.545559639766656</v>
      </c>
      <c r="J9" s="328">
        <v>0.66312740216042787</v>
      </c>
      <c r="K9" s="328">
        <v>0.57312202200520268</v>
      </c>
      <c r="L9" s="328">
        <v>0.5964130381895727</v>
      </c>
      <c r="M9" s="328">
        <v>0.67827358190835063</v>
      </c>
      <c r="N9" s="328">
        <v>0.74021430432488156</v>
      </c>
      <c r="O9" s="328">
        <v>0.72720227844548435</v>
      </c>
      <c r="P9" s="328">
        <v>0.73016326003725729</v>
      </c>
      <c r="Q9" s="328">
        <v>0.72316632855532703</v>
      </c>
      <c r="R9" s="328">
        <v>0.62620932021252129</v>
      </c>
      <c r="S9" s="328">
        <v>0.65626037129557713</v>
      </c>
      <c r="T9" s="328">
        <v>0.61010919231341598</v>
      </c>
      <c r="U9" s="328">
        <v>0.74158734305572327</v>
      </c>
      <c r="V9" s="328">
        <v>0.64093270186222595</v>
      </c>
      <c r="W9" s="328">
        <v>0.6669794656559751</v>
      </c>
      <c r="X9" s="330">
        <v>64.481425386795991</v>
      </c>
      <c r="Y9" s="330">
        <v>77.201923493599082</v>
      </c>
      <c r="Z9" s="331">
        <v>73.578573962727575</v>
      </c>
      <c r="AA9" s="331">
        <v>74.287980351799462</v>
      </c>
      <c r="AB9" s="331">
        <v>72.633677565373134</v>
      </c>
      <c r="AC9" s="331">
        <v>55.628812357982582</v>
      </c>
      <c r="AD9" s="331">
        <v>59.048401760991744</v>
      </c>
      <c r="AE9" s="331">
        <v>51.828656050829139</v>
      </c>
      <c r="AF9" s="331">
        <v>77.677709059894084</v>
      </c>
      <c r="AG9" s="331">
        <v>56.895134952578971</v>
      </c>
      <c r="AH9" s="331">
        <v>61.183569953707497</v>
      </c>
      <c r="AI9" s="329">
        <f>(((((1 / BTU_therm) / (1 /water_weight) * X9) / 'Annual Data'!$AK9)) * (1 / therms_per_mcf))</f>
        <v>9.1969127115164957E-4</v>
      </c>
      <c r="AJ9" s="329">
        <f>(((((1 / BTU_therm) / (1 /water_weight) * Y9) / 'Annual Data'!$AK9)) * (1 / therms_per_mcf))</f>
        <v>1.1011222957195942E-3</v>
      </c>
      <c r="AK9" s="329">
        <f>(((((1 / BTU_therm) / (1 /water_weight) * Z9) / 'Annual Data'!$AK9)) * (1 / therms_per_mcf))</f>
        <v>1.0494428715151112E-3</v>
      </c>
      <c r="AL9" s="329">
        <f>(((((1 / BTU_therm) / (1 /water_weight) * AA9) / 'Annual Data'!$AK9)) * (1 / therms_per_mcf))</f>
        <v>1.0595610545393692E-3</v>
      </c>
      <c r="AM9" s="329">
        <f>(((((1 / BTU_therm) / (1 /water_weight) * AB9) / 'Annual Data'!$AK9)) * (1 / therms_per_mcf))</f>
        <v>1.0359659211596145E-3</v>
      </c>
      <c r="AN9" s="329">
        <f>(((((1 / BTU_therm) / (1 /water_weight) * AC9) / 'Annual Data'!$AK9)) * (1 / therms_per_mcf))</f>
        <v>7.934274536159061E-4</v>
      </c>
      <c r="AO9" s="329">
        <f>(((((1 / BTU_therm) / (1 /water_weight) * AD9) / 'Annual Data'!$AK9)) * (1 / therms_per_mcf))</f>
        <v>8.422006701818385E-4</v>
      </c>
      <c r="AP9" s="329">
        <f>(((((1 / BTU_therm) / (1 /water_weight) * AE9) / 'Annual Data'!$AK9)) * (1 / therms_per_mcf))</f>
        <v>7.3922625437541011E-4</v>
      </c>
      <c r="AQ9" s="329">
        <f>(((((1 / BTU_therm) / (1 /water_weight) * AF9) / 'Annual Data'!$AK9)) * (1 / therms_per_mcf))</f>
        <v>1.1079083713938934E-3</v>
      </c>
      <c r="AR9" s="329">
        <f>(((((1 / BTU_therm) / (1 /water_weight) * AG9) / 'Annual Data'!$AK9)) * (1 / therms_per_mcf))</f>
        <v>8.1148886943800257E-4</v>
      </c>
      <c r="AS9" s="329">
        <f>(((((1 / BTU_therm) / (1 /water_weight) * AH9) / 'Annual Data'!$AK9)) * (1 / therms_per_mcf))</f>
        <v>8.7265433241870698E-4</v>
      </c>
      <c r="AT9" s="332">
        <f>((1*(1 / BTU_kWh)*water_weight * X9) / 'Annual Data'!$AL9)</f>
        <v>0.17576028508864949</v>
      </c>
      <c r="AU9" s="332">
        <f>((1*(1 / BTU_kWh)*water_weight * Y9) / 'Annual Data'!$AL9)</f>
        <v>0.21043319066277408</v>
      </c>
      <c r="AV9" s="332">
        <f>((1*(1 / BTU_kWh)*water_weight * Z9) / 'Annual Data'!$AL9)</f>
        <v>0.20055684344027286</v>
      </c>
      <c r="AW9" s="332">
        <f>((1*(1 / BTU_kWh)*water_weight * AA9) / 'Annual Data'!$AL9)</f>
        <v>0.20249050834360049</v>
      </c>
      <c r="AX9" s="332">
        <f>((1*(1 / BTU_kWh)*water_weight * AB9) / 'Annual Data'!$AL9)</f>
        <v>0.19798129150136892</v>
      </c>
      <c r="AY9" s="332">
        <f>((1*(1 / BTU_kWh)*water_weight * AC9) / 'Annual Data'!$AL9)</f>
        <v>0.15163026965567256</v>
      </c>
      <c r="AZ9" s="332">
        <f>((1*(1 / BTU_kWh)*water_weight * AD9) / 'Annual Data'!$AL9)</f>
        <v>0.16095121758375744</v>
      </c>
      <c r="BA9" s="332">
        <f>((1*(1 / BTU_kWh)*water_weight * AE9) / 'Annual Data'!$AL9)</f>
        <v>0.14127199125347878</v>
      </c>
      <c r="BB9" s="332">
        <f>((1*(1 / BTU_kWh)*water_weight * AF9) / 'Annual Data'!$AL9)</f>
        <v>0.21173006346407228</v>
      </c>
      <c r="BC9" s="332">
        <f>((1*(1 / BTU_kWh)*water_weight * AG9) / 'Annual Data'!$AL9)</f>
        <v>0.15508194925030566</v>
      </c>
      <c r="BD9" s="332">
        <f>((1*(1 / BTU_kWh)*water_weight * AH9) / 'Annual Data'!$AL9)</f>
        <v>0.16677115360429062</v>
      </c>
    </row>
    <row r="10" spans="1:56" ht="15.75">
      <c r="A10" s="327">
        <v>2010</v>
      </c>
      <c r="B10" s="328">
        <v>0.60651223694244727</v>
      </c>
      <c r="C10" s="328">
        <v>0.66189963092730897</v>
      </c>
      <c r="D10" s="328">
        <v>0.65026427738595249</v>
      </c>
      <c r="E10" s="328">
        <v>0.65291198712531529</v>
      </c>
      <c r="F10" s="328">
        <v>0.6466553309941736</v>
      </c>
      <c r="G10" s="328">
        <v>0.55995637413403709</v>
      </c>
      <c r="H10" s="328">
        <v>0.58682802401250556</v>
      </c>
      <c r="I10" s="328">
        <v>0.545559639766656</v>
      </c>
      <c r="J10" s="328">
        <v>0.66312740216042787</v>
      </c>
      <c r="K10" s="328">
        <v>0.57312202200520268</v>
      </c>
      <c r="L10" s="328">
        <v>0.5964130381895727</v>
      </c>
      <c r="M10" s="328">
        <v>0.67827358190835063</v>
      </c>
      <c r="N10" s="328">
        <v>0.74021430432488156</v>
      </c>
      <c r="O10" s="328">
        <v>0.72720227844548435</v>
      </c>
      <c r="P10" s="328">
        <v>0.73016326003725729</v>
      </c>
      <c r="Q10" s="328">
        <v>0.72316632855532703</v>
      </c>
      <c r="R10" s="328">
        <v>0.62620932021252129</v>
      </c>
      <c r="S10" s="328">
        <v>0.65626037129557713</v>
      </c>
      <c r="T10" s="328">
        <v>0.61010919231341598</v>
      </c>
      <c r="U10" s="328">
        <v>0.74158734305572327</v>
      </c>
      <c r="V10" s="328">
        <v>0.64093270186222595</v>
      </c>
      <c r="W10" s="328">
        <v>0.6669794656559751</v>
      </c>
      <c r="X10" s="330">
        <v>64.481425386795991</v>
      </c>
      <c r="Y10" s="330">
        <v>77.201923493599082</v>
      </c>
      <c r="Z10" s="331">
        <v>73.578573962727575</v>
      </c>
      <c r="AA10" s="331">
        <v>74.287980351799462</v>
      </c>
      <c r="AB10" s="331">
        <v>72.633677565373134</v>
      </c>
      <c r="AC10" s="331">
        <v>55.628812357982582</v>
      </c>
      <c r="AD10" s="331">
        <v>59.048401760991744</v>
      </c>
      <c r="AE10" s="331">
        <v>51.828656050829139</v>
      </c>
      <c r="AF10" s="331">
        <v>77.677709059894084</v>
      </c>
      <c r="AG10" s="331">
        <v>56.895134952578971</v>
      </c>
      <c r="AH10" s="331">
        <v>61.183569953707497</v>
      </c>
      <c r="AI10" s="329">
        <f>(((((1 / BTU_therm) / (1 /water_weight) * X10) / 'Annual Data'!$AK10)) * (1 / therms_per_mcf))</f>
        <v>9.1353379761185244E-4</v>
      </c>
      <c r="AJ10" s="329">
        <f>(((((1 / BTU_therm) / (1 /water_weight) * Y10) / 'Annual Data'!$AK10)) * (1 / therms_per_mcf))</f>
        <v>1.0937501137573977E-3</v>
      </c>
      <c r="AK10" s="329">
        <f>(((((1 / BTU_therm) / (1 /water_weight) * Z10) / 'Annual Data'!$AK10)) * (1 / therms_per_mcf))</f>
        <v>1.0424166911918043E-3</v>
      </c>
      <c r="AL10" s="329">
        <f>(((((1 / BTU_therm) / (1 /water_weight) * AA10) / 'Annual Data'!$AK10)) * (1 / therms_per_mcf))</f>
        <v>1.0524671314351996E-3</v>
      </c>
      <c r="AM10" s="329">
        <f>(((((1 / BTU_therm) / (1 /water_weight) * AB10) / 'Annual Data'!$AK10)) * (1 / therms_per_mcf))</f>
        <v>1.029029971077492E-3</v>
      </c>
      <c r="AN10" s="329">
        <f>(((((1 / BTU_therm) / (1 /water_weight) * AC10) / 'Annual Data'!$AK10)) * (1 / therms_per_mcf))</f>
        <v>7.881153356208416E-4</v>
      </c>
      <c r="AO10" s="329">
        <f>(((((1 / BTU_therm) / (1 /water_weight) * AD10) / 'Annual Data'!$AK10)) * (1 / therms_per_mcf))</f>
        <v>8.3656200805193673E-4</v>
      </c>
      <c r="AP10" s="329">
        <f>(((((1 / BTU_therm) / (1 /water_weight) * AE10) / 'Annual Data'!$AK10)) * (1 / therms_per_mcf))</f>
        <v>7.3427702168829317E-4</v>
      </c>
      <c r="AQ10" s="329">
        <f>(((((1 / BTU_therm) / (1 /water_weight) * AF10) / 'Annual Data'!$AK10)) * (1 / therms_per_mcf))</f>
        <v>1.1004907556185091E-3</v>
      </c>
      <c r="AR10" s="329">
        <f>(((((1 / BTU_therm) / (1 /water_weight) * AG10) / 'Annual Data'!$AK10)) * (1 / therms_per_mcf))</f>
        <v>8.0605582750519465E-4</v>
      </c>
      <c r="AS10" s="329">
        <f>(((((1 / BTU_therm) / (1 /water_weight) * AH10) / 'Annual Data'!$AK10)) * (1 / therms_per_mcf))</f>
        <v>8.6681177836844521E-4</v>
      </c>
      <c r="AT10" s="332">
        <f>((1*(1 / BTU_kWh)*water_weight * X10) / 'Annual Data'!$AL10)</f>
        <v>0.17517606277471856</v>
      </c>
      <c r="AU10" s="332">
        <f>((1*(1 / BTU_kWh)*water_weight * Y10) / 'Annual Data'!$AL10)</f>
        <v>0.20973371657216899</v>
      </c>
      <c r="AV10" s="332">
        <f>((1*(1 / BTU_kWh)*water_weight * Z10) / 'Annual Data'!$AL10)</f>
        <v>0.19989019805397151</v>
      </c>
      <c r="AW10" s="332">
        <f>((1*(1 / BTU_kWh)*water_weight * AA10) / 'Annual Data'!$AL10)</f>
        <v>0.20181743550877956</v>
      </c>
      <c r="AX10" s="332">
        <f>((1*(1 / BTU_kWh)*water_weight * AB10) / 'Annual Data'!$AL10)</f>
        <v>0.1973232071782943</v>
      </c>
      <c r="AY10" s="332">
        <f>((1*(1 / BTU_kWh)*water_weight * AC10) / 'Annual Data'!$AL10)</f>
        <v>0.15112625484393322</v>
      </c>
      <c r="AZ10" s="332">
        <f>((1*(1 / BTU_kWh)*water_weight * AD10) / 'Annual Data'!$AL10)</f>
        <v>0.16041622019956819</v>
      </c>
      <c r="BA10" s="332">
        <f>((1*(1 / BTU_kWh)*water_weight * AE10) / 'Annual Data'!$AL10)</f>
        <v>0.14080240707192088</v>
      </c>
      <c r="BB10" s="332">
        <f>((1*(1 / BTU_kWh)*water_weight * AF10) / 'Annual Data'!$AL10)</f>
        <v>0.21102627860423698</v>
      </c>
      <c r="BC10" s="332">
        <f>((1*(1 / BTU_kWh)*water_weight * AG10) / 'Annual Data'!$AL10)</f>
        <v>0.15456646115130629</v>
      </c>
      <c r="BD10" s="332">
        <f>((1*(1 / BTU_kWh)*water_weight * AH10) / 'Annual Data'!$AL10)</f>
        <v>0.16621681091415166</v>
      </c>
    </row>
    <row r="11" spans="1:56" ht="15.75">
      <c r="A11" s="327">
        <v>2011</v>
      </c>
      <c r="B11" s="328">
        <v>0.60651223694244727</v>
      </c>
      <c r="C11" s="328">
        <v>0.66189963092730897</v>
      </c>
      <c r="D11" s="328">
        <v>0.65026427738595249</v>
      </c>
      <c r="E11" s="328">
        <v>0.65291198712531529</v>
      </c>
      <c r="F11" s="328">
        <v>0.6466553309941736</v>
      </c>
      <c r="G11" s="328">
        <v>0.55995637413403709</v>
      </c>
      <c r="H11" s="328">
        <v>0.58682802401250556</v>
      </c>
      <c r="I11" s="328">
        <v>0.545559639766656</v>
      </c>
      <c r="J11" s="328">
        <v>0.66312740216042787</v>
      </c>
      <c r="K11" s="328">
        <v>0.57312202200520268</v>
      </c>
      <c r="L11" s="328">
        <v>0.5964130381895727</v>
      </c>
      <c r="M11" s="328">
        <v>0.67827358190835063</v>
      </c>
      <c r="N11" s="328">
        <v>0.74021430432488156</v>
      </c>
      <c r="O11" s="328">
        <v>0.72720227844548435</v>
      </c>
      <c r="P11" s="328">
        <v>0.73016326003725729</v>
      </c>
      <c r="Q11" s="328">
        <v>0.72316632855532703</v>
      </c>
      <c r="R11" s="328">
        <v>0.62620932021252129</v>
      </c>
      <c r="S11" s="328">
        <v>0.65626037129557713</v>
      </c>
      <c r="T11" s="328">
        <v>0.61010919231341598</v>
      </c>
      <c r="U11" s="328">
        <v>0.74158734305572327</v>
      </c>
      <c r="V11" s="328">
        <v>0.64093270186222595</v>
      </c>
      <c r="W11" s="328">
        <v>0.6669794656559751</v>
      </c>
      <c r="X11" s="330">
        <v>64.481425386795991</v>
      </c>
      <c r="Y11" s="330">
        <v>77.201923493599082</v>
      </c>
      <c r="Z11" s="331">
        <v>73.578573962727575</v>
      </c>
      <c r="AA11" s="331">
        <v>74.287980351799462</v>
      </c>
      <c r="AB11" s="331">
        <v>72.633677565373134</v>
      </c>
      <c r="AC11" s="331">
        <v>55.628812357982582</v>
      </c>
      <c r="AD11" s="331">
        <v>59.048401760991744</v>
      </c>
      <c r="AE11" s="331">
        <v>51.828656050829139</v>
      </c>
      <c r="AF11" s="331">
        <v>77.677709059894084</v>
      </c>
      <c r="AG11" s="331">
        <v>56.895134952578971</v>
      </c>
      <c r="AH11" s="331">
        <v>61.183569953707497</v>
      </c>
      <c r="AI11" s="329">
        <f>(((((1 / BTU_therm) / (1 /water_weight) * X11) / 'Annual Data'!$AK11)) * (1 / therms_per_mcf))</f>
        <v>9.0749105422587299E-4</v>
      </c>
      <c r="AJ11" s="329">
        <f>(((((1 / BTU_therm) / (1 /water_weight) * Y11) / 'Annual Data'!$AK11)) * (1 / therms_per_mcf))</f>
        <v>1.0865152952065132E-3</v>
      </c>
      <c r="AK11" s="329">
        <f>(((((1 / BTU_therm) / (1 /water_weight) * Z11) / 'Annual Data'!$AK11)) * (1 / therms_per_mcf))</f>
        <v>1.0355214273465028E-3</v>
      </c>
      <c r="AL11" s="329">
        <f>(((((1 / BTU_therm) / (1 /water_weight) * AA11) / 'Annual Data'!$AK11)) * (1 / therms_per_mcf))</f>
        <v>1.0455053870377109E-3</v>
      </c>
      <c r="AM11" s="329">
        <f>(((((1 / BTU_therm) / (1 /water_weight) * AB11) / 'Annual Data'!$AK11)) * (1 / therms_per_mcf))</f>
        <v>1.0222232562433402E-3</v>
      </c>
      <c r="AN11" s="329">
        <f>(((((1 / BTU_therm) / (1 /water_weight) * AC11) / 'Annual Data'!$AK11)) * (1 / therms_per_mcf))</f>
        <v>7.8290219655126185E-4</v>
      </c>
      <c r="AO11" s="329">
        <f>(((((1 / BTU_therm) / (1 /water_weight) * AD11) / 'Annual Data'!$AK11)) * (1 / therms_per_mcf))</f>
        <v>8.310284092356337E-4</v>
      </c>
      <c r="AP11" s="329">
        <f>(((((1 / BTU_therm) / (1 /water_weight) * AE11) / 'Annual Data'!$AK11)) * (1 / therms_per_mcf))</f>
        <v>7.2942000640557132E-4</v>
      </c>
      <c r="AQ11" s="329">
        <f>(((((1 / BTU_therm) / (1 /water_weight) * AF11) / 'Annual Data'!$AK11)) * (1 / therms_per_mcf))</f>
        <v>1.0932113498075477E-3</v>
      </c>
      <c r="AR11" s="329">
        <f>(((((1 / BTU_therm) / (1 /water_weight) * AG11) / 'Annual Data'!$AK11)) * (1 / therms_per_mcf))</f>
        <v>8.0072401763333159E-4</v>
      </c>
      <c r="AS11" s="329">
        <f>(((((1 / BTU_therm) / (1 /water_weight) * AH11) / 'Annual Data'!$AK11)) * (1 / therms_per_mcf))</f>
        <v>8.6107808668203138E-4</v>
      </c>
      <c r="AT11" s="332">
        <f>((1*(1 / BTU_kWh)*water_weight * X11) / 'Annual Data'!$AL11)</f>
        <v>0.17460716272796598</v>
      </c>
      <c r="AU11" s="332">
        <f>((1*(1 / BTU_kWh)*water_weight * Y11) / 'Annual Data'!$AL11)</f>
        <v>0.20905258743115759</v>
      </c>
      <c r="AV11" s="332">
        <f>((1*(1 / BTU_kWh)*water_weight * Z11) / 'Annual Data'!$AL11)</f>
        <v>0.1992410366262225</v>
      </c>
      <c r="AW11" s="332">
        <f>((1*(1 / BTU_kWh)*water_weight * AA11) / 'Annual Data'!$AL11)</f>
        <v>0.20116201520375715</v>
      </c>
      <c r="AX11" s="332">
        <f>((1*(1 / BTU_kWh)*water_weight * AB11) / 'Annual Data'!$AL11)</f>
        <v>0.19668238228469301</v>
      </c>
      <c r="AY11" s="332">
        <f>((1*(1 / BTU_kWh)*water_weight * AC11) / 'Annual Data'!$AL11)</f>
        <v>0.1506354587152588</v>
      </c>
      <c r="AZ11" s="332">
        <f>((1*(1 / BTU_kWh)*water_weight * AD11) / 'Annual Data'!$AL11)</f>
        <v>0.15989525407140048</v>
      </c>
      <c r="BA11" s="332">
        <f>((1*(1 / BTU_kWh)*water_weight * AE11) / 'Annual Data'!$AL11)</f>
        <v>0.14034513856903696</v>
      </c>
      <c r="BB11" s="332">
        <f>((1*(1 / BTU_kWh)*water_weight * AF11) / 'Annual Data'!$AL11)</f>
        <v>0.21034095175157011</v>
      </c>
      <c r="BC11" s="332">
        <f>((1*(1 / BTU_kWh)*water_weight * AG11) / 'Annual Data'!$AL11)</f>
        <v>0.15406449264269537</v>
      </c>
      <c r="BD11" s="332">
        <f>((1*(1 / BTU_kWh)*water_weight * AH11) / 'Annual Data'!$AL11)</f>
        <v>0.16567700684502074</v>
      </c>
    </row>
    <row r="12" spans="1:56" ht="15.75">
      <c r="A12" s="327">
        <v>2012</v>
      </c>
      <c r="B12" s="328">
        <v>0.60651223694244727</v>
      </c>
      <c r="C12" s="328">
        <v>0.66189963092730897</v>
      </c>
      <c r="D12" s="328">
        <v>0.65026427738595249</v>
      </c>
      <c r="E12" s="328">
        <v>0.65291198712531529</v>
      </c>
      <c r="F12" s="328">
        <v>0.6466553309941736</v>
      </c>
      <c r="G12" s="328">
        <v>0.55995637413403709</v>
      </c>
      <c r="H12" s="328">
        <v>0.58682802401250556</v>
      </c>
      <c r="I12" s="328">
        <v>0.545559639766656</v>
      </c>
      <c r="J12" s="328">
        <v>0.66312740216042787</v>
      </c>
      <c r="K12" s="328">
        <v>0.57312202200520268</v>
      </c>
      <c r="L12" s="328">
        <v>0.5964130381895727</v>
      </c>
      <c r="M12" s="328">
        <v>0.67827358190835063</v>
      </c>
      <c r="N12" s="328">
        <v>0.74021430432488156</v>
      </c>
      <c r="O12" s="328">
        <v>0.72720227844548435</v>
      </c>
      <c r="P12" s="328">
        <v>0.73016326003725729</v>
      </c>
      <c r="Q12" s="328">
        <v>0.72316632855532703</v>
      </c>
      <c r="R12" s="328">
        <v>0.62620932021252129</v>
      </c>
      <c r="S12" s="328">
        <v>0.65626037129557713</v>
      </c>
      <c r="T12" s="328">
        <v>0.61010919231341598</v>
      </c>
      <c r="U12" s="328">
        <v>0.74158734305572327</v>
      </c>
      <c r="V12" s="328">
        <v>0.64093270186222595</v>
      </c>
      <c r="W12" s="328">
        <v>0.6669794656559751</v>
      </c>
      <c r="X12" s="330">
        <v>64.481425386795991</v>
      </c>
      <c r="Y12" s="330">
        <v>77.201923493599082</v>
      </c>
      <c r="Z12" s="331">
        <v>73.578573962727575</v>
      </c>
      <c r="AA12" s="331">
        <v>74.287980351799462</v>
      </c>
      <c r="AB12" s="331">
        <v>72.633677565373134</v>
      </c>
      <c r="AC12" s="331">
        <v>55.628812357982582</v>
      </c>
      <c r="AD12" s="331">
        <v>59.048401760991744</v>
      </c>
      <c r="AE12" s="331">
        <v>51.828656050829139</v>
      </c>
      <c r="AF12" s="331">
        <v>77.677709059894084</v>
      </c>
      <c r="AG12" s="331">
        <v>56.895134952578971</v>
      </c>
      <c r="AH12" s="331">
        <v>61.183569953707497</v>
      </c>
      <c r="AI12" s="329">
        <f>(((((1 / BTU_therm) / (1 /water_weight) * X12) / 'Annual Data'!$AK12)) * (1 / therms_per_mcf))</f>
        <v>9.0172580081869253E-4</v>
      </c>
      <c r="AJ12" s="329">
        <f>(((((1 / BTU_therm) / (1 /water_weight) * Y12) / 'Annual Data'!$AK12)) * (1 / therms_per_mcf))</f>
        <v>1.0796127081468686E-3</v>
      </c>
      <c r="AK12" s="329">
        <f>(((((1 / BTU_therm) / (1 /water_weight) * Z12) / 'Annual Data'!$AK12)) * (1 / therms_per_mcf))</f>
        <v>1.0289428022356357E-3</v>
      </c>
      <c r="AL12" s="329">
        <f>(((((1 / BTU_therm) / (1 /water_weight) * AA12) / 'Annual Data'!$AK12)) * (1 / therms_per_mcf))</f>
        <v>1.038863334240853E-3</v>
      </c>
      <c r="AM12" s="329">
        <f>(((((1 / BTU_therm) / (1 /water_weight) * AB12) / 'Annual Data'!$AK12)) * (1 / therms_per_mcf))</f>
        <v>1.0157291138674872E-3</v>
      </c>
      <c r="AN12" s="329">
        <f>(((((1 / BTU_therm) / (1 /water_weight) * AC12) / 'Annual Data'!$AK12)) * (1 / therms_per_mcf))</f>
        <v>7.7792845104144367E-4</v>
      </c>
      <c r="AO12" s="329">
        <f>(((((1 / BTU_therm) / (1 /water_weight) * AD12) / 'Annual Data'!$AK12)) * (1 / therms_per_mcf))</f>
        <v>8.2574891987262692E-4</v>
      </c>
      <c r="AP12" s="329">
        <f>(((((1 / BTU_therm) / (1 /water_weight) * AE12) / 'Annual Data'!$AK12)) * (1 / therms_per_mcf))</f>
        <v>7.2478603105384455E-4</v>
      </c>
      <c r="AQ12" s="329">
        <f>(((((1 / BTU_therm) / (1 /water_weight) * AF12) / 'Annual Data'!$AK12)) * (1 / therms_per_mcf))</f>
        <v>1.0862662229879534E-3</v>
      </c>
      <c r="AR12" s="329">
        <f>(((((1 / BTU_therm) / (1 /water_weight) * AG12) / 'Annual Data'!$AK12)) * (1 / therms_per_mcf))</f>
        <v>7.9563705082591821E-4</v>
      </c>
      <c r="AS12" s="329">
        <f>(((((1 / BTU_therm) / (1 /water_weight) * AH12) / 'Annual Data'!$AK12)) * (1 / therms_per_mcf))</f>
        <v>8.5560769295200533E-4</v>
      </c>
      <c r="AT12" s="332">
        <f>((1*(1 / BTU_kWh)*water_weight * X12) / 'Annual Data'!$AL12)</f>
        <v>0.17406730186574398</v>
      </c>
      <c r="AU12" s="332">
        <f>((1*(1 / BTU_kWh)*water_weight * Y12) / 'Annual Data'!$AL12)</f>
        <v>0.20840622614598997</v>
      </c>
      <c r="AV12" s="332">
        <f>((1*(1 / BTU_kWh)*water_weight * Z12) / 'Annual Data'!$AL12)</f>
        <v>0.19862501128028284</v>
      </c>
      <c r="AW12" s="332">
        <f>((1*(1 / BTU_kWh)*water_weight * AA12) / 'Annual Data'!$AL12)</f>
        <v>0.20054005046143208</v>
      </c>
      <c r="AX12" s="332">
        <f>((1*(1 / BTU_kWh)*water_weight * AB12) / 'Annual Data'!$AL12)</f>
        <v>0.19607426793918065</v>
      </c>
      <c r="AY12" s="332">
        <f>((1*(1 / BTU_kWh)*water_weight * AC12) / 'Annual Data'!$AL12)</f>
        <v>0.15016971500032356</v>
      </c>
      <c r="AZ12" s="332">
        <f>((1*(1 / BTU_kWh)*water_weight * AD12) / 'Annual Data'!$AL12)</f>
        <v>0.15940088036771299</v>
      </c>
      <c r="BA12" s="332">
        <f>((1*(1 / BTU_kWh)*water_weight * AE12) / 'Annual Data'!$AL12)</f>
        <v>0.13991121108099577</v>
      </c>
      <c r="BB12" s="332">
        <f>((1*(1 / BTU_kWh)*water_weight * AF12) / 'Annual Data'!$AL12)</f>
        <v>0.20969060702458939</v>
      </c>
      <c r="BC12" s="332">
        <f>((1*(1 / BTU_kWh)*water_weight * AG12) / 'Annual Data'!$AL12)</f>
        <v>0.1535881468357054</v>
      </c>
      <c r="BD12" s="332">
        <f>((1*(1 / BTU_kWh)*water_weight * AH12) / 'Annual Data'!$AL12)</f>
        <v>0.16516475677252479</v>
      </c>
    </row>
    <row r="13" spans="1:56" ht="15.75">
      <c r="A13" s="327">
        <v>2013</v>
      </c>
      <c r="B13" s="328">
        <v>0.60651223694244727</v>
      </c>
      <c r="C13" s="328">
        <v>0.66189963092730897</v>
      </c>
      <c r="D13" s="328">
        <v>0.65026427738595249</v>
      </c>
      <c r="E13" s="328">
        <v>0.65291198712531529</v>
      </c>
      <c r="F13" s="328">
        <v>0.6466553309941736</v>
      </c>
      <c r="G13" s="328">
        <v>0.55995637413403709</v>
      </c>
      <c r="H13" s="328">
        <v>0.58682802401250556</v>
      </c>
      <c r="I13" s="328">
        <v>0.545559639766656</v>
      </c>
      <c r="J13" s="328">
        <v>0.66312740216042787</v>
      </c>
      <c r="K13" s="328">
        <v>0.57312202200520268</v>
      </c>
      <c r="L13" s="328">
        <v>0.5964130381895727</v>
      </c>
      <c r="M13" s="328">
        <v>0.67827358190835063</v>
      </c>
      <c r="N13" s="328">
        <v>0.74021430432488156</v>
      </c>
      <c r="O13" s="328">
        <v>0.72720227844548435</v>
      </c>
      <c r="P13" s="328">
        <v>0.73016326003725729</v>
      </c>
      <c r="Q13" s="328">
        <v>0.72316632855532703</v>
      </c>
      <c r="R13" s="328">
        <v>0.62620932021252129</v>
      </c>
      <c r="S13" s="328">
        <v>0.65626037129557713</v>
      </c>
      <c r="T13" s="328">
        <v>0.61010919231341598</v>
      </c>
      <c r="U13" s="328">
        <v>0.74158734305572327</v>
      </c>
      <c r="V13" s="328">
        <v>0.64093270186222595</v>
      </c>
      <c r="W13" s="328">
        <v>0.6669794656559751</v>
      </c>
      <c r="X13" s="330">
        <v>64.481425386795991</v>
      </c>
      <c r="Y13" s="330">
        <v>77.201923493599082</v>
      </c>
      <c r="Z13" s="331">
        <v>73.578573962727575</v>
      </c>
      <c r="AA13" s="331">
        <v>74.287980351799462</v>
      </c>
      <c r="AB13" s="331">
        <v>72.633677565373134</v>
      </c>
      <c r="AC13" s="331">
        <v>55.628812357982582</v>
      </c>
      <c r="AD13" s="331">
        <v>59.048401760991744</v>
      </c>
      <c r="AE13" s="331">
        <v>51.828656050829139</v>
      </c>
      <c r="AF13" s="331">
        <v>77.677709059894084</v>
      </c>
      <c r="AG13" s="331">
        <v>56.895134952578971</v>
      </c>
      <c r="AH13" s="331">
        <v>61.183569953707497</v>
      </c>
      <c r="AI13" s="329">
        <f>(((((1 / BTU_therm) / (1 /water_weight) * X13) / 'Annual Data'!$AK13)) * (1 / therms_per_mcf))</f>
        <v>8.9627730357326452E-4</v>
      </c>
      <c r="AJ13" s="329">
        <f>(((((1 / BTU_therm) / (1 /water_weight) * Y13) / 'Annual Data'!$AK13)) * (1 / therms_per_mcf))</f>
        <v>1.0730893649519343E-3</v>
      </c>
      <c r="AK13" s="329">
        <f>(((((1 / BTU_therm) / (1 /water_weight) * Z13) / 'Annual Data'!$AK13)) * (1 / therms_per_mcf))</f>
        <v>1.022725621781673E-3</v>
      </c>
      <c r="AL13" s="329">
        <f>(((((1 / BTU_therm) / (1 /water_weight) * AA13) / 'Annual Data'!$AK13)) * (1 / therms_per_mcf))</f>
        <v>1.0325862109625255E-3</v>
      </c>
      <c r="AM13" s="329">
        <f>(((((1 / BTU_therm) / (1 /water_weight) * AB13) / 'Annual Data'!$AK13)) * (1 / therms_per_mcf))</f>
        <v>1.0095917744745327E-3</v>
      </c>
      <c r="AN13" s="329">
        <f>(((((1 / BTU_therm) / (1 /water_weight) * AC13) / 'Annual Data'!$AK13)) * (1 / therms_per_mcf))</f>
        <v>7.7322797444557482E-4</v>
      </c>
      <c r="AO13" s="329">
        <f>(((((1 / BTU_therm) / (1 /water_weight) * AD13) / 'Annual Data'!$AK13)) * (1 / therms_per_mcf))</f>
        <v>8.2075949768768296E-4</v>
      </c>
      <c r="AP13" s="329">
        <f>(((((1 / BTU_therm) / (1 /water_weight) * AE13) / 'Annual Data'!$AK13)) * (1 / therms_per_mcf))</f>
        <v>7.2040665686921304E-4</v>
      </c>
      <c r="AQ13" s="329">
        <f>(((((1 / BTU_therm) / (1 /water_weight) * AF13) / 'Annual Data'!$AK13)) * (1 / therms_per_mcf))</f>
        <v>1.079702677264433E-3</v>
      </c>
      <c r="AR13" s="329">
        <f>(((((1 / BTU_therm) / (1 /water_weight) * AG13) / 'Annual Data'!$AK13)) * (1 / therms_per_mcf))</f>
        <v>7.9082957356858602E-4</v>
      </c>
      <c r="AS13" s="329">
        <f>(((((1 / BTU_therm) / (1 /water_weight) * AH13) / 'Annual Data'!$AK13)) * (1 / therms_per_mcf))</f>
        <v>8.5043785512105557E-4</v>
      </c>
      <c r="AT13" s="332">
        <f>((1*(1 / BTU_kWh)*water_weight * X13) / 'Annual Data'!$AL13)</f>
        <v>0.17356065580997884</v>
      </c>
      <c r="AU13" s="332">
        <f>((1*(1 / BTU_kWh)*water_weight * Y13) / 'Annual Data'!$AL13)</f>
        <v>0.20779963207954547</v>
      </c>
      <c r="AV13" s="332">
        <f>((1*(1 / BTU_kWh)*water_weight * Z13) / 'Annual Data'!$AL13)</f>
        <v>0.19804688674188403</v>
      </c>
      <c r="AW13" s="332">
        <f>((1*(1 / BTU_kWh)*water_weight * AA13) / 'Annual Data'!$AL13)</f>
        <v>0.19995635194654621</v>
      </c>
      <c r="AX13" s="332">
        <f>((1*(1 / BTU_kWh)*water_weight * AB13) / 'Annual Data'!$AL13)</f>
        <v>0.1955035676788581</v>
      </c>
      <c r="AY13" s="332">
        <f>((1*(1 / BTU_kWh)*water_weight * AC13) / 'Annual Data'!$AL13)</f>
        <v>0.14973262605263041</v>
      </c>
      <c r="AZ13" s="332">
        <f>((1*(1 / BTU_kWh)*water_weight * AD13) / 'Annual Data'!$AL13)</f>
        <v>0.15893692288426742</v>
      </c>
      <c r="BA13" s="332">
        <f>((1*(1 / BTU_kWh)*water_weight * AE13) / 'Annual Data'!$AL13)</f>
        <v>0.13950398087468063</v>
      </c>
      <c r="BB13" s="332">
        <f>((1*(1 / BTU_kWh)*water_weight * AF13) / 'Annual Data'!$AL13)</f>
        <v>0.20908027459660733</v>
      </c>
      <c r="BC13" s="332">
        <f>((1*(1 / BTU_kWh)*water_weight * AG13) / 'Annual Data'!$AL13)</f>
        <v>0.15314110808705747</v>
      </c>
      <c r="BD13" s="332">
        <f>((1*(1 / BTU_kWh)*water_weight * AH13) / 'Annual Data'!$AL13)</f>
        <v>0.16468402275945468</v>
      </c>
    </row>
    <row r="14" spans="1:56" ht="15.75">
      <c r="A14" s="327">
        <v>2014</v>
      </c>
      <c r="B14" s="328">
        <v>0.60651223694244727</v>
      </c>
      <c r="C14" s="328">
        <v>0.66189963092730897</v>
      </c>
      <c r="D14" s="328">
        <v>0.65026427738595249</v>
      </c>
      <c r="E14" s="328">
        <v>0.65291198712531529</v>
      </c>
      <c r="F14" s="328">
        <v>0.6466553309941736</v>
      </c>
      <c r="G14" s="328">
        <v>0.55995637413403709</v>
      </c>
      <c r="H14" s="328">
        <v>0.58682802401250556</v>
      </c>
      <c r="I14" s="328">
        <v>0.545559639766656</v>
      </c>
      <c r="J14" s="328">
        <v>0.66312740216042787</v>
      </c>
      <c r="K14" s="328">
        <v>0.57312202200520268</v>
      </c>
      <c r="L14" s="328">
        <v>0.5964130381895727</v>
      </c>
      <c r="M14" s="328">
        <v>0.67827358190835063</v>
      </c>
      <c r="N14" s="328">
        <v>0.74021430432488156</v>
      </c>
      <c r="O14" s="328">
        <v>0.72720227844548435</v>
      </c>
      <c r="P14" s="328">
        <v>0.73016326003725729</v>
      </c>
      <c r="Q14" s="328">
        <v>0.72316632855532703</v>
      </c>
      <c r="R14" s="328">
        <v>0.62620932021252129</v>
      </c>
      <c r="S14" s="328">
        <v>0.65626037129557713</v>
      </c>
      <c r="T14" s="328">
        <v>0.61010919231341598</v>
      </c>
      <c r="U14" s="328">
        <v>0.74158734305572327</v>
      </c>
      <c r="V14" s="328">
        <v>0.64093270186222595</v>
      </c>
      <c r="W14" s="328">
        <v>0.6669794656559751</v>
      </c>
      <c r="X14" s="330">
        <v>64.481425386795991</v>
      </c>
      <c r="Y14" s="330">
        <v>77.201923493599082</v>
      </c>
      <c r="Z14" s="331">
        <v>73.578573962727575</v>
      </c>
      <c r="AA14" s="331">
        <v>74.287980351799462</v>
      </c>
      <c r="AB14" s="331">
        <v>72.633677565373134</v>
      </c>
      <c r="AC14" s="331">
        <v>55.628812357982582</v>
      </c>
      <c r="AD14" s="331">
        <v>59.048401760991744</v>
      </c>
      <c r="AE14" s="331">
        <v>51.828656050829139</v>
      </c>
      <c r="AF14" s="331">
        <v>77.677709059894084</v>
      </c>
      <c r="AG14" s="331">
        <v>56.895134952578971</v>
      </c>
      <c r="AH14" s="331">
        <v>61.183569953707497</v>
      </c>
      <c r="AI14" s="329">
        <f>(((((1 / BTU_therm) / (1 /water_weight) * X14) / 'Annual Data'!$AK14)) * (1 / therms_per_mcf))</f>
        <v>8.9141454202775112E-4</v>
      </c>
      <c r="AJ14" s="329">
        <f>(((((1 / BTU_therm) / (1 /water_weight) * Y14) / 'Annual Data'!$AK14)) * (1 / therms_per_mcf))</f>
        <v>1.0672673077850466E-3</v>
      </c>
      <c r="AK14" s="329">
        <f>(((((1 / BTU_therm) / (1 /water_weight) * Z14) / 'Annual Data'!$AK14)) * (1 / therms_per_mcf))</f>
        <v>1.0171768136110499E-3</v>
      </c>
      <c r="AL14" s="329">
        <f>(((((1 / BTU_therm) / (1 /water_weight) * AA14) / 'Annual Data'!$AK14)) * (1 / therms_per_mcf))</f>
        <v>1.0269839040659015E-3</v>
      </c>
      <c r="AM14" s="329">
        <f>(((((1 / BTU_therm) / (1 /water_weight) * AB14) / 'Annual Data'!$AK14)) * (1 / therms_per_mcf))</f>
        <v>1.0041142241248712E-3</v>
      </c>
      <c r="AN14" s="329">
        <f>(((((1 / BTU_therm) / (1 /water_weight) * AC14) / 'Annual Data'!$AK14)) * (1 / therms_per_mcf))</f>
        <v>7.6903281827564983E-4</v>
      </c>
      <c r="AO14" s="329">
        <f>(((((1 / BTU_therm) / (1 /water_weight) * AD14) / 'Annual Data'!$AK14)) * (1 / therms_per_mcf))</f>
        <v>8.1630645875926347E-4</v>
      </c>
      <c r="AP14" s="329">
        <f>(((((1 / BTU_therm) / (1 /water_weight) * AE14) / 'Annual Data'!$AK14)) * (1 / therms_per_mcf))</f>
        <v>7.1649808329026703E-4</v>
      </c>
      <c r="AQ14" s="329">
        <f>(((((1 / BTU_therm) / (1 /water_weight) * AF14) / 'Annual Data'!$AK14)) * (1 / therms_per_mcf))</f>
        <v>1.0738447395049278E-3</v>
      </c>
      <c r="AR14" s="329">
        <f>(((((1 / BTU_therm) / (1 /water_weight) * AG14) / 'Annual Data'!$AK14)) * (1 / therms_per_mcf))</f>
        <v>7.8653891974518522E-4</v>
      </c>
      <c r="AS14" s="329">
        <f>(((((1 / BTU_therm) / (1 /water_weight) * AH14) / 'Annual Data'!$AK14)) * (1 / therms_per_mcf))</f>
        <v>8.4582379596520694E-4</v>
      </c>
      <c r="AT14" s="332">
        <f>((1*(1 / BTU_kWh)*water_weight * X14) / 'Annual Data'!$AL14)</f>
        <v>0.17310848347335234</v>
      </c>
      <c r="AU14" s="332">
        <f>((1*(1 / BTU_kWh)*water_weight * Y14) / 'Annual Data'!$AL14)</f>
        <v>0.20725825797174993</v>
      </c>
      <c r="AV14" s="332">
        <f>((1*(1 / BTU_kWh)*water_weight * Z14) / 'Annual Data'!$AL14)</f>
        <v>0.19753092116707235</v>
      </c>
      <c r="AW14" s="332">
        <f>((1*(1 / BTU_kWh)*water_weight * AA14) / 'Annual Data'!$AL14)</f>
        <v>0.19943541169968534</v>
      </c>
      <c r="AX14" s="332">
        <f>((1*(1 / BTU_kWh)*water_weight * AB14) / 'Annual Data'!$AL14)</f>
        <v>0.1949942281364162</v>
      </c>
      <c r="AY14" s="332">
        <f>((1*(1 / BTU_kWh)*water_weight * AC14) / 'Annual Data'!$AL14)</f>
        <v>0.14934253216254065</v>
      </c>
      <c r="AZ14" s="332">
        <f>((1*(1 / BTU_kWh)*water_weight * AD14) / 'Annual Data'!$AL14)</f>
        <v>0.15852284931752836</v>
      </c>
      <c r="BA14" s="332">
        <f>((1*(1 / BTU_kWh)*water_weight * AE14) / 'Annual Data'!$AL14)</f>
        <v>0.13914053536506082</v>
      </c>
      <c r="BB14" s="332">
        <f>((1*(1 / BTU_kWh)*water_weight * AF14) / 'Annual Data'!$AL14)</f>
        <v>0.20853556406952584</v>
      </c>
      <c r="BC14" s="332">
        <f>((1*(1 / BTU_kWh)*water_weight * AG14) / 'Annual Data'!$AL14)</f>
        <v>0.15274213418162863</v>
      </c>
      <c r="BD14" s="332">
        <f>((1*(1 / BTU_kWh)*water_weight * AH14) / 'Annual Data'!$AL14)</f>
        <v>0.164254976446921</v>
      </c>
    </row>
    <row r="15" spans="1:56" ht="15.75">
      <c r="A15" s="327">
        <v>2015</v>
      </c>
      <c r="B15" s="328">
        <v>0.60651223694244727</v>
      </c>
      <c r="C15" s="328">
        <v>0.66189963092730897</v>
      </c>
      <c r="D15" s="328">
        <v>0.65026427738595249</v>
      </c>
      <c r="E15" s="328">
        <v>0.65291198712531529</v>
      </c>
      <c r="F15" s="328">
        <v>0.6466553309941736</v>
      </c>
      <c r="G15" s="328">
        <v>0.55995637413403709</v>
      </c>
      <c r="H15" s="328">
        <v>0.58682802401250556</v>
      </c>
      <c r="I15" s="328">
        <v>0.545559639766656</v>
      </c>
      <c r="J15" s="328">
        <v>0.66312740216042787</v>
      </c>
      <c r="K15" s="328">
        <v>0.57312202200520268</v>
      </c>
      <c r="L15" s="328">
        <v>0.5964130381895727</v>
      </c>
      <c r="M15" s="328">
        <v>0.67827358190835063</v>
      </c>
      <c r="N15" s="328">
        <v>0.74021430432488156</v>
      </c>
      <c r="O15" s="328">
        <v>0.72720227844548435</v>
      </c>
      <c r="P15" s="328">
        <v>0.73016326003725729</v>
      </c>
      <c r="Q15" s="328">
        <v>0.72316632855532703</v>
      </c>
      <c r="R15" s="328">
        <v>0.62620932021252129</v>
      </c>
      <c r="S15" s="328">
        <v>0.65626037129557713</v>
      </c>
      <c r="T15" s="328">
        <v>0.61010919231341598</v>
      </c>
      <c r="U15" s="328">
        <v>0.74158734305572327</v>
      </c>
      <c r="V15" s="328">
        <v>0.64093270186222595</v>
      </c>
      <c r="W15" s="328">
        <v>0.6669794656559751</v>
      </c>
      <c r="X15" s="330">
        <v>64.481425386795991</v>
      </c>
      <c r="Y15" s="330">
        <v>77.201923493599082</v>
      </c>
      <c r="Z15" s="331">
        <v>73.578573962727575</v>
      </c>
      <c r="AA15" s="331">
        <v>74.287980351799462</v>
      </c>
      <c r="AB15" s="331">
        <v>72.633677565373134</v>
      </c>
      <c r="AC15" s="331">
        <v>55.628812357982582</v>
      </c>
      <c r="AD15" s="331">
        <v>59.048401760991744</v>
      </c>
      <c r="AE15" s="331">
        <v>51.828656050829139</v>
      </c>
      <c r="AF15" s="331">
        <v>77.677709059894084</v>
      </c>
      <c r="AG15" s="331">
        <v>56.895134952578971</v>
      </c>
      <c r="AH15" s="331">
        <v>61.183569953707497</v>
      </c>
      <c r="AI15" s="329">
        <f>(((((1 / BTU_therm) / (1 /water_weight) * X15) / 'Annual Data'!$AK15)) * (1 / therms_per_mcf))</f>
        <v>8.8409602559878504E-4</v>
      </c>
      <c r="AJ15" s="329">
        <f>(((((1 / BTU_therm) / (1 /water_weight) * Y15) / 'Annual Data'!$AK15)) * (1 / therms_per_mcf))</f>
        <v>1.0585050395497139E-3</v>
      </c>
      <c r="AK15" s="329">
        <f>(((((1 / BTU_therm) / (1 /water_weight) * Z15) / 'Annual Data'!$AK15)) * (1 / therms_per_mcf))</f>
        <v>1.0088257885036494E-3</v>
      </c>
      <c r="AL15" s="329">
        <f>(((((1 / BTU_therm) / (1 /water_weight) * AA15) / 'Annual Data'!$AK15)) * (1 / therms_per_mcf))</f>
        <v>1.0185523627124333E-3</v>
      </c>
      <c r="AM15" s="329">
        <f>(((((1 / BTU_therm) / (1 /water_weight) * AB15) / 'Annual Data'!$AK15)) * (1 / therms_per_mcf))</f>
        <v>9.9587044292168375E-4</v>
      </c>
      <c r="AN15" s="329">
        <f>(((((1 / BTU_therm) / (1 /water_weight) * AC15) / 'Annual Data'!$AK15)) * (1 / therms_per_mcf))</f>
        <v>7.6271905621589948E-4</v>
      </c>
      <c r="AO15" s="329">
        <f>(((((1 / BTU_therm) / (1 /water_weight) * AD15) / 'Annual Data'!$AK15)) * (1 / therms_per_mcf))</f>
        <v>8.0960457994998247E-4</v>
      </c>
      <c r="AP15" s="329">
        <f>(((((1 / BTU_therm) / (1 /water_weight) * AE15) / 'Annual Data'!$AK15)) * (1 / therms_per_mcf))</f>
        <v>7.1061563158384279E-4</v>
      </c>
      <c r="AQ15" s="329">
        <f>(((((1 / BTU_therm) / (1 /water_weight) * AF15) / 'Annual Data'!$AK15)) * (1 / therms_per_mcf))</f>
        <v>1.0650284705327521E-3</v>
      </c>
      <c r="AR15" s="329">
        <f>(((((1 / BTU_therm) / (1 /water_weight) * AG15) / 'Annual Data'!$AK15)) * (1 / therms_per_mcf))</f>
        <v>7.8008143253269018E-4</v>
      </c>
      <c r="AS15" s="329">
        <f>(((((1 / BTU_therm) / (1 /water_weight) * AH15) / 'Annual Data'!$AK15)) * (1 / therms_per_mcf))</f>
        <v>8.3887957971683763E-4</v>
      </c>
      <c r="AT15" s="332">
        <f>((1*(1 / BTU_kWh)*water_weight * X15) / 'Annual Data'!$AL15)</f>
        <v>0.17223350125889389</v>
      </c>
      <c r="AU15" s="332">
        <f>((1*(1 / BTU_kWh)*water_weight * Y15) / 'Annual Data'!$AL15)</f>
        <v>0.20621066465982058</v>
      </c>
      <c r="AV15" s="332">
        <f>((1*(1 / BTU_kWh)*water_weight * Z15) / 'Annual Data'!$AL15)</f>
        <v>0.19653249498160247</v>
      </c>
      <c r="AW15" s="332">
        <f>((1*(1 / BTU_kWh)*water_weight * AA15) / 'Annual Data'!$AL15)</f>
        <v>0.19842735920757693</v>
      </c>
      <c r="AX15" s="332">
        <f>((1*(1 / BTU_kWh)*water_weight * AB15) / 'Annual Data'!$AL15)</f>
        <v>0.19400862374477656</v>
      </c>
      <c r="AY15" s="332">
        <f>((1*(1 / BTU_kWh)*water_weight * AC15) / 'Annual Data'!$AL15)</f>
        <v>0.14858767568825049</v>
      </c>
      <c r="AZ15" s="332">
        <f>((1*(1 / BTU_kWh)*water_weight * AD15) / 'Annual Data'!$AL15)</f>
        <v>0.1577215906446138</v>
      </c>
      <c r="BA15" s="332">
        <f>((1*(1 / BTU_kWh)*water_weight * AE15) / 'Annual Data'!$AL15)</f>
        <v>0.13843724520092859</v>
      </c>
      <c r="BB15" s="332">
        <f>((1*(1 / BTU_kWh)*water_weight * AF15) / 'Annual Data'!$AL15)</f>
        <v>0.20748151457419317</v>
      </c>
      <c r="BC15" s="332">
        <f>((1*(1 / BTU_kWh)*water_weight * AG15) / 'Annual Data'!$AL15)</f>
        <v>0.1519700943131844</v>
      </c>
      <c r="BD15" s="332">
        <f>((1*(1 / BTU_kWh)*water_weight * AH15) / 'Annual Data'!$AL15)</f>
        <v>0.16342474455912639</v>
      </c>
    </row>
    <row r="16" spans="1:56" ht="15.75">
      <c r="A16" s="327">
        <v>2016</v>
      </c>
      <c r="B16" s="328">
        <v>0.60651223694244727</v>
      </c>
      <c r="C16" s="328">
        <v>0.66189963092730897</v>
      </c>
      <c r="D16" s="328">
        <v>0.65026427738595249</v>
      </c>
      <c r="E16" s="328">
        <v>0.65291198712531529</v>
      </c>
      <c r="F16" s="328">
        <v>0.6466553309941736</v>
      </c>
      <c r="G16" s="328">
        <v>0.55995637413403709</v>
      </c>
      <c r="H16" s="328">
        <v>0.58682802401250556</v>
      </c>
      <c r="I16" s="328">
        <v>0.545559639766656</v>
      </c>
      <c r="J16" s="328">
        <v>0.66312740216042787</v>
      </c>
      <c r="K16" s="328">
        <v>0.57312202200520268</v>
      </c>
      <c r="L16" s="328">
        <v>0.5964130381895727</v>
      </c>
      <c r="M16" s="328">
        <v>0.67827358190835063</v>
      </c>
      <c r="N16" s="328">
        <v>0.74021430432488156</v>
      </c>
      <c r="O16" s="328">
        <v>0.72720227844548435</v>
      </c>
      <c r="P16" s="328">
        <v>0.73016326003725729</v>
      </c>
      <c r="Q16" s="328">
        <v>0.72316632855532703</v>
      </c>
      <c r="R16" s="328">
        <v>0.62620932021252129</v>
      </c>
      <c r="S16" s="328">
        <v>0.65626037129557713</v>
      </c>
      <c r="T16" s="328">
        <v>0.61010919231341598</v>
      </c>
      <c r="U16" s="328">
        <v>0.74158734305572327</v>
      </c>
      <c r="V16" s="328">
        <v>0.64093270186222595</v>
      </c>
      <c r="W16" s="328">
        <v>0.6669794656559751</v>
      </c>
      <c r="X16" s="330">
        <v>64.481425386795991</v>
      </c>
      <c r="Y16" s="330">
        <v>77.201923493599082</v>
      </c>
      <c r="Z16" s="331">
        <v>73.578573962727575</v>
      </c>
      <c r="AA16" s="331">
        <v>74.287980351799462</v>
      </c>
      <c r="AB16" s="331">
        <v>72.633677565373134</v>
      </c>
      <c r="AC16" s="331">
        <v>55.628812357982582</v>
      </c>
      <c r="AD16" s="331">
        <v>59.048401760991744</v>
      </c>
      <c r="AE16" s="331">
        <v>51.828656050829139</v>
      </c>
      <c r="AF16" s="331">
        <v>77.677709059894084</v>
      </c>
      <c r="AG16" s="331">
        <v>56.895134952578971</v>
      </c>
      <c r="AH16" s="331">
        <v>61.183569953707497</v>
      </c>
      <c r="AI16" s="329">
        <f>(((((1 / BTU_therm) / (1 /water_weight) * X16) / 'Annual Data'!$AK16)) * (1 / therms_per_mcf))</f>
        <v>8.7788998393457322E-4</v>
      </c>
      <c r="AJ16" s="329">
        <f>(((((1 / BTU_therm) / (1 /water_weight) * Y16) / 'Annual Data'!$AK16)) * (1 / therms_per_mcf))</f>
        <v>1.0510747082429143E-3</v>
      </c>
      <c r="AK16" s="329">
        <f>(((((1 / BTU_therm) / (1 /water_weight) * Z16) / 'Annual Data'!$AK16)) * (1 / therms_per_mcf))</f>
        <v>1.001744187982773E-3</v>
      </c>
      <c r="AL16" s="329">
        <f>(((((1 / BTU_therm) / (1 /water_weight) * AA16) / 'Annual Data'!$AK16)) * (1 / therms_per_mcf))</f>
        <v>1.0114024850779381E-3</v>
      </c>
      <c r="AM16" s="329">
        <f>(((((1 / BTU_therm) / (1 /water_weight) * AB16) / 'Annual Data'!$AK16)) * (1 / therms_per_mcf))</f>
        <v>9.8887978434843279E-4</v>
      </c>
      <c r="AN16" s="329">
        <f>(((((1 / BTU_therm) / (1 /water_weight) * AC16) / 'Annual Data'!$AK16)) * (1 / therms_per_mcf))</f>
        <v>7.5736503798268966E-4</v>
      </c>
      <c r="AO16" s="329">
        <f>(((((1 / BTU_therm) / (1 /water_weight) * AD16) / 'Annual Data'!$AK16)) * (1 / therms_per_mcf))</f>
        <v>8.0392144190928887E-4</v>
      </c>
      <c r="AP16" s="329">
        <f>(((((1 / BTU_therm) / (1 /water_weight) * AE16) / 'Annual Data'!$AK16)) * (1 / therms_per_mcf))</f>
        <v>7.0562736097843802E-4</v>
      </c>
      <c r="AQ16" s="329">
        <f>(((((1 / BTU_therm) / (1 /water_weight) * AF16) / 'Annual Data'!$AK16)) * (1 / therms_per_mcf))</f>
        <v>1.057552347045802E-3</v>
      </c>
      <c r="AR16" s="329">
        <f>(((((1 / BTU_therm) / (1 /water_weight) * AG16) / 'Annual Data'!$AK16)) * (1 / therms_per_mcf))</f>
        <v>7.7460553655352073E-4</v>
      </c>
      <c r="AS16" s="329">
        <f>(((((1 / BTU_therm) / (1 /water_weight) * AH16) / 'Annual Data'!$AK16)) * (1 / therms_per_mcf))</f>
        <v>8.3299094152343184E-4</v>
      </c>
      <c r="AT16" s="332">
        <f>((1*(1 / BTU_kWh)*water_weight * X16) / 'Annual Data'!$AL16)</f>
        <v>0.1714565172912535</v>
      </c>
      <c r="AU16" s="332">
        <f>((1*(1 / BTU_kWh)*water_weight * Y16) / 'Annual Data'!$AL16)</f>
        <v>0.20528040208473469</v>
      </c>
      <c r="AV16" s="332">
        <f>((1*(1 / BTU_kWh)*water_weight * Z16) / 'Annual Data'!$AL16)</f>
        <v>0.19564589280139397</v>
      </c>
      <c r="AW16" s="332">
        <f>((1*(1 / BTU_kWh)*water_weight * AA16) / 'Annual Data'!$AL16)</f>
        <v>0.19753220886970066</v>
      </c>
      <c r="AX16" s="332">
        <f>((1*(1 / BTU_kWh)*water_weight * AB16) / 'Annual Data'!$AL16)</f>
        <v>0.19313340731399006</v>
      </c>
      <c r="AY16" s="332">
        <f>((1*(1 / BTU_kWh)*water_weight * AC16) / 'Annual Data'!$AL16)</f>
        <v>0.147917363345095</v>
      </c>
      <c r="AZ16" s="332">
        <f>((1*(1 / BTU_kWh)*water_weight * AD16) / 'Annual Data'!$AL16)</f>
        <v>0.15701007316174381</v>
      </c>
      <c r="BA16" s="332">
        <f>((1*(1 / BTU_kWh)*water_weight * AE16) / 'Annual Data'!$AL16)</f>
        <v>0.13781272372711997</v>
      </c>
      <c r="BB16" s="332">
        <f>((1*(1 / BTU_kWh)*water_weight * AF16) / 'Annual Data'!$AL16)</f>
        <v>0.20654551891000716</v>
      </c>
      <c r="BC16" s="332">
        <f>((1*(1 / BTU_kWh)*water_weight * AG16) / 'Annual Data'!$AL16)</f>
        <v>0.15128452312070972</v>
      </c>
      <c r="BD16" s="332">
        <f>((1*(1 / BTU_kWh)*water_weight * AH16) / 'Annual Data'!$AL16)</f>
        <v>0.16268749886935027</v>
      </c>
    </row>
    <row r="17" spans="1:56" ht="15.75">
      <c r="A17" s="327">
        <v>2017</v>
      </c>
      <c r="B17" s="328">
        <v>0.60651223694244727</v>
      </c>
      <c r="C17" s="328">
        <v>0.66189963092730897</v>
      </c>
      <c r="D17" s="328">
        <v>0.65026427738595249</v>
      </c>
      <c r="E17" s="328">
        <v>0.65291198712531529</v>
      </c>
      <c r="F17" s="328">
        <v>0.6466553309941736</v>
      </c>
      <c r="G17" s="328">
        <v>0.55995637413403709</v>
      </c>
      <c r="H17" s="328">
        <v>0.58682802401250556</v>
      </c>
      <c r="I17" s="328">
        <v>0.545559639766656</v>
      </c>
      <c r="J17" s="328">
        <v>0.66312740216042787</v>
      </c>
      <c r="K17" s="328">
        <v>0.57312202200520268</v>
      </c>
      <c r="L17" s="328">
        <v>0.5964130381895727</v>
      </c>
      <c r="M17" s="328">
        <v>0.67827358190835063</v>
      </c>
      <c r="N17" s="328">
        <v>0.74021430432488156</v>
      </c>
      <c r="O17" s="328">
        <v>0.72720227844548435</v>
      </c>
      <c r="P17" s="328">
        <v>0.73016326003725729</v>
      </c>
      <c r="Q17" s="328">
        <v>0.72316632855532703</v>
      </c>
      <c r="R17" s="328">
        <v>0.62620932021252129</v>
      </c>
      <c r="S17" s="328">
        <v>0.65626037129557713</v>
      </c>
      <c r="T17" s="328">
        <v>0.61010919231341598</v>
      </c>
      <c r="U17" s="328">
        <v>0.74158734305572327</v>
      </c>
      <c r="V17" s="328">
        <v>0.64093270186222595</v>
      </c>
      <c r="W17" s="328">
        <v>0.6669794656559751</v>
      </c>
      <c r="X17" s="330">
        <v>64.481425386795991</v>
      </c>
      <c r="Y17" s="330">
        <v>77.201923493599082</v>
      </c>
      <c r="Z17" s="331">
        <v>73.578573962727575</v>
      </c>
      <c r="AA17" s="331">
        <v>74.287980351799462</v>
      </c>
      <c r="AB17" s="331">
        <v>72.633677565373134</v>
      </c>
      <c r="AC17" s="331">
        <v>55.628812357982582</v>
      </c>
      <c r="AD17" s="331">
        <v>59.048401760991744</v>
      </c>
      <c r="AE17" s="331">
        <v>51.828656050829139</v>
      </c>
      <c r="AF17" s="331">
        <v>77.677709059894084</v>
      </c>
      <c r="AG17" s="331">
        <v>56.895134952578971</v>
      </c>
      <c r="AH17" s="331">
        <v>61.183569953707497</v>
      </c>
      <c r="AI17" s="329">
        <f>(((((1 / BTU_therm) / (1 /water_weight) * X17) / 'Annual Data'!$AK17)) * (1 / therms_per_mcf))</f>
        <v>8.7242522716966949E-4</v>
      </c>
      <c r="AJ17" s="329">
        <f>(((((1 / BTU_therm) / (1 /water_weight) * Y17) / 'Annual Data'!$AK17)) * (1 / therms_per_mcf))</f>
        <v>1.0445318979507335E-3</v>
      </c>
      <c r="AK17" s="329">
        <f>(((((1 / BTU_therm) / (1 /water_weight) * Z17) / 'Annual Data'!$AK17)) * (1 / therms_per_mcf))</f>
        <v>9.95508454088821E-4</v>
      </c>
      <c r="AL17" s="329">
        <f>(((((1 / BTU_therm) / (1 /water_weight) * AA17) / 'Annual Data'!$AK17)) * (1 / therms_per_mcf))</f>
        <v>1.0051066294769907E-3</v>
      </c>
      <c r="AM17" s="329">
        <f>(((((1 / BTU_therm) / (1 /water_weight) * AB17) / 'Annual Data'!$AK17)) * (1 / therms_per_mcf))</f>
        <v>9.827241297788536E-4</v>
      </c>
      <c r="AN17" s="329">
        <f>(((((1 / BTU_therm) / (1 /water_weight) * AC17) / 'Annual Data'!$AK17)) * (1 / therms_per_mcf))</f>
        <v>7.5265053412621797E-4</v>
      </c>
      <c r="AO17" s="329">
        <f>(((((1 / BTU_therm) / (1 /water_weight) * AD17) / 'Annual Data'!$AK17)) * (1 / therms_per_mcf))</f>
        <v>7.9891713018626965E-4</v>
      </c>
      <c r="AP17" s="329">
        <f>(((((1 / BTU_therm) / (1 /water_weight) * AE17) / 'Annual Data'!$AK17)) * (1 / therms_per_mcf))</f>
        <v>7.0123491777373756E-4</v>
      </c>
      <c r="AQ17" s="329">
        <f>(((((1 / BTU_therm) / (1 /water_weight) * AF17) / 'Annual Data'!$AK17)) * (1 / therms_per_mcf))</f>
        <v>1.0509692142518083E-3</v>
      </c>
      <c r="AR17" s="329">
        <f>(((((1 / BTU_therm) / (1 /water_weight) * AG17) / 'Annual Data'!$AK17)) * (1 / therms_per_mcf))</f>
        <v>7.6978371272197303E-4</v>
      </c>
      <c r="AS17" s="329">
        <f>(((((1 / BTU_therm) / (1 /water_weight) * AH17) / 'Annual Data'!$AK17)) * (1 / therms_per_mcf))</f>
        <v>8.2780567575426118E-4</v>
      </c>
      <c r="AT17" s="332">
        <f>((1*(1 / BTU_kWh)*water_weight * X17) / 'Annual Data'!$AL17)</f>
        <v>0.17073347580675505</v>
      </c>
      <c r="AU17" s="332">
        <f>((1*(1 / BTU_kWh)*water_weight * Y17) / 'Annual Data'!$AL17)</f>
        <v>0.20441472343333847</v>
      </c>
      <c r="AV17" s="332">
        <f>((1*(1 / BTU_kWh)*water_weight * Z17) / 'Annual Data'!$AL17)</f>
        <v>0.19482084340110292</v>
      </c>
      <c r="AW17" s="332">
        <f>((1*(1 / BTU_kWh)*water_weight * AA17) / 'Annual Data'!$AL17)</f>
        <v>0.19669920477167158</v>
      </c>
      <c r="AX17" s="332">
        <f>((1*(1 / BTU_kWh)*water_weight * AB17) / 'Annual Data'!$AL17)</f>
        <v>0.19231895320202802</v>
      </c>
      <c r="AY17" s="332">
        <f>((1*(1 / BTU_kWh)*water_weight * AC17) / 'Annual Data'!$AL17)</f>
        <v>0.14729358775659138</v>
      </c>
      <c r="AZ17" s="332">
        <f>((1*(1 / BTU_kWh)*water_weight * AD17) / 'Annual Data'!$AL17)</f>
        <v>0.15634795312003533</v>
      </c>
      <c r="BA17" s="332">
        <f>((1*(1 / BTU_kWh)*water_weight * AE17) / 'Annual Data'!$AL17)</f>
        <v>0.13723155995498312</v>
      </c>
      <c r="BB17" s="332">
        <f>((1*(1 / BTU_kWh)*water_weight * AF17) / 'Annual Data'!$AL17)</f>
        <v>0.20567450519196045</v>
      </c>
      <c r="BC17" s="332">
        <f>((1*(1 / BTU_kWh)*water_weight * AG17) / 'Annual Data'!$AL17)</f>
        <v>0.15064654803579053</v>
      </c>
      <c r="BD17" s="332">
        <f>((1*(1 / BTU_kWh)*water_weight * AH17) / 'Annual Data'!$AL17)</f>
        <v>0.1620014368137912</v>
      </c>
    </row>
    <row r="18" spans="1:56" ht="15.75">
      <c r="A18" s="327">
        <v>2018</v>
      </c>
      <c r="B18" s="328">
        <v>0.60651223694244727</v>
      </c>
      <c r="C18" s="328">
        <v>0.66189963092730897</v>
      </c>
      <c r="D18" s="328">
        <v>0.65026427738595249</v>
      </c>
      <c r="E18" s="328">
        <v>0.65291198712531529</v>
      </c>
      <c r="F18" s="328">
        <v>0.6466553309941736</v>
      </c>
      <c r="G18" s="328">
        <v>0.55995637413403709</v>
      </c>
      <c r="H18" s="328">
        <v>0.58682802401250556</v>
      </c>
      <c r="I18" s="328">
        <v>0.545559639766656</v>
      </c>
      <c r="J18" s="328">
        <v>0.66312740216042787</v>
      </c>
      <c r="K18" s="328">
        <v>0.57312202200520268</v>
      </c>
      <c r="L18" s="328">
        <v>0.5964130381895727</v>
      </c>
      <c r="M18" s="328">
        <v>0.67827358190835063</v>
      </c>
      <c r="N18" s="328">
        <v>0.74021430432488156</v>
      </c>
      <c r="O18" s="328">
        <v>0.72720227844548435</v>
      </c>
      <c r="P18" s="328">
        <v>0.73016326003725729</v>
      </c>
      <c r="Q18" s="328">
        <v>0.72316632855532703</v>
      </c>
      <c r="R18" s="328">
        <v>0.62620932021252129</v>
      </c>
      <c r="S18" s="328">
        <v>0.65626037129557713</v>
      </c>
      <c r="T18" s="328">
        <v>0.61010919231341598</v>
      </c>
      <c r="U18" s="328">
        <v>0.74158734305572327</v>
      </c>
      <c r="V18" s="328">
        <v>0.64093270186222595</v>
      </c>
      <c r="W18" s="328">
        <v>0.6669794656559751</v>
      </c>
      <c r="X18" s="330">
        <v>64.481425386795991</v>
      </c>
      <c r="Y18" s="330">
        <v>77.201923493599082</v>
      </c>
      <c r="Z18" s="331">
        <v>73.578573962727575</v>
      </c>
      <c r="AA18" s="331">
        <v>74.287980351799462</v>
      </c>
      <c r="AB18" s="331">
        <v>72.633677565373134</v>
      </c>
      <c r="AC18" s="331">
        <v>55.628812357982582</v>
      </c>
      <c r="AD18" s="331">
        <v>59.048401760991744</v>
      </c>
      <c r="AE18" s="331">
        <v>51.828656050829139</v>
      </c>
      <c r="AF18" s="331">
        <v>77.677709059894084</v>
      </c>
      <c r="AG18" s="331">
        <v>56.895134952578971</v>
      </c>
      <c r="AH18" s="331">
        <v>61.183569953707497</v>
      </c>
      <c r="AI18" s="329">
        <f>(((((1 / BTU_therm) / (1 /water_weight) * X18) / 'Annual Data'!$AK18)) * (1 / therms_per_mcf))</f>
        <v>8.6763121431484473E-4</v>
      </c>
      <c r="AJ18" s="329">
        <f>(((((1 / BTU_therm) / (1 /water_weight) * Y18) / 'Annual Data'!$AK18)) * (1 / therms_per_mcf))</f>
        <v>1.0387921517924343E-3</v>
      </c>
      <c r="AK18" s="329">
        <f>(((((1 / BTU_therm) / (1 /water_weight) * Z18) / 'Annual Data'!$AK18)) * (1 / therms_per_mcf))</f>
        <v>9.9003809379047012E-4</v>
      </c>
      <c r="AL18" s="329">
        <f>(((((1 / BTU_therm) / (1 /water_weight) * AA18) / 'Annual Data'!$AK18)) * (1 / therms_per_mcf))</f>
        <v>9.9958352680627315E-4</v>
      </c>
      <c r="AM18" s="329">
        <f>(((((1 / BTU_therm) / (1 /water_weight) * AB18) / 'Annual Data'!$AK18)) * (1 / therms_per_mcf))</f>
        <v>9.7732401987351506E-4</v>
      </c>
      <c r="AN18" s="329">
        <f>(((((1 / BTU_therm) / (1 /water_weight) * AC18) / 'Annual Data'!$AK18)) * (1 / therms_per_mcf))</f>
        <v>7.4851468818386984E-4</v>
      </c>
      <c r="AO18" s="329">
        <f>(((((1 / BTU_therm) / (1 /water_weight) * AD18) / 'Annual Data'!$AK18)) * (1 / therms_per_mcf))</f>
        <v>7.9452704737713537E-4</v>
      </c>
      <c r="AP18" s="329">
        <f>(((((1 / BTU_therm) / (1 /water_weight) * AE18) / 'Annual Data'!$AK18)) * (1 / therms_per_mcf))</f>
        <v>6.9738160277851955E-4</v>
      </c>
      <c r="AQ18" s="329">
        <f>(((((1 / BTU_therm) / (1 /water_weight) * AF18) / 'Annual Data'!$AK18)) * (1 / therms_per_mcf))</f>
        <v>1.0451940947730951E-3</v>
      </c>
      <c r="AR18" s="329">
        <f>(((((1 / BTU_therm) / (1 /water_weight) * AG18) / 'Annual Data'!$AK18)) * (1 / therms_per_mcf))</f>
        <v>7.6555371925170603E-4</v>
      </c>
      <c r="AS18" s="329">
        <f>(((((1 / BTU_therm) / (1 /water_weight) * AH18) / 'Annual Data'!$AK18)) * (1 / therms_per_mcf))</f>
        <v>8.2325684918749915E-4</v>
      </c>
      <c r="AT18" s="332">
        <f>((1*(1 / BTU_kWh)*water_weight * X18) / 'Annual Data'!$AL18)</f>
        <v>0.17006878823446434</v>
      </c>
      <c r="AU18" s="332">
        <f>((1*(1 / BTU_kWh)*water_weight * Y18) / 'Annual Data'!$AL18)</f>
        <v>0.20361891039422966</v>
      </c>
      <c r="AV18" s="332">
        <f>((1*(1 / BTU_kWh)*water_weight * Z18) / 'Annual Data'!$AL18)</f>
        <v>0.19406238058167039</v>
      </c>
      <c r="AW18" s="332">
        <f>((1*(1 / BTU_kWh)*water_weight * AA18) / 'Annual Data'!$AL18)</f>
        <v>0.19593342924772467</v>
      </c>
      <c r="AX18" s="332">
        <f>((1*(1 / BTU_kWh)*water_weight * AB18) / 'Annual Data'!$AL18)</f>
        <v>0.19157023056573594</v>
      </c>
      <c r="AY18" s="332">
        <f>((1*(1 / BTU_kWh)*water_weight * AC18) / 'Annual Data'!$AL18)</f>
        <v>0.14672015470957295</v>
      </c>
      <c r="AZ18" s="332">
        <f>((1*(1 / BTU_kWh)*water_weight * AD18) / 'Annual Data'!$AL18)</f>
        <v>0.15573927025394291</v>
      </c>
      <c r="BA18" s="332">
        <f>((1*(1 / BTU_kWh)*water_weight * AE18) / 'Annual Data'!$AL18)</f>
        <v>0.13669729968764463</v>
      </c>
      <c r="BB18" s="332">
        <f>((1*(1 / BTU_kWh)*water_weight * AF18) / 'Annual Data'!$AL18)</f>
        <v>0.20487378765902117</v>
      </c>
      <c r="BC18" s="332">
        <f>((1*(1 / BTU_kWh)*water_weight * AG18) / 'Annual Data'!$AL18)</f>
        <v>0.15006006147939183</v>
      </c>
      <c r="BD18" s="332">
        <f>((1*(1 / BTU_kWh)*water_weight * AH18) / 'Annual Data'!$AL18)</f>
        <v>0.16137074420219555</v>
      </c>
    </row>
    <row r="19" spans="1:56" ht="15.75">
      <c r="A19" s="327">
        <v>2019</v>
      </c>
      <c r="B19" s="328">
        <v>0.60651223694244727</v>
      </c>
      <c r="C19" s="328">
        <v>0.66189963092730897</v>
      </c>
      <c r="D19" s="328">
        <v>0.65026427738595249</v>
      </c>
      <c r="E19" s="328">
        <v>0.65291198712531529</v>
      </c>
      <c r="F19" s="328">
        <v>0.6466553309941736</v>
      </c>
      <c r="G19" s="328">
        <v>0.55995637413403709</v>
      </c>
      <c r="H19" s="328">
        <v>0.58682802401250556</v>
      </c>
      <c r="I19" s="328">
        <v>0.545559639766656</v>
      </c>
      <c r="J19" s="328">
        <v>0.66312740216042787</v>
      </c>
      <c r="K19" s="328">
        <v>0.57312202200520268</v>
      </c>
      <c r="L19" s="328">
        <v>0.5964130381895727</v>
      </c>
      <c r="M19" s="328">
        <v>0.67827358190835063</v>
      </c>
      <c r="N19" s="328">
        <v>0.74021430432488156</v>
      </c>
      <c r="O19" s="328">
        <v>0.72720227844548435</v>
      </c>
      <c r="P19" s="328">
        <v>0.73016326003725729</v>
      </c>
      <c r="Q19" s="328">
        <v>0.72316632855532703</v>
      </c>
      <c r="R19" s="328">
        <v>0.62620932021252129</v>
      </c>
      <c r="S19" s="328">
        <v>0.65626037129557713</v>
      </c>
      <c r="T19" s="328">
        <v>0.61010919231341598</v>
      </c>
      <c r="U19" s="328">
        <v>0.74158734305572327</v>
      </c>
      <c r="V19" s="328">
        <v>0.64093270186222595</v>
      </c>
      <c r="W19" s="328">
        <v>0.6669794656559751</v>
      </c>
      <c r="X19" s="330">
        <v>64.481425386795991</v>
      </c>
      <c r="Y19" s="330">
        <v>77.201923493599082</v>
      </c>
      <c r="Z19" s="331">
        <v>73.578573962727575</v>
      </c>
      <c r="AA19" s="331">
        <v>74.287980351799462</v>
      </c>
      <c r="AB19" s="331">
        <v>72.633677565373134</v>
      </c>
      <c r="AC19" s="331">
        <v>55.628812357982582</v>
      </c>
      <c r="AD19" s="331">
        <v>59.048401760991744</v>
      </c>
      <c r="AE19" s="331">
        <v>51.828656050829139</v>
      </c>
      <c r="AF19" s="331">
        <v>77.677709059894084</v>
      </c>
      <c r="AG19" s="331">
        <v>56.895134952578971</v>
      </c>
      <c r="AH19" s="331">
        <v>61.183569953707497</v>
      </c>
      <c r="AI19" s="329">
        <f>(((((1 / BTU_therm) / (1 /water_weight) * X19) / 'Annual Data'!$AK19)) * (1 / therms_per_mcf))</f>
        <v>8.6355711464473114E-4</v>
      </c>
      <c r="AJ19" s="329">
        <f>(((((1 / BTU_therm) / (1 /water_weight) * Y19) / 'Annual Data'!$AK19)) * (1 / therms_per_mcf))</f>
        <v>1.0339143388540463E-3</v>
      </c>
      <c r="AK19" s="329">
        <f>(((((1 / BTU_therm) / (1 /water_weight) * Z19) / 'Annual Data'!$AK19)) * (1 / therms_per_mcf))</f>
        <v>9.853892132467971E-4</v>
      </c>
      <c r="AL19" s="329">
        <f>(((((1 / BTU_therm) / (1 /water_weight) * AA19) / 'Annual Data'!$AK19)) * (1 / therms_per_mcf))</f>
        <v>9.9488982417130249E-4</v>
      </c>
      <c r="AM19" s="329">
        <f>(((((1 / BTU_therm) / (1 /water_weight) * AB19) / 'Annual Data'!$AK19)) * (1 / therms_per_mcf))</f>
        <v>9.7273484027593092E-4</v>
      </c>
      <c r="AN19" s="329">
        <f>(((((1 / BTU_therm) / (1 /water_weight) * AC19) / 'Annual Data'!$AK19)) * (1 / therms_per_mcf))</f>
        <v>7.4499991901248491E-4</v>
      </c>
      <c r="AO19" s="329">
        <f>(((((1 / BTU_therm) / (1 /water_weight) * AD19) / 'Annual Data'!$AK19)) * (1 / therms_per_mcf))</f>
        <v>7.9079621989166767E-4</v>
      </c>
      <c r="AP19" s="329">
        <f>(((((1 / BTU_therm) / (1 /water_weight) * AE19) / 'Annual Data'!$AK19)) * (1 / therms_per_mcf))</f>
        <v>6.9410693710150501E-4</v>
      </c>
      <c r="AQ19" s="329">
        <f>(((((1 / BTU_therm) / (1 /water_weight) * AF19) / 'Annual Data'!$AK19)) * (1 / therms_per_mcf))</f>
        <v>1.0402862204983293E-3</v>
      </c>
      <c r="AR19" s="329">
        <f>(((((1 / BTU_therm) / (1 /water_weight) * AG19) / 'Annual Data'!$AK19)) * (1 / therms_per_mcf))</f>
        <v>7.6195894061350253E-4</v>
      </c>
      <c r="AS19" s="329">
        <f>(((((1 / BTU_therm) / (1 /water_weight) * AH19) / 'Annual Data'!$AK19)) * (1 / therms_per_mcf))</f>
        <v>8.1939111637111786E-4</v>
      </c>
      <c r="AT19" s="332">
        <f>((1*(1 / BTU_kWh)*water_weight * X19) / 'Annual Data'!$AL19)</f>
        <v>0.16946540527119927</v>
      </c>
      <c r="AU19" s="332">
        <f>((1*(1 / BTU_kWh)*water_weight * Y19) / 'Annual Data'!$AL19)</f>
        <v>0.202896495759505</v>
      </c>
      <c r="AV19" s="332">
        <f>((1*(1 / BTU_kWh)*water_weight * Z19) / 'Annual Data'!$AL19)</f>
        <v>0.19337387132921302</v>
      </c>
      <c r="AW19" s="332">
        <f>((1*(1 / BTU_kWh)*water_weight * AA19) / 'Annual Data'!$AL19)</f>
        <v>0.19523828174670768</v>
      </c>
      <c r="AX19" s="332">
        <f>((1*(1 / BTU_kWh)*water_weight * AB19) / 'Annual Data'!$AL19)</f>
        <v>0.19089056315237868</v>
      </c>
      <c r="AY19" s="332">
        <f>((1*(1 / BTU_kWh)*water_weight * AC19) / 'Annual Data'!$AL19)</f>
        <v>0.14619960980160712</v>
      </c>
      <c r="AZ19" s="332">
        <f>((1*(1 / BTU_kWh)*water_weight * AD19) / 'Annual Data'!$AL19)</f>
        <v>0.15518672664286592</v>
      </c>
      <c r="BA19" s="332">
        <f>((1*(1 / BTU_kWh)*water_weight * AE19) / 'Annual Data'!$AL19)</f>
        <v>0.13621231462594038</v>
      </c>
      <c r="BB19" s="332">
        <f>((1*(1 / BTU_kWh)*water_weight * AF19) / 'Annual Data'!$AL19)</f>
        <v>0.20414692087543115</v>
      </c>
      <c r="BC19" s="332">
        <f>((1*(1 / BTU_kWh)*water_weight * AG19) / 'Annual Data'!$AL19)</f>
        <v>0.14952766699652914</v>
      </c>
      <c r="BD19" s="332">
        <f>((1*(1 / BTU_kWh)*water_weight * AH19) / 'Annual Data'!$AL19)</f>
        <v>0.16079822082014633</v>
      </c>
    </row>
    <row r="20" spans="1:56" ht="15.75">
      <c r="A20" s="327">
        <v>2020</v>
      </c>
      <c r="B20" s="328">
        <v>0.60200000000000009</v>
      </c>
      <c r="C20" s="328">
        <v>0.65200000000000002</v>
      </c>
      <c r="D20" s="328">
        <v>0.63900000000000001</v>
      </c>
      <c r="E20" s="328">
        <v>0.65099999999999991</v>
      </c>
      <c r="F20" s="328">
        <v>0.65</v>
      </c>
      <c r="G20" s="328">
        <v>0.55200000000000005</v>
      </c>
      <c r="H20" s="328">
        <v>0.59499999999999997</v>
      </c>
      <c r="I20" s="328">
        <v>0.54</v>
      </c>
      <c r="J20" s="328">
        <v>0.66200000000000003</v>
      </c>
      <c r="K20" s="328">
        <v>0.55900000000000005</v>
      </c>
      <c r="L20" s="328">
        <v>0.59899999999999998</v>
      </c>
      <c r="M20" s="328">
        <v>0.67299999999999993</v>
      </c>
      <c r="N20" s="328">
        <v>0.72900000000000009</v>
      </c>
      <c r="O20" s="328">
        <v>0.71499999999999997</v>
      </c>
      <c r="P20" s="328">
        <v>0.72799999999999998</v>
      </c>
      <c r="Q20" s="328">
        <v>0.72599999999999998</v>
      </c>
      <c r="R20" s="328">
        <v>0.61699999999999999</v>
      </c>
      <c r="S20" s="328">
        <v>0.66500000000000004</v>
      </c>
      <c r="T20" s="328">
        <v>0.60399999999999998</v>
      </c>
      <c r="U20" s="328">
        <v>0.74</v>
      </c>
      <c r="V20" s="328">
        <v>0.625</v>
      </c>
      <c r="W20" s="328">
        <v>0.67</v>
      </c>
      <c r="X20" s="330">
        <v>63.504182138832242</v>
      </c>
      <c r="Y20" s="330">
        <v>73.987998631682871</v>
      </c>
      <c r="Z20" s="330">
        <v>70.392026418238146</v>
      </c>
      <c r="AA20" s="331">
        <v>73.644022870015363</v>
      </c>
      <c r="AB20" s="331">
        <v>73.650778058174097</v>
      </c>
      <c r="AC20" s="331">
        <v>54.256459860003481</v>
      </c>
      <c r="AD20" s="331">
        <v>60.251084748224805</v>
      </c>
      <c r="AE20" s="331">
        <v>51.108478150021327</v>
      </c>
      <c r="AF20" s="331">
        <v>77.277993737400948</v>
      </c>
      <c r="AG20" s="331">
        <v>54.455752748498995</v>
      </c>
      <c r="AH20" s="331">
        <v>61.702317655767288</v>
      </c>
      <c r="AI20" s="329">
        <f>(((((1 / BTU_therm) / (1 /water_weight) * X20) / 'Annual Data'!$AK20)) * (1 / therms_per_mcf))</f>
        <v>8.4687984681090084E-4</v>
      </c>
      <c r="AJ20" s="329">
        <f>(((((1 / BTU_therm) / (1 /water_weight) * Y20) / 'Annual Data'!$AK20)) * (1 / therms_per_mcf))</f>
        <v>9.8669005468112847E-4</v>
      </c>
      <c r="AK20" s="329">
        <f>(((((1 / BTU_therm) / (1 /water_weight) * Z20) / 'Annual Data'!$AK20)) * (1 / therms_per_mcf))</f>
        <v>9.387348445722795E-4</v>
      </c>
      <c r="AL20" s="329">
        <f>(((((1 / BTU_therm) / (1 /water_weight) * AA20) / 'Annual Data'!$AK20)) * (1 / therms_per_mcf))</f>
        <v>9.8210285852275907E-4</v>
      </c>
      <c r="AM20" s="329">
        <f>(((((1 / BTU_therm) / (1 /water_weight) * AB20) / 'Annual Data'!$AK20)) * (1 / therms_per_mcf))</f>
        <v>9.8219294444340825E-4</v>
      </c>
      <c r="AN20" s="329">
        <f>(((((1 / BTU_therm) / (1 /water_weight) * AC20) / 'Annual Data'!$AK20)) * (1 / therms_per_mcf))</f>
        <v>7.2355395923828954E-4</v>
      </c>
      <c r="AO20" s="329">
        <f>(((((1 / BTU_therm) / (1 /water_weight) * AD20) / 'Annual Data'!$AK20)) * (1 / therms_per_mcf))</f>
        <v>8.0349715094693954E-4</v>
      </c>
      <c r="AP20" s="329">
        <f>(((((1 / BTU_therm) / (1 /water_weight) * AE20) / 'Annual Data'!$AK20)) * (1 / therms_per_mcf))</f>
        <v>6.8157306635024473E-4</v>
      </c>
      <c r="AQ20" s="329">
        <f>(((((1 / BTU_therm) / (1 /water_weight) * AF20) / 'Annual Data'!$AK20)) * (1 / therms_per_mcf))</f>
        <v>1.0305648115443522E-3</v>
      </c>
      <c r="AR20" s="329">
        <f>(((((1 / BTU_therm) / (1 /water_weight) * AG20) / 'Annual Data'!$AK20)) * (1 / therms_per_mcf))</f>
        <v>7.2621169177172502E-4</v>
      </c>
      <c r="AS20" s="329">
        <f>(((((1 / BTU_therm) / (1 /water_weight) * AH20) / 'Annual Data'!$AK20)) * (1 / therms_per_mcf))</f>
        <v>8.2285052045793713E-4</v>
      </c>
      <c r="AT20" s="332">
        <f>((1*(1 / BTU_kWh)*water_weight * X20) / 'Annual Data'!$AL20)</f>
        <v>0.1663231896735351</v>
      </c>
      <c r="AU20" s="332">
        <f>((1*(1 / BTU_kWh)*water_weight * Y20) / 'Annual Data'!$AL20)</f>
        <v>0.19378125212414449</v>
      </c>
      <c r="AV20" s="332">
        <f>((1*(1 / BTU_kWh)*water_weight * Z20) / 'Annual Data'!$AL20)</f>
        <v>0.18436307605489002</v>
      </c>
      <c r="AW20" s="332">
        <f>((1*(1 / BTU_kWh)*water_weight * AA20) / 'Annual Data'!$AL20)</f>
        <v>0.192880348531278</v>
      </c>
      <c r="AX20" s="332">
        <f>((1*(1 / BTU_kWh)*water_weight * AB20) / 'Annual Data'!$AL20)</f>
        <v>0.19289804097929583</v>
      </c>
      <c r="AY20" s="332">
        <f>((1*(1 / BTU_kWh)*water_weight * AC20) / 'Annual Data'!$AL20)</f>
        <v>0.1421025696320517</v>
      </c>
      <c r="AZ20" s="332">
        <f>((1*(1 / BTU_kWh)*water_weight * AD20) / 'Annual Data'!$AL20)</f>
        <v>0.15780303373889742</v>
      </c>
      <c r="BA20" s="332">
        <f>((1*(1 / BTU_kWh)*water_weight * AE20) / 'Annual Data'!$AL20)</f>
        <v>0.13385772116059938</v>
      </c>
      <c r="BB20" s="332">
        <f>((1*(1 / BTU_kWh)*water_weight * AF20) / 'Annual Data'!$AL20)</f>
        <v>0.20239804650781298</v>
      </c>
      <c r="BC20" s="332">
        <f>((1*(1 / BTU_kWh)*water_weight * AG20) / 'Annual Data'!$AL20)</f>
        <v>0.14262453571014966</v>
      </c>
      <c r="BD20" s="332">
        <f>((1*(1 / BTU_kWh)*water_weight * AH20) / 'Annual Data'!$AL20)</f>
        <v>0.16160394382091336</v>
      </c>
    </row>
    <row r="21" spans="1:56" ht="15.75">
      <c r="A21" s="327">
        <v>2021</v>
      </c>
      <c r="B21" s="328">
        <v>0.60200000000000009</v>
      </c>
      <c r="C21" s="328">
        <v>0.65200000000000002</v>
      </c>
      <c r="D21" s="328">
        <v>0.63900000000000001</v>
      </c>
      <c r="E21" s="328">
        <v>0.65099999999999991</v>
      </c>
      <c r="F21" s="328">
        <v>0.65</v>
      </c>
      <c r="G21" s="328">
        <v>0.55200000000000005</v>
      </c>
      <c r="H21" s="328">
        <v>0.59499999999999997</v>
      </c>
      <c r="I21" s="328">
        <v>0.54</v>
      </c>
      <c r="J21" s="328">
        <v>0.66200000000000003</v>
      </c>
      <c r="K21" s="328">
        <v>0.55900000000000005</v>
      </c>
      <c r="L21" s="328">
        <v>0.59899999999999998</v>
      </c>
      <c r="M21" s="328">
        <v>0.67299999999999993</v>
      </c>
      <c r="N21" s="328">
        <v>0.72900000000000009</v>
      </c>
      <c r="O21" s="328">
        <v>0.71499999999999997</v>
      </c>
      <c r="P21" s="328">
        <v>0.72799999999999998</v>
      </c>
      <c r="Q21" s="328">
        <v>0.72599999999999998</v>
      </c>
      <c r="R21" s="328">
        <v>0.61699999999999999</v>
      </c>
      <c r="S21" s="328">
        <v>0.66500000000000004</v>
      </c>
      <c r="T21" s="328">
        <v>0.60399999999999998</v>
      </c>
      <c r="U21" s="328">
        <v>0.74</v>
      </c>
      <c r="V21" s="328">
        <v>0.625</v>
      </c>
      <c r="W21" s="328">
        <v>0.67</v>
      </c>
      <c r="X21" s="330">
        <v>63.504182138832242</v>
      </c>
      <c r="Y21" s="330">
        <v>73.987998631682871</v>
      </c>
      <c r="Z21" s="330">
        <v>70.392026418238146</v>
      </c>
      <c r="AA21" s="331">
        <v>73.644022870015363</v>
      </c>
      <c r="AB21" s="331">
        <v>73.650778058174097</v>
      </c>
      <c r="AC21" s="331">
        <v>54.256459860003481</v>
      </c>
      <c r="AD21" s="331">
        <v>60.251084748224805</v>
      </c>
      <c r="AE21" s="331">
        <v>51.108478150021327</v>
      </c>
      <c r="AF21" s="331">
        <v>77.277993737400948</v>
      </c>
      <c r="AG21" s="331">
        <v>54.455752748498995</v>
      </c>
      <c r="AH21" s="331">
        <v>61.702317655767288</v>
      </c>
      <c r="AI21" s="329">
        <f>(((((1 / BTU_therm) / (1 /water_weight) * X21) / 'Annual Data'!$AK21)) * (1 / therms_per_mcf))</f>
        <v>8.4363011190453615E-4</v>
      </c>
      <c r="AJ21" s="329">
        <f>(((((1 / BTU_therm) / (1 /water_weight) * Y21) / 'Annual Data'!$AK21)) * (1 / therms_per_mcf))</f>
        <v>9.8290382559026654E-4</v>
      </c>
      <c r="AK21" s="329">
        <f>(((((1 / BTU_therm) / (1 /water_weight) * Z21) / 'Annual Data'!$AK21)) * (1 / therms_per_mcf))</f>
        <v>9.3513263417169517E-4</v>
      </c>
      <c r="AL21" s="329">
        <f>(((((1 / BTU_therm) / (1 /water_weight) * AA21) / 'Annual Data'!$AK21)) * (1 / therms_per_mcf))</f>
        <v>9.783342318952623E-4</v>
      </c>
      <c r="AM21" s="329">
        <f>(((((1 / BTU_therm) / (1 /water_weight) * AB21) / 'Annual Data'!$AK21)) * (1 / therms_per_mcf))</f>
        <v>9.7842397212890273E-4</v>
      </c>
      <c r="AN21" s="329">
        <f>(((((1 / BTU_therm) / (1 /water_weight) * AC21) / 'Annual Data'!$AK21)) * (1 / therms_per_mcf))</f>
        <v>7.2077746317827625E-4</v>
      </c>
      <c r="AO21" s="329">
        <f>(((((1 / BTU_therm) / (1 /water_weight) * AD21) / 'Annual Data'!$AK21)) * (1 / therms_per_mcf))</f>
        <v>8.0041388860644356E-4</v>
      </c>
      <c r="AP21" s="329">
        <f>(((((1 / BTU_therm) / (1 /water_weight) * AE21) / 'Annual Data'!$AK21)) * (1 / therms_per_mcf))</f>
        <v>6.7895766371279002E-4</v>
      </c>
      <c r="AQ21" s="329">
        <f>(((((1 / BTU_therm) / (1 /water_weight) * AF21) / 'Annual Data'!$AK21)) * (1 / therms_per_mcf))</f>
        <v>1.026610221700281E-3</v>
      </c>
      <c r="AR21" s="329">
        <f>(((((1 / BTU_therm) / (1 /water_weight) * AG21) / 'Annual Data'!$AK21)) * (1 / therms_per_mcf))</f>
        <v>7.2342499718565378E-4</v>
      </c>
      <c r="AS21" s="329">
        <f>(((((1 / BTU_therm) / (1 /water_weight) * AH21) / 'Annual Data'!$AK21)) * (1 / therms_per_mcf))</f>
        <v>8.1969299336702548E-4</v>
      </c>
      <c r="AT21" s="332">
        <f>((1*(1 / BTU_kWh)*water_weight * X21) / 'Annual Data'!$AL21)</f>
        <v>0.16579459888767836</v>
      </c>
      <c r="AU21" s="332">
        <f>((1*(1 / BTU_kWh)*water_weight * Y21) / 'Annual Data'!$AL21)</f>
        <v>0.19316539702573243</v>
      </c>
      <c r="AV21" s="332">
        <f>((1*(1 / BTU_kWh)*water_weight * Z21) / 'Annual Data'!$AL21)</f>
        <v>0.18377715280843171</v>
      </c>
      <c r="AW21" s="332">
        <f>((1*(1 / BTU_kWh)*water_weight * AA21) / 'Annual Data'!$AL21)</f>
        <v>0.19226735658946525</v>
      </c>
      <c r="AX21" s="332">
        <f>((1*(1 / BTU_kWh)*water_weight * AB21) / 'Annual Data'!$AL21)</f>
        <v>0.19228499280921438</v>
      </c>
      <c r="AY21" s="332">
        <f>((1*(1 / BTU_kWh)*water_weight * AC21) / 'Annual Data'!$AL21)</f>
        <v>0.14165095426138991</v>
      </c>
      <c r="AZ21" s="332">
        <f>((1*(1 / BTU_kWh)*water_weight * AD21) / 'Annual Data'!$AL21)</f>
        <v>0.15730152081229745</v>
      </c>
      <c r="BA21" s="332">
        <f>((1*(1 / BTU_kWh)*water_weight * AE21) / 'Annual Data'!$AL21)</f>
        <v>0.13343230869610687</v>
      </c>
      <c r="BB21" s="332">
        <f>((1*(1 / BTU_kWh)*water_weight * AF21) / 'Annual Data'!$AL21)</f>
        <v>0.20175480642403737</v>
      </c>
      <c r="BC21" s="332">
        <f>((1*(1 / BTU_kWh)*water_weight * AG21) / 'Annual Data'!$AL21)</f>
        <v>0.14217126148205519</v>
      </c>
      <c r="BD21" s="332">
        <f>((1*(1 / BTU_kWh)*water_weight * AH21) / 'Annual Data'!$AL21)</f>
        <v>0.16109035124353727</v>
      </c>
    </row>
    <row r="22" spans="1:56" ht="15.75">
      <c r="A22" s="327">
        <v>2022</v>
      </c>
      <c r="B22" s="328">
        <v>0.60200000000000009</v>
      </c>
      <c r="C22" s="328">
        <v>0.65200000000000002</v>
      </c>
      <c r="D22" s="328">
        <v>0.63900000000000001</v>
      </c>
      <c r="E22" s="328">
        <v>0.65099999999999991</v>
      </c>
      <c r="F22" s="328">
        <v>0.65</v>
      </c>
      <c r="G22" s="328">
        <v>0.55200000000000005</v>
      </c>
      <c r="H22" s="328">
        <v>0.59499999999999997</v>
      </c>
      <c r="I22" s="328">
        <v>0.54</v>
      </c>
      <c r="J22" s="328">
        <v>0.66200000000000003</v>
      </c>
      <c r="K22" s="328">
        <v>0.55900000000000005</v>
      </c>
      <c r="L22" s="328">
        <v>0.59899999999999998</v>
      </c>
      <c r="M22" s="328">
        <v>0.67299999999999993</v>
      </c>
      <c r="N22" s="328">
        <v>0.72900000000000009</v>
      </c>
      <c r="O22" s="328">
        <v>0.71499999999999997</v>
      </c>
      <c r="P22" s="328">
        <v>0.72799999999999998</v>
      </c>
      <c r="Q22" s="328">
        <v>0.72599999999999998</v>
      </c>
      <c r="R22" s="328">
        <v>0.61699999999999999</v>
      </c>
      <c r="S22" s="328">
        <v>0.66500000000000004</v>
      </c>
      <c r="T22" s="328">
        <v>0.60399999999999998</v>
      </c>
      <c r="U22" s="328">
        <v>0.74</v>
      </c>
      <c r="V22" s="328">
        <v>0.625</v>
      </c>
      <c r="W22" s="328">
        <v>0.67</v>
      </c>
      <c r="X22" s="330">
        <v>63.504182138832242</v>
      </c>
      <c r="Y22" s="330">
        <v>73.987998631682871</v>
      </c>
      <c r="Z22" s="330">
        <v>70.392026418238146</v>
      </c>
      <c r="AA22" s="331">
        <v>73.644022870015363</v>
      </c>
      <c r="AB22" s="331">
        <v>73.650778058174097</v>
      </c>
      <c r="AC22" s="331">
        <v>54.256459860003481</v>
      </c>
      <c r="AD22" s="331">
        <v>60.251084748224805</v>
      </c>
      <c r="AE22" s="331">
        <v>51.108478150021327</v>
      </c>
      <c r="AF22" s="331">
        <v>77.277993737400948</v>
      </c>
      <c r="AG22" s="331">
        <v>54.455752748498995</v>
      </c>
      <c r="AH22" s="331">
        <v>61.702317655767288</v>
      </c>
      <c r="AI22" s="329">
        <f>(((((1 / BTU_therm) / (1 /water_weight) * X22) / 'Annual Data'!$AK22)) * (1 / therms_per_mcf))</f>
        <v>8.4096067028210713E-4</v>
      </c>
      <c r="AJ22" s="329">
        <f>(((((1 / BTU_therm) / (1 /water_weight) * Y22) / 'Annual Data'!$AK22)) * (1 / therms_per_mcf))</f>
        <v>9.7979368958889495E-4</v>
      </c>
      <c r="AK22" s="329">
        <f>(((((1 / BTU_therm) / (1 /water_weight) * Z22) / 'Annual Data'!$AK22)) * (1 / therms_per_mcf))</f>
        <v>9.3217365731569591E-4</v>
      </c>
      <c r="AL22" s="329">
        <f>(((((1 / BTU_therm) / (1 /water_weight) * AA22) / 'Annual Data'!$AK22)) * (1 / therms_per_mcf))</f>
        <v>9.7523855514971267E-4</v>
      </c>
      <c r="AM22" s="329">
        <f>(((((1 / BTU_therm) / (1 /water_weight) * AB22) / 'Annual Data'!$AK22)) * (1 / therms_per_mcf))</f>
        <v>9.7532801142441005E-4</v>
      </c>
      <c r="AN22" s="329">
        <f>(((((1 / BTU_therm) / (1 /water_weight) * AC22) / 'Annual Data'!$AK22)) * (1 / therms_per_mcf))</f>
        <v>7.184967558711685E-4</v>
      </c>
      <c r="AO22" s="329">
        <f>(((((1 / BTU_therm) / (1 /water_weight) * AD22) / 'Annual Data'!$AK22)) * (1 / therms_per_mcf))</f>
        <v>7.9788119315227994E-4</v>
      </c>
      <c r="AP22" s="329">
        <f>(((((1 / BTU_therm) / (1 /water_weight) * AE22) / 'Annual Data'!$AK22)) * (1 / therms_per_mcf))</f>
        <v>6.7680928396459642E-4</v>
      </c>
      <c r="AQ22" s="329">
        <f>(((((1 / BTU_therm) / (1 /water_weight) * AF22) / 'Annual Data'!$AK22)) * (1 / therms_per_mcf))</f>
        <v>1.0233617885100159E-3</v>
      </c>
      <c r="AR22" s="329">
        <f>(((((1 / BTU_therm) / (1 /water_weight) * AG22) / 'Annual Data'!$AK22)) * (1 / therms_per_mcf))</f>
        <v>7.2113591246600892E-4</v>
      </c>
      <c r="AS22" s="329">
        <f>(((((1 / BTU_therm) / (1 /water_weight) * AH22) / 'Annual Data'!$AK22)) * (1 / therms_per_mcf))</f>
        <v>8.170992943474782E-4</v>
      </c>
      <c r="AT22" s="332">
        <f>((1*(1 / BTU_kWh)*water_weight * X22) / 'Annual Data'!$AL22)</f>
        <v>0.16533335635883811</v>
      </c>
      <c r="AU22" s="332">
        <f>((1*(1 / BTU_kWh)*water_weight * Y22) / 'Annual Data'!$AL22)</f>
        <v>0.19262800861376767</v>
      </c>
      <c r="AV22" s="332">
        <f>((1*(1 / BTU_kWh)*water_weight * Z22) / 'Annual Data'!$AL22)</f>
        <v>0.18326588260256779</v>
      </c>
      <c r="AW22" s="332">
        <f>((1*(1 / BTU_kWh)*water_weight * AA22) / 'Annual Data'!$AL22)</f>
        <v>0.19173246653658219</v>
      </c>
      <c r="AX22" s="332">
        <f>((1*(1 / BTU_kWh)*water_weight * AB22) / 'Annual Data'!$AL22)</f>
        <v>0.19175005369216003</v>
      </c>
      <c r="AY22" s="332">
        <f>((1*(1 / BTU_kWh)*water_weight * AC22) / 'Annual Data'!$AL22)</f>
        <v>0.14125687963655592</v>
      </c>
      <c r="AZ22" s="332">
        <f>((1*(1 / BTU_kWh)*water_weight * AD22) / 'Annual Data'!$AL22)</f>
        <v>0.1568639061267971</v>
      </c>
      <c r="BA22" s="332">
        <f>((1*(1 / BTU_kWh)*water_weight * AE22) / 'Annual Data'!$AL22)</f>
        <v>0.13306109844013414</v>
      </c>
      <c r="BB22" s="332">
        <f>((1*(1 / BTU_kWh)*water_weight * AF22) / 'Annual Data'!$AL22)</f>
        <v>0.20119352217385653</v>
      </c>
      <c r="BC22" s="332">
        <f>((1*(1 / BTU_kWh)*water_weight * AG22) / 'Annual Data'!$AL22)</f>
        <v>0.14177573935639887</v>
      </c>
      <c r="BD22" s="332">
        <f>((1*(1 / BTU_kWh)*water_weight * AH22) / 'Annual Data'!$AL22)</f>
        <v>0.16064219598710655</v>
      </c>
    </row>
    <row r="23" spans="1:56" ht="15.75">
      <c r="A23" s="327">
        <v>2023</v>
      </c>
      <c r="B23" s="328">
        <v>0.60200000000000009</v>
      </c>
      <c r="C23" s="328">
        <v>0.65200000000000002</v>
      </c>
      <c r="D23" s="328">
        <v>0.63900000000000001</v>
      </c>
      <c r="E23" s="328">
        <v>0.65099999999999991</v>
      </c>
      <c r="F23" s="328">
        <v>0.65</v>
      </c>
      <c r="G23" s="328">
        <v>0.55200000000000005</v>
      </c>
      <c r="H23" s="328">
        <v>0.59499999999999997</v>
      </c>
      <c r="I23" s="328">
        <v>0.54</v>
      </c>
      <c r="J23" s="328">
        <v>0.66200000000000003</v>
      </c>
      <c r="K23" s="328">
        <v>0.55900000000000005</v>
      </c>
      <c r="L23" s="328">
        <v>0.59899999999999998</v>
      </c>
      <c r="M23" s="328">
        <v>0.67299999999999993</v>
      </c>
      <c r="N23" s="328">
        <v>0.72900000000000009</v>
      </c>
      <c r="O23" s="328">
        <v>0.71499999999999997</v>
      </c>
      <c r="P23" s="328">
        <v>0.72799999999999998</v>
      </c>
      <c r="Q23" s="328">
        <v>0.72599999999999998</v>
      </c>
      <c r="R23" s="328">
        <v>0.61699999999999999</v>
      </c>
      <c r="S23" s="328">
        <v>0.66500000000000004</v>
      </c>
      <c r="T23" s="328">
        <v>0.60399999999999998</v>
      </c>
      <c r="U23" s="328">
        <v>0.74</v>
      </c>
      <c r="V23" s="328">
        <v>0.625</v>
      </c>
      <c r="W23" s="328">
        <v>0.67</v>
      </c>
      <c r="X23" s="330">
        <v>63.504182138832242</v>
      </c>
      <c r="Y23" s="330">
        <v>73.987998631682871</v>
      </c>
      <c r="Z23" s="330">
        <v>70.392026418238146</v>
      </c>
      <c r="AA23" s="331">
        <v>73.644022870015363</v>
      </c>
      <c r="AB23" s="331">
        <v>73.650778058174097</v>
      </c>
      <c r="AC23" s="331">
        <v>54.256459860003481</v>
      </c>
      <c r="AD23" s="331">
        <v>60.251084748224805</v>
      </c>
      <c r="AE23" s="331">
        <v>51.108478150021327</v>
      </c>
      <c r="AF23" s="331">
        <v>77.277993737400948</v>
      </c>
      <c r="AG23" s="331">
        <v>54.455752748498995</v>
      </c>
      <c r="AH23" s="331">
        <v>61.702317655767288</v>
      </c>
      <c r="AI23" s="329">
        <f>(((((1 / BTU_therm) / (1 /water_weight) * X23) / 'Annual Data'!$AK23)) * (1 / therms_per_mcf))</f>
        <v>8.3846886385359194E-4</v>
      </c>
      <c r="AJ23" s="329">
        <f>(((((1 / BTU_therm) / (1 /water_weight) * Y23) / 'Annual Data'!$AK23)) * (1 / therms_per_mcf))</f>
        <v>9.7689051432682593E-4</v>
      </c>
      <c r="AK23" s="329">
        <f>(((((1 / BTU_therm) / (1 /water_weight) * Z23) / 'Annual Data'!$AK23)) * (1 / therms_per_mcf))</f>
        <v>9.2941158247215709E-4</v>
      </c>
      <c r="AL23" s="329">
        <f>(((((1 / BTU_therm) / (1 /water_weight) * AA23) / 'Annual Data'!$AK23)) * (1 / therms_per_mcf))</f>
        <v>9.7234887696744674E-4</v>
      </c>
      <c r="AM23" s="329">
        <f>(((((1 / BTU_therm) / (1 /water_weight) * AB23) / 'Annual Data'!$AK23)) * (1 / therms_per_mcf))</f>
        <v>9.7243806817895137E-4</v>
      </c>
      <c r="AN23" s="329">
        <f>(((((1 / BTU_therm) / (1 /water_weight) * AC23) / 'Annual Data'!$AK23)) * (1 / therms_per_mcf))</f>
        <v>7.1636781584054083E-4</v>
      </c>
      <c r="AO23" s="329">
        <f>(((((1 / BTU_therm) / (1 /water_weight) * AD23) / 'Annual Data'!$AK23)) * (1 / therms_per_mcf))</f>
        <v>7.9551703326163816E-4</v>
      </c>
      <c r="AP23" s="329">
        <f>(((((1 / BTU_therm) / (1 /water_weight) * AE23) / 'Annual Data'!$AK23)) * (1 / therms_per_mcf))</f>
        <v>6.7480386589421752E-4</v>
      </c>
      <c r="AQ23" s="329">
        <f>(((((1 / BTU_therm) / (1 /water_weight) * AF23) / 'Annual Data'!$AK23)) * (1 / therms_per_mcf))</f>
        <v>1.0203295189004865E-3</v>
      </c>
      <c r="AR23" s="329">
        <f>(((((1 / BTU_therm) / (1 /water_weight) * AG23) / 'Annual Data'!$AK23)) * (1 / therms_per_mcf))</f>
        <v>7.1899915248897794E-4</v>
      </c>
      <c r="AS23" s="329">
        <f>(((((1 / BTU_therm) / (1 /water_weight) * AH23) / 'Annual Data'!$AK23)) * (1 / therms_per_mcf))</f>
        <v>8.1467819030975048E-4</v>
      </c>
      <c r="AT23" s="332">
        <f>((1*(1 / BTU_kWh)*water_weight * X23) / 'Annual Data'!$AL23)</f>
        <v>0.16490659013417888</v>
      </c>
      <c r="AU23" s="332">
        <f>((1*(1 / BTU_kWh)*water_weight * Y23) / 'Annual Data'!$AL23)</f>
        <v>0.19213078815075776</v>
      </c>
      <c r="AV23" s="332">
        <f>((1*(1 / BTU_kWh)*water_weight * Z23) / 'Annual Data'!$AL23)</f>
        <v>0.18279282809892977</v>
      </c>
      <c r="AW23" s="332">
        <f>((1*(1 / BTU_kWh)*water_weight * AA23) / 'Annual Data'!$AL23)</f>
        <v>0.1912375576888429</v>
      </c>
      <c r="AX23" s="332">
        <f>((1*(1 / BTU_kWh)*water_weight * AB23) / 'Annual Data'!$AL23)</f>
        <v>0.19125509944762875</v>
      </c>
      <c r="AY23" s="332">
        <f>((1*(1 / BTU_kWh)*water_weight * AC23) / 'Annual Data'!$AL23)</f>
        <v>0.14089226074441419</v>
      </c>
      <c r="AZ23" s="332">
        <f>((1*(1 / BTU_kWh)*water_weight * AD23) / 'Annual Data'!$AL23)</f>
        <v>0.15645900164486221</v>
      </c>
      <c r="BA23" s="332">
        <f>((1*(1 / BTU_kWh)*water_weight * AE23) / 'Annual Data'!$AL23)</f>
        <v>0.13271763488334856</v>
      </c>
      <c r="BB23" s="332">
        <f>((1*(1 / BTU_kWh)*water_weight * AF23) / 'Annual Data'!$AL23)</f>
        <v>0.20067419200494813</v>
      </c>
      <c r="BC23" s="332">
        <f>((1*(1 / BTU_kWh)*water_weight * AG23) / 'Annual Data'!$AL23)</f>
        <v>0.14140978115917893</v>
      </c>
      <c r="BD23" s="332">
        <f>((1*(1 / BTU_kWh)*water_weight * AH23) / 'Annual Data'!$AL23)</f>
        <v>0.16022753880592897</v>
      </c>
    </row>
    <row r="24" spans="1:56" ht="15.75">
      <c r="A24" s="327">
        <v>2024</v>
      </c>
      <c r="B24" s="328">
        <v>0.60200000000000009</v>
      </c>
      <c r="C24" s="328">
        <v>0.65200000000000002</v>
      </c>
      <c r="D24" s="328">
        <v>0.63900000000000001</v>
      </c>
      <c r="E24" s="328">
        <v>0.65099999999999991</v>
      </c>
      <c r="F24" s="328">
        <v>0.65</v>
      </c>
      <c r="G24" s="328">
        <v>0.55200000000000005</v>
      </c>
      <c r="H24" s="328">
        <v>0.59499999999999997</v>
      </c>
      <c r="I24" s="328">
        <v>0.54</v>
      </c>
      <c r="J24" s="328">
        <v>0.66200000000000003</v>
      </c>
      <c r="K24" s="328">
        <v>0.55900000000000005</v>
      </c>
      <c r="L24" s="328">
        <v>0.59899999999999998</v>
      </c>
      <c r="M24" s="328">
        <v>0.67299999999999993</v>
      </c>
      <c r="N24" s="328">
        <v>0.72900000000000009</v>
      </c>
      <c r="O24" s="328">
        <v>0.71499999999999997</v>
      </c>
      <c r="P24" s="328">
        <v>0.72799999999999998</v>
      </c>
      <c r="Q24" s="328">
        <v>0.72599999999999998</v>
      </c>
      <c r="R24" s="328">
        <v>0.61699999999999999</v>
      </c>
      <c r="S24" s="328">
        <v>0.66500000000000004</v>
      </c>
      <c r="T24" s="328">
        <v>0.60399999999999998</v>
      </c>
      <c r="U24" s="328">
        <v>0.74</v>
      </c>
      <c r="V24" s="328">
        <v>0.625</v>
      </c>
      <c r="W24" s="328">
        <v>0.67</v>
      </c>
      <c r="X24" s="330">
        <v>63.504182138832242</v>
      </c>
      <c r="Y24" s="330">
        <v>73.987998631682871</v>
      </c>
      <c r="Z24" s="330">
        <v>70.392026418238146</v>
      </c>
      <c r="AA24" s="331">
        <v>73.644022870015363</v>
      </c>
      <c r="AB24" s="331">
        <v>73.650778058174097</v>
      </c>
      <c r="AC24" s="331">
        <v>54.256459860003481</v>
      </c>
      <c r="AD24" s="331">
        <v>60.251084748224805</v>
      </c>
      <c r="AE24" s="331">
        <v>51.108478150021327</v>
      </c>
      <c r="AF24" s="331">
        <v>77.277993737400948</v>
      </c>
      <c r="AG24" s="331">
        <v>54.455752748498995</v>
      </c>
      <c r="AH24" s="331">
        <v>61.702317655767288</v>
      </c>
      <c r="AI24" s="329">
        <f>(((((1 / BTU_therm) / (1 /water_weight) * X24) / 'Annual Data'!$AK24)) * (1 / therms_per_mcf))</f>
        <v>8.3625480464041575E-4</v>
      </c>
      <c r="AJ24" s="329">
        <f>(((((1 / BTU_therm) / (1 /water_weight) * Y24) / 'Annual Data'!$AK24)) * (1 / therms_per_mcf))</f>
        <v>9.7431093917889594E-4</v>
      </c>
      <c r="AK24" s="329">
        <f>(((((1 / BTU_therm) / (1 /water_weight) * Z24) / 'Annual Data'!$AK24)) * (1 / therms_per_mcf))</f>
        <v>9.2695738009719033E-4</v>
      </c>
      <c r="AL24" s="329">
        <f>(((((1 / BTU_therm) / (1 /water_weight) * AA24) / 'Annual Data'!$AK24)) * (1 / therms_per_mcf))</f>
        <v>9.6978129445808939E-4</v>
      </c>
      <c r="AM24" s="329">
        <f>(((((1 / BTU_therm) / (1 /water_weight) * AB24) / 'Annual Data'!$AK24)) * (1 / therms_per_mcf))</f>
        <v>9.6987025015145831E-4</v>
      </c>
      <c r="AN24" s="329">
        <f>(((((1 / BTU_therm) / (1 /water_weight) * AC24) / 'Annual Data'!$AK24)) * (1 / therms_per_mcf))</f>
        <v>7.1447617641174309E-4</v>
      </c>
      <c r="AO24" s="329">
        <f>(((((1 / BTU_therm) / (1 /water_weight) * AD24) / 'Annual Data'!$AK24)) * (1 / therms_per_mcf))</f>
        <v>7.934163925668406E-4</v>
      </c>
      <c r="AP24" s="329">
        <f>(((((1 / BTU_therm) / (1 /water_weight) * AE24) / 'Annual Data'!$AK24)) * (1 / therms_per_mcf))</f>
        <v>6.7302198014892772E-4</v>
      </c>
      <c r="AQ24" s="329">
        <f>(((((1 / BTU_therm) / (1 /water_weight) * AF24) / 'Annual Data'!$AK24)) * (1 / therms_per_mcf))</f>
        <v>1.0176352388035314E-3</v>
      </c>
      <c r="AR24" s="329">
        <f>(((((1 / BTU_therm) / (1 /water_weight) * AG24) / 'Annual Data'!$AK24)) * (1 / therms_per_mcf))</f>
        <v>7.1710056475786333E-4</v>
      </c>
      <c r="AS24" s="329">
        <f>(((((1 / BTU_therm) / (1 /water_weight) * AH24) / 'Annual Data'!$AK24)) * (1 / therms_per_mcf))</f>
        <v>8.1252695270178611E-4</v>
      </c>
      <c r="AT24" s="332">
        <f>((1*(1 / BTU_kWh)*water_weight * X24) / 'Annual Data'!$AL24)</f>
        <v>0.16453202368258801</v>
      </c>
      <c r="AU24" s="332">
        <f>((1*(1 / BTU_kWh)*water_weight * Y24) / 'Annual Data'!$AL24)</f>
        <v>0.19169438504824726</v>
      </c>
      <c r="AV24" s="332">
        <f>((1*(1 / BTU_kWh)*water_weight * Z24) / 'Annual Data'!$AL24)</f>
        <v>0.18237763510426799</v>
      </c>
      <c r="AW24" s="332">
        <f>((1*(1 / BTU_kWh)*water_weight * AA24) / 'Annual Data'!$AL24)</f>
        <v>0.19080318345712707</v>
      </c>
      <c r="AX24" s="332">
        <f>((1*(1 / BTU_kWh)*water_weight * AB24) / 'Annual Data'!$AL24)</f>
        <v>0.1908206853718149</v>
      </c>
      <c r="AY24" s="332">
        <f>((1*(1 / BTU_kWh)*water_weight * AC24) / 'Annual Data'!$AL24)</f>
        <v>0.14057224009441646</v>
      </c>
      <c r="AZ24" s="332">
        <f>((1*(1 / BTU_kWh)*water_weight * AD24) / 'Annual Data'!$AL24)</f>
        <v>0.1561036229239883</v>
      </c>
      <c r="BA24" s="332">
        <f>((1*(1 / BTU_kWh)*water_weight * AE24) / 'Annual Data'!$AL24)</f>
        <v>0.13241618196068891</v>
      </c>
      <c r="BB24" s="332">
        <f>((1*(1 / BTU_kWh)*water_weight * AF24) / 'Annual Data'!$AL24)</f>
        <v>0.20021838353808216</v>
      </c>
      <c r="BC24" s="332">
        <f>((1*(1 / BTU_kWh)*water_weight * AG24) / 'Annual Data'!$AL24)</f>
        <v>0.14108858502077151</v>
      </c>
      <c r="BD24" s="332">
        <f>((1*(1 / BTU_kWh)*water_weight * AH24) / 'Annual Data'!$AL24)</f>
        <v>0.15986360028407343</v>
      </c>
    </row>
    <row r="25" spans="1:56" ht="15.75">
      <c r="A25" s="327">
        <v>2025</v>
      </c>
      <c r="B25" s="328">
        <v>0.60200000000000009</v>
      </c>
      <c r="C25" s="328">
        <v>0.65200000000000002</v>
      </c>
      <c r="D25" s="328">
        <v>0.63900000000000001</v>
      </c>
      <c r="E25" s="328">
        <v>0.65099999999999991</v>
      </c>
      <c r="F25" s="328">
        <v>0.65</v>
      </c>
      <c r="G25" s="328">
        <v>0.55200000000000005</v>
      </c>
      <c r="H25" s="328">
        <v>0.59499999999999997</v>
      </c>
      <c r="I25" s="328">
        <v>0.54</v>
      </c>
      <c r="J25" s="328">
        <v>0.66200000000000003</v>
      </c>
      <c r="K25" s="328">
        <v>0.55900000000000005</v>
      </c>
      <c r="L25" s="328">
        <v>0.59899999999999998</v>
      </c>
      <c r="M25" s="328">
        <v>0.67299999999999993</v>
      </c>
      <c r="N25" s="328">
        <v>0.72900000000000009</v>
      </c>
      <c r="O25" s="328">
        <v>0.71499999999999997</v>
      </c>
      <c r="P25" s="328">
        <v>0.72799999999999998</v>
      </c>
      <c r="Q25" s="328">
        <v>0.72599999999999998</v>
      </c>
      <c r="R25" s="328">
        <v>0.61699999999999999</v>
      </c>
      <c r="S25" s="328">
        <v>0.66500000000000004</v>
      </c>
      <c r="T25" s="328">
        <v>0.60399999999999998</v>
      </c>
      <c r="U25" s="328">
        <v>0.74</v>
      </c>
      <c r="V25" s="328">
        <v>0.625</v>
      </c>
      <c r="W25" s="328">
        <v>0.67</v>
      </c>
      <c r="X25" s="330">
        <v>63.504182138832242</v>
      </c>
      <c r="Y25" s="330">
        <v>73.987998631682871</v>
      </c>
      <c r="Z25" s="330">
        <v>70.392026418238146</v>
      </c>
      <c r="AA25" s="331">
        <v>73.644022870015363</v>
      </c>
      <c r="AB25" s="331">
        <v>73.650778058174097</v>
      </c>
      <c r="AC25" s="331">
        <v>54.256459860003481</v>
      </c>
      <c r="AD25" s="331">
        <v>60.251084748224805</v>
      </c>
      <c r="AE25" s="331">
        <v>51.108478150021327</v>
      </c>
      <c r="AF25" s="331">
        <v>77.277993737400948</v>
      </c>
      <c r="AG25" s="331">
        <v>54.455752748498995</v>
      </c>
      <c r="AH25" s="331">
        <v>61.702317655767288</v>
      </c>
      <c r="AI25" s="329">
        <f>(((((1 / BTU_therm) / (1 /water_weight) * X25) / 'Annual Data'!$AK25)) * (1 / therms_per_mcf))</f>
        <v>8.3431755596635596E-4</v>
      </c>
      <c r="AJ25" s="329">
        <f>(((((1 / BTU_therm) / (1 /water_weight) * Y25) / 'Annual Data'!$AK25)) * (1 / therms_per_mcf))</f>
        <v>9.7205387283431715E-4</v>
      </c>
      <c r="AK25" s="329">
        <f>(((((1 / BTU_therm) / (1 /water_weight) * Z25) / 'Annual Data'!$AK25)) * (1 / therms_per_mcf))</f>
        <v>9.24810011920005E-4</v>
      </c>
      <c r="AL25" s="329">
        <f>(((((1 / BTU_therm) / (1 /water_weight) * AA25) / 'Annual Data'!$AK25)) * (1 / therms_per_mcf))</f>
        <v>9.6753472138443768E-4</v>
      </c>
      <c r="AM25" s="329">
        <f>(((((1 / BTU_therm) / (1 /water_weight) * AB25) / 'Annual Data'!$AK25)) * (1 / therms_per_mcf))</f>
        <v>9.6762347100509064E-4</v>
      </c>
      <c r="AN25" s="329">
        <f>(((((1 / BTU_therm) / (1 /water_weight) * AC25) / 'Annual Data'!$AK25)) * (1 / therms_per_mcf))</f>
        <v>7.1282103731093265E-4</v>
      </c>
      <c r="AO25" s="329">
        <f>(((((1 / BTU_therm) / (1 /water_weight) * AD25) / 'Annual Data'!$AK25)) * (1 / therms_per_mcf))</f>
        <v>7.9157838237431529E-4</v>
      </c>
      <c r="AP25" s="329">
        <f>(((((1 / BTU_therm) / (1 /water_weight) * AE25) / 'Annual Data'!$AK25)) * (1 / therms_per_mcf))</f>
        <v>6.7146287288709589E-4</v>
      </c>
      <c r="AQ25" s="329">
        <f>(((((1 / BTU_therm) / (1 /water_weight) * AF25) / 'Annual Data'!$AK25)) * (1 / therms_per_mcf))</f>
        <v>1.0152778083814768E-3</v>
      </c>
      <c r="AR25" s="329">
        <f>(((((1 / BTU_therm) / (1 /water_weight) * AG25) / 'Annual Data'!$AK25)) * (1 / therms_per_mcf))</f>
        <v>7.1543934605928486E-4</v>
      </c>
      <c r="AS25" s="329">
        <f>(((((1 / BTU_therm) / (1 /water_weight) * AH25) / 'Annual Data'!$AK25)) * (1 / therms_per_mcf))</f>
        <v>8.1064467142456667E-4</v>
      </c>
      <c r="AT25" s="332">
        <f>((1*(1 / BTU_kWh)*water_weight * X25) / 'Annual Data'!$AL25)</f>
        <v>0.16422418344552722</v>
      </c>
      <c r="AU25" s="332">
        <f>((1*(1 / BTU_kWh)*water_weight * Y25) / 'Annual Data'!$AL25)</f>
        <v>0.19133572389757472</v>
      </c>
      <c r="AV25" s="332">
        <f>((1*(1 / BTU_kWh)*water_weight * Z25) / 'Annual Data'!$AL25)</f>
        <v>0.18203640563921628</v>
      </c>
      <c r="AW25" s="332">
        <f>((1*(1 / BTU_kWh)*water_weight * AA25) / 'Annual Data'!$AL25)</f>
        <v>0.1904461897490772</v>
      </c>
      <c r="AX25" s="332">
        <f>((1*(1 / BTU_kWh)*water_weight * AB25) / 'Annual Data'!$AL25)</f>
        <v>0.19046365891759531</v>
      </c>
      <c r="AY25" s="332">
        <f>((1*(1 / BTU_kWh)*water_weight * AC25) / 'Annual Data'!$AL25)</f>
        <v>0.14030922873196996</v>
      </c>
      <c r="AZ25" s="332">
        <f>((1*(1 / BTU_kWh)*water_weight * AD25) / 'Annual Data'!$AL25)</f>
        <v>0.15581155226679103</v>
      </c>
      <c r="BA25" s="332">
        <f>((1*(1 / BTU_kWh)*water_weight * AE25) / 'Annual Data'!$AL25)</f>
        <v>0.13216843062369626</v>
      </c>
      <c r="BB25" s="332">
        <f>((1*(1 / BTU_kWh)*water_weight * AF25) / 'Annual Data'!$AL25)</f>
        <v>0.19984377394371408</v>
      </c>
      <c r="BC25" s="332">
        <f>((1*(1 / BTU_kWh)*water_weight * AG25) / 'Annual Data'!$AL25)</f>
        <v>0.14082460757439211</v>
      </c>
      <c r="BD25" s="332">
        <f>((1*(1 / BTU_kWh)*water_weight * AH25) / 'Annual Data'!$AL25)</f>
        <v>0.15956449469047917</v>
      </c>
    </row>
    <row r="26" spans="1:56" ht="15.75">
      <c r="A26" s="327">
        <v>2026</v>
      </c>
      <c r="B26" s="328">
        <v>0.60200000000000009</v>
      </c>
      <c r="C26" s="328">
        <v>0.65200000000000002</v>
      </c>
      <c r="D26" s="328">
        <v>0.63900000000000001</v>
      </c>
      <c r="E26" s="328">
        <v>0.65099999999999991</v>
      </c>
      <c r="F26" s="328">
        <v>0.65</v>
      </c>
      <c r="G26" s="328">
        <v>0.55200000000000005</v>
      </c>
      <c r="H26" s="328">
        <v>0.59499999999999997</v>
      </c>
      <c r="I26" s="328">
        <v>0.54</v>
      </c>
      <c r="J26" s="328">
        <v>0.66200000000000003</v>
      </c>
      <c r="K26" s="328">
        <v>0.55900000000000005</v>
      </c>
      <c r="L26" s="328">
        <v>0.59899999999999998</v>
      </c>
      <c r="M26" s="328">
        <v>0.67299999999999993</v>
      </c>
      <c r="N26" s="328">
        <v>0.72900000000000009</v>
      </c>
      <c r="O26" s="328">
        <v>0.71499999999999997</v>
      </c>
      <c r="P26" s="328">
        <v>0.72799999999999998</v>
      </c>
      <c r="Q26" s="328">
        <v>0.72599999999999998</v>
      </c>
      <c r="R26" s="328">
        <v>0.61699999999999999</v>
      </c>
      <c r="S26" s="328">
        <v>0.66500000000000004</v>
      </c>
      <c r="T26" s="328">
        <v>0.60399999999999998</v>
      </c>
      <c r="U26" s="328">
        <v>0.74</v>
      </c>
      <c r="V26" s="328">
        <v>0.625</v>
      </c>
      <c r="W26" s="328">
        <v>0.67</v>
      </c>
      <c r="X26" s="330">
        <v>63.504182138832242</v>
      </c>
      <c r="Y26" s="330">
        <v>73.987998631682871</v>
      </c>
      <c r="Z26" s="330">
        <v>70.392026418238146</v>
      </c>
      <c r="AA26" s="331">
        <v>73.644022870015363</v>
      </c>
      <c r="AB26" s="331">
        <v>73.650778058174097</v>
      </c>
      <c r="AC26" s="331">
        <v>54.256459860003481</v>
      </c>
      <c r="AD26" s="331">
        <v>60.251084748224805</v>
      </c>
      <c r="AE26" s="331">
        <v>51.108478150021327</v>
      </c>
      <c r="AF26" s="331">
        <v>77.277993737400948</v>
      </c>
      <c r="AG26" s="331">
        <v>54.455752748498995</v>
      </c>
      <c r="AH26" s="331">
        <v>61.702317655767288</v>
      </c>
      <c r="AI26" s="329">
        <f>(((((1 / BTU_therm) / (1 /water_weight) * X26) / 'Annual Data'!$AK26)) * (1 / therms_per_mcf))</f>
        <v>8.3272761039904003E-4</v>
      </c>
      <c r="AJ26" s="329">
        <f>(((((1 / BTU_therm) / (1 /water_weight) * Y26) / 'Annual Data'!$AK26)) * (1 / therms_per_mcf))</f>
        <v>9.7020144537998286E-4</v>
      </c>
      <c r="AK26" s="329">
        <f>(((((1 / BTU_therm) / (1 /water_weight) * Z26) / 'Annual Data'!$AK26)) * (1 / therms_per_mcf))</f>
        <v>9.230476163326817E-4</v>
      </c>
      <c r="AL26" s="329">
        <f>(((((1 / BTU_therm) / (1 /water_weight) * AA26) / 'Annual Data'!$AK26)) * (1 / therms_per_mcf))</f>
        <v>9.6569090600444427E-4</v>
      </c>
      <c r="AM26" s="329">
        <f>(((((1 / BTU_therm) / (1 /water_weight) * AB26) / 'Annual Data'!$AK26)) * (1 / therms_per_mcf))</f>
        <v>9.6577948649637015E-4</v>
      </c>
      <c r="AN26" s="329">
        <f>(((((1 / BTU_therm) / (1 /water_weight) * AC26) / 'Annual Data'!$AK26)) * (1 / therms_per_mcf))</f>
        <v>7.1146262570799177E-4</v>
      </c>
      <c r="AO26" s="329">
        <f>(((((1 / BTU_therm) / (1 /water_weight) * AD26) / 'Annual Data'!$AK26)) * (1 / therms_per_mcf))</f>
        <v>7.9006988416372521E-4</v>
      </c>
      <c r="AP26" s="329">
        <f>(((((1 / BTU_therm) / (1 /water_weight) * AE26) / 'Annual Data'!$AK26)) * (1 / therms_per_mcf))</f>
        <v>6.7018327687388794E-4</v>
      </c>
      <c r="AQ26" s="329">
        <f>(((((1 / BTU_therm) / (1 /water_weight) * AF26) / 'Annual Data'!$AK26)) * (1 / therms_per_mcf))</f>
        <v>1.0133430097673442E-3</v>
      </c>
      <c r="AR26" s="329">
        <f>(((((1 / BTU_therm) / (1 /water_weight) * AG26) / 'Annual Data'!$AK26)) * (1 / therms_per_mcf))</f>
        <v>7.1407594478741204E-4</v>
      </c>
      <c r="AS26" s="329">
        <f>(((((1 / BTU_therm) / (1 /water_weight) * AH26) / 'Annual Data'!$AK26)) * (1 / therms_per_mcf))</f>
        <v>8.0909983889313711E-4</v>
      </c>
      <c r="AT26" s="332">
        <f>((1*(1 / BTU_kWh)*water_weight * X26) / 'Annual Data'!$AL26)</f>
        <v>0.16397558912404286</v>
      </c>
      <c r="AU26" s="332">
        <f>((1*(1 / BTU_kWh)*water_weight * Y26) / 'Annual Data'!$AL26)</f>
        <v>0.19104608948770835</v>
      </c>
      <c r="AV26" s="332">
        <f>((1*(1 / BTU_kWh)*water_weight * Z26) / 'Annual Data'!$AL26)</f>
        <v>0.18176084807031326</v>
      </c>
      <c r="AW26" s="332">
        <f>((1*(1 / BTU_kWh)*water_weight * AA26) / 'Annual Data'!$AL26)</f>
        <v>0.190157901871332</v>
      </c>
      <c r="AX26" s="332">
        <f>((1*(1 / BTU_kWh)*water_weight * AB26) / 'Annual Data'!$AL26)</f>
        <v>0.19017534459590013</v>
      </c>
      <c r="AY26" s="332">
        <f>((1*(1 / BTU_kWh)*water_weight * AC26) / 'Annual Data'!$AL26)</f>
        <v>0.14009683566791079</v>
      </c>
      <c r="AZ26" s="332">
        <f>((1*(1 / BTU_kWh)*water_weight * AD26) / 'Annual Data'!$AL26)</f>
        <v>0.15557569256389878</v>
      </c>
      <c r="BA26" s="332">
        <f>((1*(1 / BTU_kWh)*water_weight * AE26) / 'Annual Data'!$AL26)</f>
        <v>0.13196836069097867</v>
      </c>
      <c r="BB26" s="332">
        <f>((1*(1 / BTU_kWh)*water_weight * AF26) / 'Annual Data'!$AL26)</f>
        <v>0.19954126047496612</v>
      </c>
      <c r="BC26" s="332">
        <f>((1*(1 / BTU_kWh)*water_weight * AG26) / 'Annual Data'!$AL26)</f>
        <v>0.14061143435572382</v>
      </c>
      <c r="BD26" s="332">
        <f>((1*(1 / BTU_kWh)*water_weight * AH26) / 'Annual Data'!$AL26)</f>
        <v>0.15932295397182047</v>
      </c>
    </row>
    <row r="27" spans="1:56" ht="15.75">
      <c r="A27" s="327">
        <v>2027</v>
      </c>
      <c r="B27" s="328">
        <v>0.60200000000000009</v>
      </c>
      <c r="C27" s="328">
        <v>0.65200000000000002</v>
      </c>
      <c r="D27" s="328">
        <v>0.63900000000000001</v>
      </c>
      <c r="E27" s="328">
        <v>0.65099999999999991</v>
      </c>
      <c r="F27" s="328">
        <v>0.65</v>
      </c>
      <c r="G27" s="328">
        <v>0.55200000000000005</v>
      </c>
      <c r="H27" s="328">
        <v>0.59499999999999997</v>
      </c>
      <c r="I27" s="328">
        <v>0.54</v>
      </c>
      <c r="J27" s="328">
        <v>0.66200000000000003</v>
      </c>
      <c r="K27" s="328">
        <v>0.55900000000000005</v>
      </c>
      <c r="L27" s="328">
        <v>0.59899999999999998</v>
      </c>
      <c r="M27" s="328">
        <v>0.67299999999999993</v>
      </c>
      <c r="N27" s="328">
        <v>0.72900000000000009</v>
      </c>
      <c r="O27" s="328">
        <v>0.71499999999999997</v>
      </c>
      <c r="P27" s="328">
        <v>0.72799999999999998</v>
      </c>
      <c r="Q27" s="328">
        <v>0.72599999999999998</v>
      </c>
      <c r="R27" s="328">
        <v>0.61699999999999999</v>
      </c>
      <c r="S27" s="328">
        <v>0.66500000000000004</v>
      </c>
      <c r="T27" s="328">
        <v>0.60399999999999998</v>
      </c>
      <c r="U27" s="328">
        <v>0.74</v>
      </c>
      <c r="V27" s="328">
        <v>0.625</v>
      </c>
      <c r="W27" s="328">
        <v>0.67</v>
      </c>
      <c r="X27" s="330">
        <v>63.504182138832242</v>
      </c>
      <c r="Y27" s="330">
        <v>73.987998631682871</v>
      </c>
      <c r="Z27" s="330">
        <v>70.392026418238146</v>
      </c>
      <c r="AA27" s="331">
        <v>73.644022870015363</v>
      </c>
      <c r="AB27" s="331">
        <v>73.650778058174097</v>
      </c>
      <c r="AC27" s="331">
        <v>54.256459860003481</v>
      </c>
      <c r="AD27" s="331">
        <v>60.251084748224805</v>
      </c>
      <c r="AE27" s="331">
        <v>51.108478150021327</v>
      </c>
      <c r="AF27" s="331">
        <v>77.277993737400948</v>
      </c>
      <c r="AG27" s="331">
        <v>54.455752748498995</v>
      </c>
      <c r="AH27" s="331">
        <v>61.702317655767288</v>
      </c>
      <c r="AI27" s="329">
        <f>(((((1 / BTU_therm) / (1 /water_weight) * X27) / 'Annual Data'!$AK27)) * (1 / therms_per_mcf))</f>
        <v>8.3153602953109406E-4</v>
      </c>
      <c r="AJ27" s="329">
        <f>(((((1 / BTU_therm) / (1 /water_weight) * Y27) / 'Annual Data'!$AK27)) * (1 / therms_per_mcf))</f>
        <v>9.6881314809533494E-4</v>
      </c>
      <c r="AK27" s="329">
        <f>(((((1 / BTU_therm) / (1 /water_weight) * Z27) / 'Annual Data'!$AK27)) * (1 / therms_per_mcf))</f>
        <v>9.2172679321346474E-4</v>
      </c>
      <c r="AL27" s="329">
        <f>(((((1 / BTU_therm) / (1 /water_weight) * AA27) / 'Annual Data'!$AK27)) * (1 / therms_per_mcf))</f>
        <v>9.6430906301812501E-4</v>
      </c>
      <c r="AM27" s="329">
        <f>(((((1 / BTU_therm) / (1 /water_weight) * AB27) / 'Annual Data'!$AK27)) * (1 / therms_per_mcf))</f>
        <v>9.6439751675693485E-4</v>
      </c>
      <c r="AN27" s="329">
        <f>(((((1 / BTU_therm) / (1 /water_weight) * AC27) / 'Annual Data'!$AK27)) * (1 / therms_per_mcf))</f>
        <v>7.1044456741081816E-4</v>
      </c>
      <c r="AO27" s="329">
        <f>(((((1 / BTU_therm) / (1 /water_weight) * AD27) / 'Annual Data'!$AK27)) * (1 / therms_per_mcf))</f>
        <v>7.8893934382069663E-4</v>
      </c>
      <c r="AP27" s="329">
        <f>(((((1 / BTU_therm) / (1 /water_weight) * AE27) / 'Annual Data'!$AK27)) * (1 / therms_per_mcf))</f>
        <v>6.6922428673021103E-4</v>
      </c>
      <c r="AQ27" s="329">
        <f>(((((1 / BTU_therm) / (1 /water_weight) * AF27) / 'Annual Data'!$AK27)) * (1 / therms_per_mcf))</f>
        <v>1.0118929796157955E-3</v>
      </c>
      <c r="AR27" s="329">
        <f>(((((1 / BTU_therm) / (1 /water_weight) * AG27) / 'Annual Data'!$AK27)) * (1 / therms_per_mcf))</f>
        <v>7.1305414699490048E-4</v>
      </c>
      <c r="AS27" s="329">
        <f>(((((1 / BTU_therm) / (1 /water_weight) * AH27) / 'Annual Data'!$AK27)) * (1 / therms_per_mcf))</f>
        <v>8.0794206788105155E-4</v>
      </c>
      <c r="AT27" s="332">
        <f>((1*(1 / BTU_kWh)*water_weight * X27) / 'Annual Data'!$AL27)</f>
        <v>0.1637923218227724</v>
      </c>
      <c r="AU27" s="332">
        <f>((1*(1 / BTU_kWh)*water_weight * Y27) / 'Annual Data'!$AL27)</f>
        <v>0.19083256684433367</v>
      </c>
      <c r="AV27" s="332">
        <f>((1*(1 / BTU_kWh)*water_weight * Z27) / 'Annual Data'!$AL27)</f>
        <v>0.18155770307610758</v>
      </c>
      <c r="AW27" s="332">
        <f>((1*(1 / BTU_kWh)*water_weight * AA27) / 'Annual Data'!$AL27)</f>
        <v>0.18994537191076055</v>
      </c>
      <c r="AX27" s="332">
        <f>((1*(1 / BTU_kWh)*water_weight * AB27) / 'Annual Data'!$AL27)</f>
        <v>0.18996279514046926</v>
      </c>
      <c r="AY27" s="332">
        <f>((1*(1 / BTU_kWh)*water_weight * AC27) / 'Annual Data'!$AL27)</f>
        <v>0.13994025645312311</v>
      </c>
      <c r="AZ27" s="332">
        <f>((1*(1 / BTU_kWh)*water_weight * AD27) / 'Annual Data'!$AL27)</f>
        <v>0.15540181340620352</v>
      </c>
      <c r="BA27" s="332">
        <f>((1*(1 / BTU_kWh)*water_weight * AE27) / 'Annual Data'!$AL27)</f>
        <v>0.13182086626546008</v>
      </c>
      <c r="BB27" s="332">
        <f>((1*(1 / BTU_kWh)*water_weight * AF27) / 'Annual Data'!$AL27)</f>
        <v>0.19931824320456198</v>
      </c>
      <c r="BC27" s="332">
        <f>((1*(1 / BTU_kWh)*water_weight * AG27) / 'Annual Data'!$AL27)</f>
        <v>0.14045427999976262</v>
      </c>
      <c r="BD27" s="332">
        <f>((1*(1 / BTU_kWh)*water_weight * AH27) / 'Annual Data'!$AL27)</f>
        <v>0.15914488668777632</v>
      </c>
    </row>
    <row r="28" spans="1:56" ht="15.75">
      <c r="A28" s="327">
        <v>2028</v>
      </c>
      <c r="B28" s="328">
        <v>0.60200000000000009</v>
      </c>
      <c r="C28" s="328">
        <v>0.65200000000000002</v>
      </c>
      <c r="D28" s="328">
        <v>0.63900000000000001</v>
      </c>
      <c r="E28" s="328">
        <v>0.65099999999999991</v>
      </c>
      <c r="F28" s="328">
        <v>0.65</v>
      </c>
      <c r="G28" s="328">
        <v>0.55200000000000005</v>
      </c>
      <c r="H28" s="328">
        <v>0.59499999999999997</v>
      </c>
      <c r="I28" s="328">
        <v>0.54</v>
      </c>
      <c r="J28" s="328">
        <v>0.66200000000000003</v>
      </c>
      <c r="K28" s="328">
        <v>0.55900000000000005</v>
      </c>
      <c r="L28" s="328">
        <v>0.59899999999999998</v>
      </c>
      <c r="M28" s="328">
        <v>0.67299999999999993</v>
      </c>
      <c r="N28" s="328">
        <v>0.72900000000000009</v>
      </c>
      <c r="O28" s="328">
        <v>0.71499999999999997</v>
      </c>
      <c r="P28" s="328">
        <v>0.72799999999999998</v>
      </c>
      <c r="Q28" s="328">
        <v>0.72599999999999998</v>
      </c>
      <c r="R28" s="328">
        <v>0.61699999999999999</v>
      </c>
      <c r="S28" s="328">
        <v>0.66500000000000004</v>
      </c>
      <c r="T28" s="328">
        <v>0.60399999999999998</v>
      </c>
      <c r="U28" s="328">
        <v>0.74</v>
      </c>
      <c r="V28" s="328">
        <v>0.625</v>
      </c>
      <c r="W28" s="328">
        <v>0.67</v>
      </c>
      <c r="X28" s="330">
        <v>63.504182138832242</v>
      </c>
      <c r="Y28" s="330">
        <v>73.987998631682871</v>
      </c>
      <c r="Z28" s="330">
        <v>70.392026418238146</v>
      </c>
      <c r="AA28" s="331">
        <v>73.644022870015363</v>
      </c>
      <c r="AB28" s="331">
        <v>73.650778058174097</v>
      </c>
      <c r="AC28" s="331">
        <v>54.256459860003481</v>
      </c>
      <c r="AD28" s="331">
        <v>60.251084748224805</v>
      </c>
      <c r="AE28" s="331">
        <v>51.108478150021327</v>
      </c>
      <c r="AF28" s="331">
        <v>77.277993737400948</v>
      </c>
      <c r="AG28" s="331">
        <v>54.455752748498995</v>
      </c>
      <c r="AH28" s="331">
        <v>61.702317655767288</v>
      </c>
      <c r="AI28" s="329">
        <f>(((((1 / BTU_therm) / (1 /water_weight) * X28) / 'Annual Data'!$AK28)) * (1 / therms_per_mcf))</f>
        <v>8.3067970524282374E-4</v>
      </c>
      <c r="AJ28" s="329">
        <f>(((((1 / BTU_therm) / (1 /water_weight) * Y28) / 'Annual Data'!$AK28)) * (1 / therms_per_mcf))</f>
        <v>9.6781545442958035E-4</v>
      </c>
      <c r="AK28" s="329">
        <f>(((((1 / BTU_therm) / (1 /water_weight) * Z28) / 'Annual Data'!$AK28)) * (1 / therms_per_mcf))</f>
        <v>9.2077758955644057E-4</v>
      </c>
      <c r="AL28" s="329">
        <f>(((((1 / BTU_therm) / (1 /water_weight) * AA28) / 'Annual Data'!$AK28)) * (1 / therms_per_mcf))</f>
        <v>9.6331600770514292E-4</v>
      </c>
      <c r="AM28" s="329">
        <f>(((((1 / BTU_therm) / (1 /water_weight) * AB28) / 'Annual Data'!$AK28)) * (1 / therms_per_mcf))</f>
        <v>9.6340437035339016E-4</v>
      </c>
      <c r="AN28" s="329">
        <f>(((((1 / BTU_therm) / (1 /water_weight) * AC28) / 'Annual Data'!$AK28)) * (1 / therms_per_mcf))</f>
        <v>7.0971294434586597E-4</v>
      </c>
      <c r="AO28" s="329">
        <f>(((((1 / BTU_therm) / (1 /water_weight) * AD28) / 'Annual Data'!$AK28)) * (1 / therms_per_mcf))</f>
        <v>7.8812688603403065E-4</v>
      </c>
      <c r="AP28" s="329">
        <f>(((((1 / BTU_therm) / (1 /water_weight) * AE28) / 'Annual Data'!$AK28)) * (1 / therms_per_mcf))</f>
        <v>6.6853511273091872E-4</v>
      </c>
      <c r="AQ28" s="329">
        <f>(((((1 / BTU_therm) / (1 /water_weight) * AF28) / 'Annual Data'!$AK28)) * (1 / therms_per_mcf))</f>
        <v>1.0108509218999513E-3</v>
      </c>
      <c r="AR28" s="329">
        <f>(((((1 / BTU_therm) / (1 /water_weight) * AG28) / 'Annual Data'!$AK28)) * (1 / therms_per_mcf))</f>
        <v>7.1231983655826428E-4</v>
      </c>
      <c r="AS28" s="329">
        <f>(((((1 / BTU_therm) / (1 /water_weight) * AH28) / 'Annual Data'!$AK28)) * (1 / therms_per_mcf))</f>
        <v>8.0711004089524291E-4</v>
      </c>
      <c r="AT28" s="332">
        <f>((1*(1 / BTU_kWh)*water_weight * X28) / 'Annual Data'!$AL28)</f>
        <v>0.16366271144778344</v>
      </c>
      <c r="AU28" s="332">
        <f>((1*(1 / BTU_kWh)*water_weight * Y28) / 'Annual Data'!$AL28)</f>
        <v>0.19068155927405472</v>
      </c>
      <c r="AV28" s="332">
        <f>((1*(1 / BTU_kWh)*water_weight * Z28) / 'Annual Data'!$AL28)</f>
        <v>0.18141403479107471</v>
      </c>
      <c r="AW28" s="332">
        <f>((1*(1 / BTU_kWh)*water_weight * AA28) / 'Annual Data'!$AL28)</f>
        <v>0.18979506638601554</v>
      </c>
      <c r="AX28" s="332">
        <f>((1*(1 / BTU_kWh)*water_weight * AB28) / 'Annual Data'!$AL28)</f>
        <v>0.18981247582856189</v>
      </c>
      <c r="AY28" s="332">
        <f>((1*(1 / BTU_kWh)*water_weight * AC28) / 'Annual Data'!$AL28)</f>
        <v>0.1398295204374595</v>
      </c>
      <c r="AZ28" s="332">
        <f>((1*(1 / BTU_kWh)*water_weight * AD28) / 'Annual Data'!$AL28)</f>
        <v>0.15527884251791405</v>
      </c>
      <c r="BA28" s="332">
        <f>((1*(1 / BTU_kWh)*water_weight * AE28) / 'Annual Data'!$AL28)</f>
        <v>0.13171655519814079</v>
      </c>
      <c r="BB28" s="332">
        <f>((1*(1 / BTU_kWh)*water_weight * AF28) / 'Annual Data'!$AL28)</f>
        <v>0.19916052084031197</v>
      </c>
      <c r="BC28" s="332">
        <f>((1*(1 / BTU_kWh)*water_weight * AG28) / 'Annual Data'!$AL28)</f>
        <v>0.14034313723252553</v>
      </c>
      <c r="BD28" s="332">
        <f>((1*(1 / BTU_kWh)*water_weight * AH28) / 'Annual Data'!$AL28)</f>
        <v>0.15901895387107509</v>
      </c>
    </row>
    <row r="29" spans="1:56" ht="15.75">
      <c r="A29" s="327">
        <v>2029</v>
      </c>
      <c r="B29" s="328">
        <v>0.60200000000000009</v>
      </c>
      <c r="C29" s="328">
        <v>0.65200000000000002</v>
      </c>
      <c r="D29" s="328">
        <v>0.63900000000000001</v>
      </c>
      <c r="E29" s="328">
        <v>0.65099999999999991</v>
      </c>
      <c r="F29" s="328">
        <v>0.65</v>
      </c>
      <c r="G29" s="328">
        <v>0.55200000000000005</v>
      </c>
      <c r="H29" s="328">
        <v>0.59499999999999997</v>
      </c>
      <c r="I29" s="328">
        <v>0.54</v>
      </c>
      <c r="J29" s="328">
        <v>0.66200000000000003</v>
      </c>
      <c r="K29" s="328">
        <v>0.55900000000000005</v>
      </c>
      <c r="L29" s="328">
        <v>0.59899999999999998</v>
      </c>
      <c r="M29" s="328">
        <v>0.67299999999999993</v>
      </c>
      <c r="N29" s="328">
        <v>0.72900000000000009</v>
      </c>
      <c r="O29" s="328">
        <v>0.71499999999999997</v>
      </c>
      <c r="P29" s="328">
        <v>0.72799999999999998</v>
      </c>
      <c r="Q29" s="328">
        <v>0.72599999999999998</v>
      </c>
      <c r="R29" s="328">
        <v>0.61699999999999999</v>
      </c>
      <c r="S29" s="328">
        <v>0.66500000000000004</v>
      </c>
      <c r="T29" s="328">
        <v>0.60399999999999998</v>
      </c>
      <c r="U29" s="328">
        <v>0.74</v>
      </c>
      <c r="V29" s="328">
        <v>0.625</v>
      </c>
      <c r="W29" s="328">
        <v>0.67</v>
      </c>
      <c r="X29" s="330">
        <v>63.504182138832242</v>
      </c>
      <c r="Y29" s="330">
        <v>73.987998631682871</v>
      </c>
      <c r="Z29" s="330">
        <v>70.392026418238146</v>
      </c>
      <c r="AA29" s="331">
        <v>73.644022870015363</v>
      </c>
      <c r="AB29" s="331">
        <v>73.650778058174097</v>
      </c>
      <c r="AC29" s="331">
        <v>54.256459860003481</v>
      </c>
      <c r="AD29" s="331">
        <v>60.251084748224805</v>
      </c>
      <c r="AE29" s="331">
        <v>51.108478150021327</v>
      </c>
      <c r="AF29" s="331">
        <v>77.277993737400948</v>
      </c>
      <c r="AG29" s="331">
        <v>54.455752748498995</v>
      </c>
      <c r="AH29" s="331">
        <v>61.702317655767288</v>
      </c>
      <c r="AI29" s="329">
        <f>(((((1 / BTU_therm) / (1 /water_weight) * X29) / 'Annual Data'!$AK29)) * (1 / therms_per_mcf))</f>
        <v>8.301033765869797E-4</v>
      </c>
      <c r="AJ29" s="329">
        <f>(((((1 / BTU_therm) / (1 /water_weight) * Y29) / 'Annual Data'!$AK29)) * (1 / therms_per_mcf))</f>
        <v>9.6714398048308085E-4</v>
      </c>
      <c r="AK29" s="329">
        <f>(((((1 / BTU_therm) / (1 /water_weight) * Z29) / 'Annual Data'!$AK29)) * (1 / therms_per_mcf))</f>
        <v>9.2013875065479042E-4</v>
      </c>
      <c r="AL29" s="329">
        <f>(((((1 / BTU_therm) / (1 /water_weight) * AA29) / 'Annual Data'!$AK29)) * (1 / therms_per_mcf))</f>
        <v>9.6264765549144418E-4</v>
      </c>
      <c r="AM29" s="329">
        <f>(((((1 / BTU_therm) / (1 /water_weight) * AB29) / 'Annual Data'!$AK29)) * (1 / therms_per_mcf))</f>
        <v>9.6273595683335879E-4</v>
      </c>
      <c r="AN29" s="329">
        <f>(((((1 / BTU_therm) / (1 /water_weight) * AC29) / 'Annual Data'!$AK29)) * (1 / therms_per_mcf))</f>
        <v>7.0922054287672165E-4</v>
      </c>
      <c r="AO29" s="329">
        <f>(((((1 / BTU_therm) / (1 /water_weight) * AD29) / 'Annual Data'!$AK29)) * (1 / therms_per_mcf))</f>
        <v>7.8758008068174434E-4</v>
      </c>
      <c r="AP29" s="329">
        <f>(((((1 / BTU_therm) / (1 /water_weight) * AE29) / 'Annual Data'!$AK29)) * (1 / therms_per_mcf))</f>
        <v>6.6807128059384721E-4</v>
      </c>
      <c r="AQ29" s="329">
        <f>(((((1 / BTU_therm) / (1 /water_weight) * AF29) / 'Annual Data'!$AK29)) * (1 / therms_per_mcf))</f>
        <v>1.0101495897867428E-3</v>
      </c>
      <c r="AR29" s="329">
        <f>(((((1 / BTU_therm) / (1 /water_weight) * AG29) / 'Annual Data'!$AK29)) * (1 / therms_per_mcf))</f>
        <v>7.1182562641764868E-4</v>
      </c>
      <c r="AS29" s="329">
        <f>(((((1 / BTU_therm) / (1 /water_weight) * AH29) / 'Annual Data'!$AK29)) * (1 / therms_per_mcf))</f>
        <v>8.0655006495981136E-4</v>
      </c>
      <c r="AT29" s="332">
        <f>((1*(1 / BTU_kWh)*water_weight * X29) / 'Annual Data'!$AL29)</f>
        <v>0.16357675179773551</v>
      </c>
      <c r="AU29" s="332">
        <f>((1*(1 / BTU_kWh)*water_weight * Y29) / 'Annual Data'!$AL29)</f>
        <v>0.19058140866576534</v>
      </c>
      <c r="AV29" s="332">
        <f>((1*(1 / BTU_kWh)*water_weight * Z29) / 'Annual Data'!$AL29)</f>
        <v>0.18131875171280679</v>
      </c>
      <c r="AW29" s="332">
        <f>((1*(1 / BTU_kWh)*water_weight * AA29) / 'Annual Data'!$AL29)</f>
        <v>0.18969538138542474</v>
      </c>
      <c r="AX29" s="332">
        <f>((1*(1 / BTU_kWh)*water_weight * AB29) / 'Annual Data'!$AL29)</f>
        <v>0.18971278168410702</v>
      </c>
      <c r="AY29" s="332">
        <f>((1*(1 / BTU_kWh)*water_weight * AC29) / 'Annual Data'!$AL29)</f>
        <v>0.13975607856095115</v>
      </c>
      <c r="AZ29" s="332">
        <f>((1*(1 / BTU_kWh)*water_weight * AD29) / 'Annual Data'!$AL29)</f>
        <v>0.15519728628042653</v>
      </c>
      <c r="BA29" s="332">
        <f>((1*(1 / BTU_kWh)*water_weight * AE29) / 'Annual Data'!$AL29)</f>
        <v>0.13164737444896349</v>
      </c>
      <c r="BB29" s="332">
        <f>((1*(1 / BTU_kWh)*water_weight * AF29) / 'Annual Data'!$AL29)</f>
        <v>0.1990559168744889</v>
      </c>
      <c r="BC29" s="332">
        <f>((1*(1 / BTU_kWh)*water_weight * AG29) / 'Annual Data'!$AL29)</f>
        <v>0.14026942559194217</v>
      </c>
      <c r="BD29" s="332">
        <f>((1*(1 / BTU_kWh)*water_weight * AH29) / 'Annual Data'!$AL29)</f>
        <v>0.1589354332358319</v>
      </c>
    </row>
    <row r="30" spans="1:56" ht="15.75">
      <c r="A30" s="327">
        <v>2030</v>
      </c>
      <c r="B30" s="328">
        <v>0.60200000000000009</v>
      </c>
      <c r="C30" s="328">
        <v>0.65200000000000002</v>
      </c>
      <c r="D30" s="328">
        <v>0.63900000000000001</v>
      </c>
      <c r="E30" s="328">
        <v>0.65099999999999991</v>
      </c>
      <c r="F30" s="328">
        <v>0.65</v>
      </c>
      <c r="G30" s="328">
        <v>0.55200000000000005</v>
      </c>
      <c r="H30" s="328">
        <v>0.59499999999999997</v>
      </c>
      <c r="I30" s="328">
        <v>0.54</v>
      </c>
      <c r="J30" s="328">
        <v>0.66200000000000003</v>
      </c>
      <c r="K30" s="328">
        <v>0.55900000000000005</v>
      </c>
      <c r="L30" s="328">
        <v>0.59899999999999998</v>
      </c>
      <c r="M30" s="328">
        <v>0.67299999999999993</v>
      </c>
      <c r="N30" s="328">
        <v>0.72900000000000009</v>
      </c>
      <c r="O30" s="328">
        <v>0.71499999999999997</v>
      </c>
      <c r="P30" s="328">
        <v>0.72799999999999998</v>
      </c>
      <c r="Q30" s="328">
        <v>0.72599999999999998</v>
      </c>
      <c r="R30" s="328">
        <v>0.61699999999999999</v>
      </c>
      <c r="S30" s="328">
        <v>0.66500000000000004</v>
      </c>
      <c r="T30" s="328">
        <v>0.60399999999999998</v>
      </c>
      <c r="U30" s="328">
        <v>0.74</v>
      </c>
      <c r="V30" s="328">
        <v>0.625</v>
      </c>
      <c r="W30" s="328">
        <v>0.67</v>
      </c>
      <c r="X30" s="330">
        <v>63.504182138832242</v>
      </c>
      <c r="Y30" s="330">
        <v>73.987998631682871</v>
      </c>
      <c r="Z30" s="330">
        <v>70.392026418238146</v>
      </c>
      <c r="AA30" s="331">
        <v>73.644022870015363</v>
      </c>
      <c r="AB30" s="331">
        <v>73.650778058174097</v>
      </c>
      <c r="AC30" s="331">
        <v>54.256459860003481</v>
      </c>
      <c r="AD30" s="331">
        <v>60.251084748224805</v>
      </c>
      <c r="AE30" s="331">
        <v>51.108478150021327</v>
      </c>
      <c r="AF30" s="331">
        <v>77.277993737400948</v>
      </c>
      <c r="AG30" s="331">
        <v>54.455752748498995</v>
      </c>
      <c r="AH30" s="331">
        <v>61.702317655767288</v>
      </c>
      <c r="AI30" s="329">
        <f>(((((1 / BTU_therm) / (1 /water_weight) * X30) / 'Annual Data'!$AK30)) * (1 / therms_per_mcf))</f>
        <v>8.2975230789235409E-4</v>
      </c>
      <c r="AJ30" s="329">
        <f>(((((1 / BTU_therm) / (1 /water_weight) * Y30) / 'Annual Data'!$AK30)) * (1 / therms_per_mcf))</f>
        <v>9.6673495434932506E-4</v>
      </c>
      <c r="AK30" s="329">
        <f>(((((1 / BTU_therm) / (1 /water_weight) * Z30) / 'Annual Data'!$AK30)) * (1 / therms_per_mcf))</f>
        <v>9.1974960405067144E-4</v>
      </c>
      <c r="AL30" s="329">
        <f>(((((1 / BTU_therm) / (1 /water_weight) * AA30) / 'Annual Data'!$AK30)) * (1 / therms_per_mcf))</f>
        <v>9.622405309508993E-4</v>
      </c>
      <c r="AM30" s="329">
        <f>(((((1 / BTU_therm) / (1 /water_weight) * AB30) / 'Annual Data'!$AK30)) * (1 / therms_per_mcf))</f>
        <v>9.6232879494826426E-4</v>
      </c>
      <c r="AN30" s="329">
        <f>(((((1 / BTU_therm) / (1 /water_weight) * AC30) / 'Annual Data'!$AK30)) * (1 / therms_per_mcf))</f>
        <v>7.089205981503033E-4</v>
      </c>
      <c r="AO30" s="329">
        <f>(((((1 / BTU_therm) / (1 /water_weight) * AD30) / 'Annual Data'!$AK30)) * (1 / therms_per_mcf))</f>
        <v>7.8724699600983897E-4</v>
      </c>
      <c r="AP30" s="329">
        <f>(((((1 / BTU_therm) / (1 /water_weight) * AE30) / 'Annual Data'!$AK30)) * (1 / therms_per_mcf))</f>
        <v>6.6778873878157422E-4</v>
      </c>
      <c r="AQ30" s="329">
        <f>(((((1 / BTU_therm) / (1 /water_weight) * AF30) / 'Annual Data'!$AK30)) * (1 / therms_per_mcf))</f>
        <v>1.0097223756494857E-3</v>
      </c>
      <c r="AR30" s="329">
        <f>(((((1 / BTU_therm) / (1 /water_weight) * AG30) / 'Annual Data'!$AK30)) * (1 / therms_per_mcf))</f>
        <v>7.1152457994498532E-4</v>
      </c>
      <c r="AS30" s="329">
        <f>(((((1 / BTU_therm) / (1 /water_weight) * AH30) / 'Annual Data'!$AK30)) * (1 / therms_per_mcf))</f>
        <v>8.0620895747074211E-4</v>
      </c>
      <c r="AT30" s="332">
        <f>((1*(1 / BTU_kWh)*water_weight * X30) / 'Annual Data'!$AL30)</f>
        <v>0.16352510780558113</v>
      </c>
      <c r="AU30" s="332">
        <f>((1*(1 / BTU_kWh)*water_weight * Y30) / 'Annual Data'!$AL30)</f>
        <v>0.19052123883927263</v>
      </c>
      <c r="AV30" s="332">
        <f>((1*(1 / BTU_kWh)*water_weight * Z30) / 'Annual Data'!$AL30)</f>
        <v>0.18126150626632379</v>
      </c>
      <c r="AW30" s="332">
        <f>((1*(1 / BTU_kWh)*water_weight * AA30) / 'Annual Data'!$AL30)</f>
        <v>0.1896354912929738</v>
      </c>
      <c r="AX30" s="332">
        <f>((1*(1 / BTU_kWh)*water_weight * AB30) / 'Annual Data'!$AL30)</f>
        <v>0.1896528860980827</v>
      </c>
      <c r="AY30" s="332">
        <f>((1*(1 / BTU_kWh)*water_weight * AC30) / 'Annual Data'!$AL30)</f>
        <v>0.1397119551647753</v>
      </c>
      <c r="AZ30" s="332">
        <f>((1*(1 / BTU_kWh)*water_weight * AD30) / 'Annual Data'!$AL30)</f>
        <v>0.15514828782956502</v>
      </c>
      <c r="BA30" s="332">
        <f>((1*(1 / BTU_kWh)*water_weight * AE30) / 'Annual Data'!$AL30)</f>
        <v>0.1316058111100509</v>
      </c>
      <c r="BB30" s="332">
        <f>((1*(1 / BTU_kWh)*water_weight * AF30) / 'Annual Data'!$AL30)</f>
        <v>0.19899307150009204</v>
      </c>
      <c r="BC30" s="332">
        <f>((1*(1 / BTU_kWh)*water_weight * AG30) / 'Annual Data'!$AL30)</f>
        <v>0.14022514012328507</v>
      </c>
      <c r="BD30" s="332">
        <f>((1*(1 / BTU_kWh)*water_weight * AH30) / 'Annual Data'!$AL30)</f>
        <v>0.15888525458772401</v>
      </c>
    </row>
    <row r="31" spans="1:56" ht="15.75">
      <c r="A31" s="326"/>
      <c r="B31" s="326"/>
      <c r="X31" s="164"/>
      <c r="Y31" s="164"/>
      <c r="Z31" s="164"/>
      <c r="AA31" s="164"/>
      <c r="AB31" s="164"/>
      <c r="AC31" s="164"/>
      <c r="AD31" s="164"/>
      <c r="AE31" s="164"/>
      <c r="AF31" s="164"/>
      <c r="AG31" s="164"/>
      <c r="AH31" s="164"/>
    </row>
    <row r="32" spans="1:56" ht="15.75">
      <c r="A32" s="326"/>
      <c r="B32" s="326"/>
    </row>
  </sheetData>
  <mergeCells count="5">
    <mergeCell ref="B5:L5"/>
    <mergeCell ref="M5:W5"/>
    <mergeCell ref="X5:AH5"/>
    <mergeCell ref="AI5:AS5"/>
    <mergeCell ref="AT5:BD5"/>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83DE1-AE50-4801-B586-D20338B2DD5B}">
  <sheetPr codeName="Sheet19">
    <tabColor theme="7" tint="0.39997558519241921"/>
  </sheetPr>
  <dimension ref="A1:AZ67"/>
  <sheetViews>
    <sheetView topLeftCell="R4" workbookViewId="0">
      <selection activeCell="B39" sqref="B39"/>
    </sheetView>
  </sheetViews>
  <sheetFormatPr defaultColWidth="8.85546875" defaultRowHeight="12.75"/>
  <cols>
    <col min="2" max="2" width="5.140625" bestFit="1" customWidth="1"/>
    <col min="3" max="3" width="25.85546875" customWidth="1"/>
    <col min="4" max="4" width="4" customWidth="1"/>
    <col min="5" max="5" width="5.140625" bestFit="1" customWidth="1"/>
    <col min="6" max="6" width="25.85546875" customWidth="1"/>
    <col min="7" max="7" width="4.140625" customWidth="1"/>
    <col min="8" max="8" width="5.140625" bestFit="1" customWidth="1"/>
    <col min="9" max="9" width="25.85546875" customWidth="1"/>
    <col min="10" max="10" width="4.140625" customWidth="1"/>
    <col min="11" max="11" width="5.140625" bestFit="1" customWidth="1"/>
    <col min="12" max="12" width="25.85546875" customWidth="1"/>
    <col min="13" max="13" width="4.140625" customWidth="1"/>
    <col min="14" max="14" width="5.140625" bestFit="1" customWidth="1"/>
    <col min="15" max="15" width="25.85546875" customWidth="1"/>
    <col min="16" max="16" width="3.85546875" customWidth="1"/>
    <col min="17" max="17" width="5.140625" bestFit="1" customWidth="1"/>
    <col min="18" max="18" width="25.85546875" customWidth="1"/>
    <col min="19" max="19" width="4.140625" customWidth="1"/>
    <col min="20" max="20" width="5.140625" bestFit="1" customWidth="1"/>
    <col min="21" max="21" width="25.85546875" customWidth="1"/>
    <col min="22" max="22" width="3.140625" customWidth="1"/>
    <col min="23" max="23" width="5.140625" bestFit="1" customWidth="1"/>
    <col min="24" max="24" width="25.85546875" customWidth="1"/>
    <col min="25" max="25" width="3.140625" customWidth="1"/>
    <col min="26" max="26" width="5.140625" bestFit="1" customWidth="1"/>
    <col min="27" max="27" width="25.85546875" customWidth="1"/>
    <col min="28" max="28" width="3.140625" customWidth="1"/>
    <col min="29" max="29" width="5.140625" bestFit="1" customWidth="1"/>
    <col min="30" max="30" width="25.85546875" customWidth="1"/>
    <col min="31" max="31" width="3.140625" customWidth="1"/>
    <col min="32" max="32" width="5.140625" bestFit="1" customWidth="1"/>
    <col min="33" max="33" width="25.85546875" customWidth="1"/>
    <col min="34" max="34" width="3.85546875" customWidth="1"/>
    <col min="35" max="35" width="5.140625" customWidth="1"/>
    <col min="36" max="36" width="25.85546875" customWidth="1"/>
    <col min="37" max="37" width="3.85546875" customWidth="1"/>
    <col min="38" max="38" width="5.140625" bestFit="1" customWidth="1"/>
    <col min="39" max="39" width="21.140625" bestFit="1" customWidth="1"/>
  </cols>
  <sheetData>
    <row r="1" spans="1:52">
      <c r="A1" s="127"/>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row>
    <row r="2" spans="1:52">
      <c r="A2" s="127"/>
      <c r="B2" s="18"/>
      <c r="C2" s="68" t="s">
        <v>195</v>
      </c>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row>
    <row r="3" spans="1:52">
      <c r="A3" s="127"/>
      <c r="B3" s="18"/>
      <c r="C3" s="18"/>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row>
    <row r="4" spans="1:52" s="4" customFormat="1" ht="51.75" thickBot="1">
      <c r="A4" s="128"/>
      <c r="B4" s="112"/>
      <c r="C4" s="112"/>
      <c r="D4" s="129"/>
      <c r="E4" s="112"/>
      <c r="F4" s="71" t="s">
        <v>196</v>
      </c>
      <c r="G4" s="128"/>
      <c r="H4" s="112"/>
      <c r="I4" s="71" t="s">
        <v>197</v>
      </c>
      <c r="J4" s="128"/>
      <c r="K4" s="112"/>
      <c r="L4" s="71" t="s">
        <v>198</v>
      </c>
      <c r="M4" s="128"/>
      <c r="N4" s="112"/>
      <c r="O4" s="61" t="s">
        <v>199</v>
      </c>
      <c r="P4" s="128"/>
      <c r="Q4" s="112"/>
      <c r="R4" s="61" t="s">
        <v>200</v>
      </c>
      <c r="S4" s="129"/>
      <c r="T4" s="112"/>
      <c r="U4" s="71" t="s">
        <v>201</v>
      </c>
      <c r="V4" s="128"/>
      <c r="W4" s="112"/>
      <c r="X4" s="61" t="s">
        <v>202</v>
      </c>
      <c r="Y4" s="128"/>
      <c r="Z4" s="61"/>
      <c r="AA4" s="61" t="s">
        <v>203</v>
      </c>
      <c r="AB4" s="128"/>
      <c r="AC4" s="112"/>
      <c r="AD4" s="61" t="s">
        <v>204</v>
      </c>
      <c r="AE4" s="128"/>
      <c r="AF4" s="112"/>
      <c r="AG4" s="61" t="s">
        <v>205</v>
      </c>
      <c r="AH4" s="128"/>
      <c r="AI4" s="112"/>
      <c r="AJ4" s="61" t="s">
        <v>206</v>
      </c>
      <c r="AK4" s="128"/>
      <c r="AL4" s="112"/>
      <c r="AM4" s="61" t="s">
        <v>207</v>
      </c>
      <c r="AN4" s="128"/>
      <c r="AO4" s="128"/>
      <c r="AP4" s="128"/>
      <c r="AQ4" s="128"/>
      <c r="AR4" s="128"/>
      <c r="AS4" s="128"/>
      <c r="AT4" s="128"/>
      <c r="AU4" s="128"/>
      <c r="AV4" s="128"/>
      <c r="AW4" s="128"/>
      <c r="AX4" s="128"/>
      <c r="AY4" s="128"/>
      <c r="AZ4" s="128"/>
    </row>
    <row r="5" spans="1:52" s="4" customFormat="1" ht="26.25" thickBot="1">
      <c r="A5" s="128"/>
      <c r="B5" s="61"/>
      <c r="C5" s="71" t="s">
        <v>208</v>
      </c>
      <c r="D5" s="130"/>
      <c r="E5" s="112"/>
      <c r="F5" s="50" t="s">
        <v>209</v>
      </c>
      <c r="G5" s="128"/>
      <c r="H5" s="112"/>
      <c r="I5" s="50" t="s">
        <v>209</v>
      </c>
      <c r="J5" s="128"/>
      <c r="K5" s="112"/>
      <c r="L5" s="50" t="s">
        <v>210</v>
      </c>
      <c r="M5" s="128"/>
      <c r="N5" s="126"/>
      <c r="O5" s="50" t="str">
        <f>"USD ($" &amp;current_year &amp; ")"</f>
        <v>USD ($2024)</v>
      </c>
      <c r="P5" s="128"/>
      <c r="Q5" s="112"/>
      <c r="R5" s="50" t="s">
        <v>210</v>
      </c>
      <c r="S5" s="129"/>
      <c r="T5" s="112"/>
      <c r="U5" s="133" t="s">
        <v>211</v>
      </c>
      <c r="V5" s="128"/>
      <c r="W5" s="126"/>
      <c r="X5" s="50" t="s">
        <v>212</v>
      </c>
      <c r="Y5" s="128"/>
      <c r="Z5" s="126"/>
      <c r="AA5" s="50" t="s">
        <v>213</v>
      </c>
      <c r="AB5" s="128"/>
      <c r="AC5" s="126"/>
      <c r="AD5" s="50" t="str">
        <f>"USD ($" &amp;current_year &amp; ")"</f>
        <v>USD ($2024)</v>
      </c>
      <c r="AE5" s="128"/>
      <c r="AF5" s="126"/>
      <c r="AG5" s="50" t="str">
        <f>"USD ($" &amp;current_year &amp; ")"</f>
        <v>USD ($2024)</v>
      </c>
      <c r="AH5" s="128"/>
      <c r="AI5" s="126"/>
      <c r="AJ5" s="50" t="str">
        <f>"USD ($" &amp;current_year &amp; ")"</f>
        <v>USD ($2024)</v>
      </c>
      <c r="AK5" s="128"/>
      <c r="AL5" s="126"/>
      <c r="AM5" s="50" t="str">
        <f>"USD ($" &amp;current_year &amp; ")"</f>
        <v>USD ($2024)</v>
      </c>
      <c r="AN5" s="128"/>
      <c r="AO5" s="128"/>
      <c r="AP5" s="128"/>
      <c r="AQ5" s="128"/>
      <c r="AR5" s="128"/>
      <c r="AS5" s="128"/>
      <c r="AT5" s="128"/>
      <c r="AU5" s="128"/>
      <c r="AV5" s="128"/>
      <c r="AW5" s="128"/>
      <c r="AX5" s="128"/>
      <c r="AY5" s="128"/>
      <c r="AZ5" s="128"/>
    </row>
    <row r="6" spans="1:52">
      <c r="A6" s="127"/>
      <c r="B6" s="120" t="s">
        <v>11</v>
      </c>
      <c r="C6" s="50" t="s">
        <v>214</v>
      </c>
      <c r="D6" s="127"/>
      <c r="E6" s="120" t="s">
        <v>11</v>
      </c>
      <c r="F6" s="50" t="s">
        <v>214</v>
      </c>
      <c r="G6" s="127"/>
      <c r="H6" s="120" t="s">
        <v>11</v>
      </c>
      <c r="I6" s="50" t="s">
        <v>214</v>
      </c>
      <c r="J6" s="127"/>
      <c r="K6" s="120" t="s">
        <v>11</v>
      </c>
      <c r="L6" s="50" t="s">
        <v>214</v>
      </c>
      <c r="M6" s="127"/>
      <c r="N6" s="120" t="s">
        <v>11</v>
      </c>
      <c r="O6" s="50" t="s">
        <v>214</v>
      </c>
      <c r="P6" s="127"/>
      <c r="Q6" s="120" t="s">
        <v>11</v>
      </c>
      <c r="R6" s="50" t="s">
        <v>214</v>
      </c>
      <c r="S6" s="129"/>
      <c r="T6" s="120" t="s">
        <v>11</v>
      </c>
      <c r="U6" s="50" t="s">
        <v>214</v>
      </c>
      <c r="V6" s="127"/>
      <c r="W6" s="120" t="s">
        <v>11</v>
      </c>
      <c r="X6" s="50" t="s">
        <v>214</v>
      </c>
      <c r="Y6" s="127"/>
      <c r="Z6" s="120" t="s">
        <v>11</v>
      </c>
      <c r="AA6" s="50" t="s">
        <v>214</v>
      </c>
      <c r="AB6" s="127"/>
      <c r="AC6" s="120" t="s">
        <v>11</v>
      </c>
      <c r="AD6" s="50" t="s">
        <v>214</v>
      </c>
      <c r="AE6" s="127"/>
      <c r="AF6" s="120" t="s">
        <v>11</v>
      </c>
      <c r="AG6" s="50" t="s">
        <v>214</v>
      </c>
      <c r="AH6" s="127"/>
      <c r="AI6" s="120" t="s">
        <v>11</v>
      </c>
      <c r="AJ6" s="50" t="s">
        <v>214</v>
      </c>
      <c r="AK6" s="127"/>
      <c r="AL6" s="120" t="s">
        <v>11</v>
      </c>
      <c r="AM6" s="50" t="s">
        <v>214</v>
      </c>
      <c r="AN6" s="127"/>
      <c r="AO6" s="127"/>
      <c r="AP6" s="127"/>
      <c r="AQ6" s="127"/>
      <c r="AR6" s="127"/>
      <c r="AS6" s="127"/>
      <c r="AT6" s="127"/>
      <c r="AU6" s="127"/>
      <c r="AV6" s="127"/>
      <c r="AW6" s="127"/>
      <c r="AX6" s="127"/>
      <c r="AY6" s="127"/>
      <c r="AZ6" s="127"/>
    </row>
    <row r="7" spans="1:52">
      <c r="A7" s="127"/>
      <c r="B7" s="117">
        <v>2007</v>
      </c>
      <c r="C7" s="73">
        <f>_xlfn.LET(
_xlpm.home_savings,Homes_calc!C7,
_xlpm.product_savings,Homes_calc!D7,
IF(B7&gt;current_year,"",_xlpm.home_savings+_xlpm.product_savings)
)</f>
        <v>0</v>
      </c>
      <c r="D7" s="127"/>
      <c r="E7" s="117">
        <v>2007</v>
      </c>
      <c r="F7" s="53">
        <v>0</v>
      </c>
      <c r="G7" s="127"/>
      <c r="H7" s="117">
        <v>2007</v>
      </c>
      <c r="I7" s="53">
        <v>0</v>
      </c>
      <c r="J7" s="127"/>
      <c r="K7" s="117">
        <v>2007</v>
      </c>
      <c r="L7" s="53">
        <v>0</v>
      </c>
      <c r="M7" s="127"/>
      <c r="N7" s="117">
        <v>2007</v>
      </c>
      <c r="O7" s="53">
        <v>0</v>
      </c>
      <c r="P7" s="127"/>
      <c r="Q7" s="117">
        <v>2007</v>
      </c>
      <c r="R7" s="53">
        <v>0</v>
      </c>
      <c r="S7" s="129"/>
      <c r="T7" s="117">
        <v>2007</v>
      </c>
      <c r="U7" s="53">
        <v>0</v>
      </c>
      <c r="V7" s="127"/>
      <c r="W7" s="117">
        <v>2007</v>
      </c>
      <c r="X7" s="53">
        <v>0</v>
      </c>
      <c r="Y7" s="127"/>
      <c r="Z7" s="117">
        <v>2007</v>
      </c>
      <c r="AA7" s="53">
        <v>0</v>
      </c>
      <c r="AB7" s="127"/>
      <c r="AC7" s="117">
        <v>2007</v>
      </c>
      <c r="AD7" s="53">
        <v>0</v>
      </c>
      <c r="AE7" s="127"/>
      <c r="AF7" s="117">
        <v>2007</v>
      </c>
      <c r="AG7" s="53">
        <v>0</v>
      </c>
      <c r="AH7" s="127"/>
      <c r="AI7" s="117">
        <v>2007</v>
      </c>
      <c r="AJ7" s="53">
        <v>0</v>
      </c>
      <c r="AK7" s="127"/>
      <c r="AL7" s="117">
        <v>2007</v>
      </c>
      <c r="AM7" s="53">
        <v>0</v>
      </c>
      <c r="AN7" s="127"/>
      <c r="AO7" s="127"/>
      <c r="AP7" s="127"/>
      <c r="AQ7" s="127"/>
      <c r="AR7" s="127"/>
      <c r="AS7" s="127"/>
      <c r="AT7" s="127"/>
      <c r="AU7" s="127"/>
      <c r="AV7" s="127"/>
      <c r="AW7" s="127"/>
      <c r="AX7" s="127"/>
      <c r="AY7" s="127"/>
      <c r="AZ7" s="127"/>
    </row>
    <row r="8" spans="1:52">
      <c r="A8" s="127"/>
      <c r="B8" s="117">
        <v>2008</v>
      </c>
      <c r="C8" s="73">
        <f>_xlfn.LET(
_xlpm.home_savings,Homes_calc!C8,
_xlpm.product_savings,Homes_calc!D8,
IF(B8&gt;current_year,"",_xlpm.home_savings+_xlpm.product_savings)
)</f>
        <v>0</v>
      </c>
      <c r="D8" s="127"/>
      <c r="E8" s="117">
        <v>2008</v>
      </c>
      <c r="F8" s="53">
        <v>0</v>
      </c>
      <c r="G8" s="127"/>
      <c r="H8" s="117">
        <v>2008</v>
      </c>
      <c r="I8" s="53">
        <v>0</v>
      </c>
      <c r="J8" s="127"/>
      <c r="K8" s="117">
        <v>2008</v>
      </c>
      <c r="L8" s="53">
        <v>0</v>
      </c>
      <c r="M8" s="127"/>
      <c r="N8" s="117">
        <v>2008</v>
      </c>
      <c r="O8" s="53">
        <v>0</v>
      </c>
      <c r="P8" s="127"/>
      <c r="Q8" s="117">
        <v>2008</v>
      </c>
      <c r="R8" s="53">
        <v>0</v>
      </c>
      <c r="S8" s="129"/>
      <c r="T8" s="117">
        <v>2008</v>
      </c>
      <c r="U8" s="53">
        <v>0</v>
      </c>
      <c r="V8" s="127"/>
      <c r="W8" s="117">
        <v>2008</v>
      </c>
      <c r="X8" s="53">
        <v>0</v>
      </c>
      <c r="Y8" s="127"/>
      <c r="Z8" s="117">
        <v>2008</v>
      </c>
      <c r="AA8" s="53">
        <v>0</v>
      </c>
      <c r="AB8" s="127"/>
      <c r="AC8" s="117">
        <v>2008</v>
      </c>
      <c r="AD8" s="53">
        <v>0</v>
      </c>
      <c r="AE8" s="127"/>
      <c r="AF8" s="117">
        <v>2008</v>
      </c>
      <c r="AG8" s="53">
        <v>0</v>
      </c>
      <c r="AH8" s="127"/>
      <c r="AI8" s="117">
        <v>2008</v>
      </c>
      <c r="AJ8" s="53">
        <v>0</v>
      </c>
      <c r="AK8" s="127"/>
      <c r="AL8" s="117">
        <v>2008</v>
      </c>
      <c r="AM8" s="53">
        <v>0</v>
      </c>
      <c r="AN8" s="127"/>
      <c r="AO8" s="127"/>
      <c r="AP8" s="127"/>
      <c r="AQ8" s="127"/>
      <c r="AR8" s="127"/>
      <c r="AS8" s="127"/>
      <c r="AT8" s="127"/>
      <c r="AU8" s="127"/>
      <c r="AV8" s="127"/>
      <c r="AW8" s="127"/>
      <c r="AX8" s="127"/>
      <c r="AY8" s="127"/>
      <c r="AZ8" s="127"/>
    </row>
    <row r="9" spans="1:52">
      <c r="A9" s="127"/>
      <c r="B9" s="117">
        <v>2009</v>
      </c>
      <c r="C9" s="73">
        <f>_xlfn.LET(
_xlpm.home_savings,Homes_calc!C9,
_xlpm.product_savings,Homes_calc!D9,
IF(B9&gt;current_year,"",_xlpm.home_savings+_xlpm.product_savings)
)</f>
        <v>0</v>
      </c>
      <c r="D9" s="127"/>
      <c r="E9" s="117">
        <v>2009</v>
      </c>
      <c r="F9" s="53">
        <f>IF(E9&gt;current_year,"",INDEX(Homes_calc!$E$9:$E$30,Homes!E9-2008))</f>
        <v>0</v>
      </c>
      <c r="G9" s="127"/>
      <c r="H9" s="117">
        <v>2009</v>
      </c>
      <c r="I9" s="53">
        <f>IF(H9&gt;current_year,"",INDEX(Homes_calc!$F$9:$F$30,Homes!H9-2008))</f>
        <v>0</v>
      </c>
      <c r="J9" s="127"/>
      <c r="K9" s="117">
        <v>2009</v>
      </c>
      <c r="L9" s="53">
        <f t="shared" ref="L9:L30" si="0">IF(K9&gt;current_year,"",(F9*(kwh_per_gal_drnk_water+kwh_per_gal_waste_water))+(I9*kwh_per_gal_drnk_water))</f>
        <v>0</v>
      </c>
      <c r="M9" s="127"/>
      <c r="N9" s="1">
        <v>2009</v>
      </c>
      <c r="O9" s="121">
        <f t="shared" ref="O9:O30" si="1">IF(C9="","",(C9*10^-3*INDEX(water_res,AC9-2006)*IF(N9&lt;current_year,INDEX(GDP,current_year-2006)/INDEX(GDP,AC9-2006),1)))</f>
        <v>0</v>
      </c>
      <c r="P9" s="127"/>
      <c r="Q9" s="117">
        <v>2009</v>
      </c>
      <c r="R9" s="53">
        <f>IF(Q9&gt;current_year,"",INDEX(Homes_calc!$BB$175:$BB$198,Homes!Q9-2006))</f>
        <v>0</v>
      </c>
      <c r="S9" s="129"/>
      <c r="T9" s="117">
        <v>2009</v>
      </c>
      <c r="U9" s="53">
        <f>IF(T9&gt;current_year,"",INDEX(Homes_calc!$BB$229:$BB$252,Homes!T9-2006))</f>
        <v>0</v>
      </c>
      <c r="V9" s="127"/>
      <c r="W9" s="1">
        <v>2009</v>
      </c>
      <c r="X9" s="78">
        <f t="shared" ref="X9:X17" si="2">L9+R9+(U9*kwh_per_therm*therms_per_mcf)</f>
        <v>0</v>
      </c>
      <c r="Y9" s="127"/>
      <c r="Z9" s="1">
        <v>2009</v>
      </c>
      <c r="AA9" s="53">
        <f>IF(Z9&gt;current_year,"",INDEX(Homes_calc!$BB$283:$BB$306,Homes!Z9-2006))</f>
        <v>0</v>
      </c>
      <c r="AB9" s="127"/>
      <c r="AC9" s="1">
        <v>2009</v>
      </c>
      <c r="AD9" s="121">
        <f t="shared" ref="AD9:AD19" si="3">SUM(R9*INDEX(Elec_res,AC9-2006))*IF(AC9&lt;current_year, INDEX(GDP,current_year-2007)/INDEX(GDP,AC9-2007),1)</f>
        <v>0</v>
      </c>
      <c r="AE9" s="127"/>
      <c r="AF9" s="1">
        <v>2009</v>
      </c>
      <c r="AG9" s="121">
        <f t="shared" ref="AG9:AG19" si="4">SUM(U9*INDEX(Gas_res,AF9-2006))*IF(AF9&lt;current_year, INDEX(GDP,current_year-2007)/INDEX(GDP,AF9-2007),1)</f>
        <v>0</v>
      </c>
      <c r="AH9" s="127"/>
      <c r="AI9" s="1">
        <v>2009</v>
      </c>
      <c r="AJ9" s="143">
        <f>IF($C9="","",SUM(AD9+AG9))</f>
        <v>0</v>
      </c>
      <c r="AK9" s="127"/>
      <c r="AL9" s="1">
        <v>2009</v>
      </c>
      <c r="AM9" s="143">
        <f>IF($C9="","",SUM(O9+AJ9))</f>
        <v>0</v>
      </c>
      <c r="AN9" s="127"/>
      <c r="AO9" s="127"/>
      <c r="AP9" s="127"/>
      <c r="AQ9" s="127"/>
      <c r="AR9" s="127"/>
      <c r="AS9" s="127"/>
      <c r="AT9" s="127"/>
      <c r="AU9" s="127"/>
      <c r="AV9" s="127"/>
      <c r="AW9" s="127"/>
      <c r="AX9" s="127"/>
      <c r="AY9" s="127"/>
      <c r="AZ9" s="127"/>
    </row>
    <row r="10" spans="1:52">
      <c r="A10" s="127"/>
      <c r="B10" s="117">
        <v>2010</v>
      </c>
      <c r="C10" s="73">
        <f>_xlfn.LET(
_xlpm.home_savings,Homes_calc!C10,
_xlpm.product_savings,Homes_calc!D10,
IF(B10&gt;current_year,"",_xlpm.home_savings+_xlpm.product_savings)
)</f>
        <v>0</v>
      </c>
      <c r="D10" s="127"/>
      <c r="E10" s="117">
        <v>2010</v>
      </c>
      <c r="F10" s="53">
        <f>IF(E10&gt;current_year,"",INDEX(Homes_calc!$E$9:$E$30,Homes!E10-2008))</f>
        <v>0</v>
      </c>
      <c r="G10" s="127"/>
      <c r="H10" s="117">
        <v>2010</v>
      </c>
      <c r="I10" s="53">
        <f>IF(H10&gt;current_year,"",INDEX(Homes_calc!$F$9:$F$30,Homes!H10-2008))</f>
        <v>0</v>
      </c>
      <c r="J10" s="127"/>
      <c r="K10" s="117">
        <v>2010</v>
      </c>
      <c r="L10" s="53">
        <f t="shared" si="0"/>
        <v>0</v>
      </c>
      <c r="M10" s="127"/>
      <c r="N10" s="1">
        <v>2010</v>
      </c>
      <c r="O10" s="121">
        <f t="shared" si="1"/>
        <v>0</v>
      </c>
      <c r="P10" s="127"/>
      <c r="Q10" s="117">
        <v>2010</v>
      </c>
      <c r="R10" s="53">
        <f>IF(Q10&gt;current_year,"",INDEX(Homes_calc!$BB$175:$BB$198,Homes!Q10-2006))</f>
        <v>0</v>
      </c>
      <c r="S10" s="129"/>
      <c r="T10" s="117">
        <v>2010</v>
      </c>
      <c r="U10" s="53">
        <f>IF(T10&gt;current_year,"",INDEX(Homes_calc!$BB$229:$BB$252,Homes!T10-2006))</f>
        <v>0</v>
      </c>
      <c r="V10" s="127"/>
      <c r="W10" s="1">
        <v>2010</v>
      </c>
      <c r="X10" s="78">
        <f t="shared" si="2"/>
        <v>0</v>
      </c>
      <c r="Y10" s="127"/>
      <c r="Z10" s="1">
        <v>2010</v>
      </c>
      <c r="AA10" s="53">
        <f>IF(Z10&gt;current_year,"",INDEX(Homes_calc!$BB$283:$BB$306,Homes!Z10-2006))</f>
        <v>0</v>
      </c>
      <c r="AB10" s="127"/>
      <c r="AC10" s="1">
        <v>2010</v>
      </c>
      <c r="AD10" s="121">
        <f t="shared" si="3"/>
        <v>0</v>
      </c>
      <c r="AE10" s="127"/>
      <c r="AF10" s="1">
        <v>2010</v>
      </c>
      <c r="AG10" s="121">
        <f t="shared" si="4"/>
        <v>0</v>
      </c>
      <c r="AH10" s="127"/>
      <c r="AI10" s="1">
        <v>2010</v>
      </c>
      <c r="AJ10" s="143">
        <f t="shared" ref="AJ10:AJ30" si="5">IF($C10="","",SUM(AD10+AG10))</f>
        <v>0</v>
      </c>
      <c r="AK10" s="127"/>
      <c r="AL10" s="1">
        <v>2010</v>
      </c>
      <c r="AM10" s="143">
        <f t="shared" ref="AM10:AM30" si="6">IF($C10="","",SUM(O10+AJ10))</f>
        <v>0</v>
      </c>
      <c r="AN10" s="127"/>
      <c r="AO10" s="127"/>
      <c r="AP10" s="127"/>
      <c r="AQ10" s="127"/>
      <c r="AR10" s="127"/>
      <c r="AS10" s="127"/>
      <c r="AT10" s="127"/>
      <c r="AU10" s="127"/>
      <c r="AV10" s="127"/>
      <c r="AW10" s="127"/>
      <c r="AX10" s="127"/>
      <c r="AY10" s="127"/>
      <c r="AZ10" s="127"/>
    </row>
    <row r="11" spans="1:52">
      <c r="A11" s="127"/>
      <c r="B11" s="117">
        <v>2011</v>
      </c>
      <c r="C11" s="73">
        <f>_xlfn.LET(
_xlpm.home_savings,Homes_calc!C11,
_xlpm.product_savings,Homes_calc!D11,
IF(B11&gt;current_year,"",_xlpm.home_savings+_xlpm.product_savings)
)</f>
        <v>0</v>
      </c>
      <c r="D11" s="127"/>
      <c r="E11" s="117">
        <v>2011</v>
      </c>
      <c r="F11" s="53">
        <f>IF(E11&gt;current_year,"",INDEX(Homes_calc!$E$9:$E$30,Homes!E11-2008))</f>
        <v>0</v>
      </c>
      <c r="G11" s="127"/>
      <c r="H11" s="117">
        <v>2011</v>
      </c>
      <c r="I11" s="53">
        <f>IF(H11&gt;current_year,"",INDEX(Homes_calc!$F$9:$F$30,Homes!H11-2008))</f>
        <v>0</v>
      </c>
      <c r="J11" s="127"/>
      <c r="K11" s="117">
        <v>2011</v>
      </c>
      <c r="L11" s="53">
        <f t="shared" si="0"/>
        <v>0</v>
      </c>
      <c r="M11" s="127"/>
      <c r="N11" s="1">
        <v>2011</v>
      </c>
      <c r="O11" s="121">
        <f t="shared" si="1"/>
        <v>0</v>
      </c>
      <c r="P11" s="127"/>
      <c r="Q11" s="117">
        <v>2011</v>
      </c>
      <c r="R11" s="53">
        <f>IF(Q11&gt;current_year,"",INDEX(Homes_calc!$BB$175:$BB$198,Homes!Q11-2006))</f>
        <v>0</v>
      </c>
      <c r="S11" s="129"/>
      <c r="T11" s="117">
        <v>2011</v>
      </c>
      <c r="U11" s="53">
        <f>IF(T11&gt;current_year,"",INDEX(Homes_calc!$BB$229:$BB$252,Homes!T11-2006))</f>
        <v>0</v>
      </c>
      <c r="V11" s="127"/>
      <c r="W11" s="1">
        <v>2011</v>
      </c>
      <c r="X11" s="78">
        <f t="shared" si="2"/>
        <v>0</v>
      </c>
      <c r="Y11" s="127"/>
      <c r="Z11" s="1">
        <v>2011</v>
      </c>
      <c r="AA11" s="53">
        <f>IF(Z11&gt;current_year,"",INDEX(Homes_calc!$BB$283:$BB$306,Homes!Z11-2006))</f>
        <v>0</v>
      </c>
      <c r="AB11" s="127"/>
      <c r="AC11" s="1">
        <v>2011</v>
      </c>
      <c r="AD11" s="121">
        <f t="shared" si="3"/>
        <v>0</v>
      </c>
      <c r="AE11" s="127"/>
      <c r="AF11" s="1">
        <v>2011</v>
      </c>
      <c r="AG11" s="121">
        <f t="shared" si="4"/>
        <v>0</v>
      </c>
      <c r="AH11" s="127"/>
      <c r="AI11" s="1">
        <v>2011</v>
      </c>
      <c r="AJ11" s="143">
        <f t="shared" si="5"/>
        <v>0</v>
      </c>
      <c r="AK11" s="127"/>
      <c r="AL11" s="1">
        <v>2011</v>
      </c>
      <c r="AM11" s="143">
        <f t="shared" si="6"/>
        <v>0</v>
      </c>
      <c r="AN11" s="127"/>
      <c r="AO11" s="127"/>
      <c r="AP11" s="127"/>
      <c r="AQ11" s="127"/>
      <c r="AR11" s="127"/>
      <c r="AS11" s="127"/>
      <c r="AT11" s="127"/>
      <c r="AU11" s="127"/>
      <c r="AV11" s="127"/>
      <c r="AW11" s="127"/>
      <c r="AX11" s="127"/>
      <c r="AY11" s="127"/>
      <c r="AZ11" s="127"/>
    </row>
    <row r="12" spans="1:52">
      <c r="A12" s="127"/>
      <c r="B12" s="120">
        <v>2012</v>
      </c>
      <c r="C12" s="73">
        <f>_xlfn.LET(
_xlpm.home_savings,Homes_calc!C12,
_xlpm.product_savings,Homes_calc!D12,
IF(B12&gt;current_year,"",_xlpm.home_savings+_xlpm.product_savings)
)</f>
        <v>0</v>
      </c>
      <c r="D12" s="127"/>
      <c r="E12" s="117">
        <v>2012</v>
      </c>
      <c r="F12" s="53">
        <f>IF(E12&gt;current_year,"",INDEX(Homes_calc!$E$9:$E$30,Homes!E12-2008))</f>
        <v>0</v>
      </c>
      <c r="G12" s="127"/>
      <c r="H12" s="117">
        <v>2012</v>
      </c>
      <c r="I12" s="53">
        <f>IF(H12&gt;current_year,"",INDEX(Homes_calc!$F$9:$F$30,Homes!H12-2008))</f>
        <v>0</v>
      </c>
      <c r="J12" s="127"/>
      <c r="K12" s="117">
        <v>2012</v>
      </c>
      <c r="L12" s="53">
        <f t="shared" si="0"/>
        <v>0</v>
      </c>
      <c r="M12" s="127"/>
      <c r="N12" s="1">
        <v>2012</v>
      </c>
      <c r="O12" s="121">
        <f t="shared" si="1"/>
        <v>0</v>
      </c>
      <c r="P12" s="127"/>
      <c r="Q12" s="117">
        <v>2012</v>
      </c>
      <c r="R12" s="53">
        <f>IF(Q12&gt;current_year,"",INDEX(Homes_calc!$BB$175:$BB$198,Homes!Q12-2006))</f>
        <v>0</v>
      </c>
      <c r="S12" s="129"/>
      <c r="T12" s="117">
        <v>2012</v>
      </c>
      <c r="U12" s="53">
        <f>IF(T12&gt;current_year,"",INDEX(Homes_calc!$BB$229:$BB$252,Homes!T12-2006))</f>
        <v>0</v>
      </c>
      <c r="V12" s="127"/>
      <c r="W12" s="1">
        <v>2012</v>
      </c>
      <c r="X12" s="78">
        <f t="shared" si="2"/>
        <v>0</v>
      </c>
      <c r="Y12" s="127"/>
      <c r="Z12" s="1">
        <v>2012</v>
      </c>
      <c r="AA12" s="53">
        <f>IF(Z12&gt;current_year,"",INDEX(Homes_calc!$BB$283:$BB$306,Homes!Z12-2006))</f>
        <v>0</v>
      </c>
      <c r="AB12" s="127"/>
      <c r="AC12" s="1">
        <v>2012</v>
      </c>
      <c r="AD12" s="121">
        <f t="shared" si="3"/>
        <v>0</v>
      </c>
      <c r="AE12" s="127"/>
      <c r="AF12" s="1">
        <v>2012</v>
      </c>
      <c r="AG12" s="121">
        <f t="shared" si="4"/>
        <v>0</v>
      </c>
      <c r="AH12" s="127"/>
      <c r="AI12" s="1">
        <v>2012</v>
      </c>
      <c r="AJ12" s="143">
        <f t="shared" si="5"/>
        <v>0</v>
      </c>
      <c r="AK12" s="127"/>
      <c r="AL12" s="1">
        <v>2012</v>
      </c>
      <c r="AM12" s="143">
        <f t="shared" si="6"/>
        <v>0</v>
      </c>
      <c r="AN12" s="127"/>
      <c r="AO12" s="127"/>
      <c r="AP12" s="127"/>
      <c r="AQ12" s="127"/>
      <c r="AR12" s="127"/>
      <c r="AS12" s="127"/>
      <c r="AT12" s="127"/>
      <c r="AU12" s="127"/>
      <c r="AV12" s="127"/>
      <c r="AW12" s="127"/>
      <c r="AX12" s="127"/>
      <c r="AY12" s="127"/>
      <c r="AZ12" s="127"/>
    </row>
    <row r="13" spans="1:52">
      <c r="A13" s="127"/>
      <c r="B13" s="120">
        <v>2013</v>
      </c>
      <c r="C13" s="73">
        <f>_xlfn.LET(
_xlpm.home_savings,Homes_calc!C13,
_xlpm.product_savings,Homes_calc!D13,
IF(B13&gt;current_year,"",_xlpm.home_savings+_xlpm.product_savings)
)</f>
        <v>0</v>
      </c>
      <c r="D13" s="127"/>
      <c r="E13" s="120">
        <v>2013</v>
      </c>
      <c r="F13" s="53">
        <f>IF(E13&gt;current_year,"",INDEX(Homes_calc!$E$9:$E$30,Homes!E13-2008))</f>
        <v>0</v>
      </c>
      <c r="G13" s="127"/>
      <c r="H13" s="120">
        <v>2013</v>
      </c>
      <c r="I13" s="53">
        <f>IF(H13&gt;current_year,"",INDEX(Homes_calc!$F$9:$F$30,Homes!H13-2008))</f>
        <v>0</v>
      </c>
      <c r="J13" s="127"/>
      <c r="K13" s="120">
        <v>2013</v>
      </c>
      <c r="L13" s="53">
        <f t="shared" si="0"/>
        <v>0</v>
      </c>
      <c r="M13" s="127"/>
      <c r="N13" s="120">
        <v>2013</v>
      </c>
      <c r="O13" s="121">
        <f t="shared" si="1"/>
        <v>0</v>
      </c>
      <c r="P13" s="127"/>
      <c r="Q13" s="120">
        <v>2013</v>
      </c>
      <c r="R13" s="53">
        <f>IF(Q13&gt;current_year,"",INDEX(Homes_calc!$BB$175:$BB$198,Homes!Q13-2006))</f>
        <v>0</v>
      </c>
      <c r="S13" s="129"/>
      <c r="T13" s="120">
        <v>2013</v>
      </c>
      <c r="U13" s="53">
        <f>IF(T13&gt;current_year,"",INDEX(Homes_calc!$BB$229:$BB$252,Homes!T13-2006))</f>
        <v>0</v>
      </c>
      <c r="V13" s="127"/>
      <c r="W13" s="120">
        <v>2013</v>
      </c>
      <c r="X13" s="78">
        <f t="shared" si="2"/>
        <v>0</v>
      </c>
      <c r="Y13" s="127"/>
      <c r="Z13" s="120">
        <v>2013</v>
      </c>
      <c r="AA13" s="53">
        <f>IF(Z13&gt;current_year,"",INDEX(Homes_calc!$BB$283:$BB$306,Homes!Z13-2006))</f>
        <v>0</v>
      </c>
      <c r="AB13" s="127"/>
      <c r="AC13" s="120">
        <v>2013</v>
      </c>
      <c r="AD13" s="121">
        <f t="shared" si="3"/>
        <v>0</v>
      </c>
      <c r="AE13" s="127"/>
      <c r="AF13" s="120">
        <v>2013</v>
      </c>
      <c r="AG13" s="121">
        <f t="shared" si="4"/>
        <v>0</v>
      </c>
      <c r="AH13" s="127"/>
      <c r="AI13" s="120">
        <v>2013</v>
      </c>
      <c r="AJ13" s="143">
        <f t="shared" si="5"/>
        <v>0</v>
      </c>
      <c r="AK13" s="127"/>
      <c r="AL13" s="120">
        <v>2013</v>
      </c>
      <c r="AM13" s="143">
        <f t="shared" si="6"/>
        <v>0</v>
      </c>
      <c r="AN13" s="127"/>
      <c r="AO13" s="127"/>
      <c r="AP13" s="127"/>
      <c r="AQ13" s="127"/>
      <c r="AR13" s="127"/>
      <c r="AS13" s="127"/>
      <c r="AT13" s="127"/>
      <c r="AU13" s="127"/>
      <c r="AV13" s="127"/>
      <c r="AW13" s="127"/>
      <c r="AX13" s="127"/>
      <c r="AY13" s="127"/>
      <c r="AZ13" s="127"/>
    </row>
    <row r="14" spans="1:52">
      <c r="A14" s="127"/>
      <c r="B14" s="120">
        <v>2014</v>
      </c>
      <c r="C14" s="73">
        <f>_xlfn.LET(
_xlpm.home_savings,Homes_calc!C14,
_xlpm.product_savings,Homes_calc!D14,
IF(B14&gt;current_year,"",_xlpm.home_savings+_xlpm.product_savings)
)</f>
        <v>0</v>
      </c>
      <c r="D14" s="127"/>
      <c r="E14" s="120">
        <v>2014</v>
      </c>
      <c r="F14" s="53">
        <f>IF(E14&gt;current_year,"",INDEX(Homes_calc!$E$9:$E$30,Homes!E14-2008))</f>
        <v>0</v>
      </c>
      <c r="G14" s="127"/>
      <c r="H14" s="120">
        <v>2014</v>
      </c>
      <c r="I14" s="53">
        <f>IF(H14&gt;current_year,"",INDEX(Homes_calc!$F$9:$F$30,Homes!H14-2008))</f>
        <v>0</v>
      </c>
      <c r="J14" s="127"/>
      <c r="K14" s="120">
        <v>2014</v>
      </c>
      <c r="L14" s="53">
        <f t="shared" si="0"/>
        <v>0</v>
      </c>
      <c r="M14" s="127"/>
      <c r="N14" s="120">
        <v>2014</v>
      </c>
      <c r="O14" s="121">
        <f t="shared" si="1"/>
        <v>0</v>
      </c>
      <c r="P14" s="127"/>
      <c r="Q14" s="120">
        <v>2014</v>
      </c>
      <c r="R14" s="53">
        <f>IF(Q14&gt;current_year,"",INDEX(Homes_calc!$BB$175:$BB$198,Homes!Q14-2006))</f>
        <v>0</v>
      </c>
      <c r="S14" s="129"/>
      <c r="T14" s="120">
        <v>2014</v>
      </c>
      <c r="U14" s="53">
        <f>IF(T14&gt;current_year,"",INDEX(Homes_calc!$BB$229:$BB$252,Homes!T14-2006))</f>
        <v>0</v>
      </c>
      <c r="V14" s="127"/>
      <c r="W14" s="120">
        <v>2014</v>
      </c>
      <c r="X14" s="78">
        <f t="shared" si="2"/>
        <v>0</v>
      </c>
      <c r="Y14" s="127"/>
      <c r="Z14" s="120">
        <v>2014</v>
      </c>
      <c r="AA14" s="53">
        <f>IF(Z14&gt;current_year,"",INDEX(Homes_calc!$BB$283:$BB$306,Homes!Z14-2006))</f>
        <v>0</v>
      </c>
      <c r="AB14" s="127"/>
      <c r="AC14" s="120">
        <v>2014</v>
      </c>
      <c r="AD14" s="121">
        <f t="shared" si="3"/>
        <v>0</v>
      </c>
      <c r="AE14" s="127"/>
      <c r="AF14" s="120">
        <v>2014</v>
      </c>
      <c r="AG14" s="121">
        <f t="shared" si="4"/>
        <v>0</v>
      </c>
      <c r="AH14" s="127"/>
      <c r="AI14" s="120">
        <v>2014</v>
      </c>
      <c r="AJ14" s="143">
        <f t="shared" si="5"/>
        <v>0</v>
      </c>
      <c r="AK14" s="127"/>
      <c r="AL14" s="120">
        <v>2014</v>
      </c>
      <c r="AM14" s="143">
        <f t="shared" si="6"/>
        <v>0</v>
      </c>
      <c r="AN14" s="127"/>
      <c r="AO14" s="127"/>
      <c r="AP14" s="127"/>
      <c r="AQ14" s="127"/>
      <c r="AR14" s="127"/>
      <c r="AS14" s="127"/>
      <c r="AT14" s="127"/>
      <c r="AU14" s="127"/>
      <c r="AV14" s="127"/>
      <c r="AW14" s="127"/>
      <c r="AX14" s="127"/>
      <c r="AY14" s="127"/>
      <c r="AZ14" s="127"/>
    </row>
    <row r="15" spans="1:52">
      <c r="A15" s="127"/>
      <c r="B15" s="120">
        <v>2015</v>
      </c>
      <c r="C15" s="73">
        <f>_xlfn.LET(
_xlpm.home_savings,Homes_calc!C15,
_xlpm.product_savings,Homes_calc!D15,
IF(B15&gt;current_year,"",_xlpm.home_savings+_xlpm.product_savings)
)</f>
        <v>0</v>
      </c>
      <c r="D15" s="127"/>
      <c r="E15" s="120">
        <v>2015</v>
      </c>
      <c r="F15" s="53">
        <f>IF(E15&gt;current_year,"",INDEX(Homes_calc!$E$9:$E$30,Homes!E15-2008))</f>
        <v>0</v>
      </c>
      <c r="G15" s="127"/>
      <c r="H15" s="120">
        <v>2015</v>
      </c>
      <c r="I15" s="53">
        <f>IF(H15&gt;current_year,"",INDEX(Homes_calc!$F$9:$F$30,Homes!H15-2008))</f>
        <v>0</v>
      </c>
      <c r="J15" s="127"/>
      <c r="K15" s="120">
        <v>2015</v>
      </c>
      <c r="L15" s="53">
        <f t="shared" si="0"/>
        <v>0</v>
      </c>
      <c r="M15" s="127"/>
      <c r="N15" s="120">
        <v>2015</v>
      </c>
      <c r="O15" s="121">
        <f t="shared" si="1"/>
        <v>0</v>
      </c>
      <c r="P15" s="127"/>
      <c r="Q15" s="120">
        <v>2015</v>
      </c>
      <c r="R15" s="53">
        <f>IF(Q15&gt;current_year,"",INDEX(Homes_calc!$BB$175:$BB$198,Homes!Q15-2006))</f>
        <v>0</v>
      </c>
      <c r="S15" s="129"/>
      <c r="T15" s="120">
        <v>2015</v>
      </c>
      <c r="U15" s="53">
        <f>IF(T15&gt;current_year,"",INDEX(Homes_calc!$BB$229:$BB$252,Homes!T15-2006))</f>
        <v>0</v>
      </c>
      <c r="V15" s="127"/>
      <c r="W15" s="120">
        <v>2015</v>
      </c>
      <c r="X15" s="78">
        <f t="shared" si="2"/>
        <v>0</v>
      </c>
      <c r="Y15" s="127"/>
      <c r="Z15" s="120">
        <v>2015</v>
      </c>
      <c r="AA15" s="53">
        <f>IF(Z15&gt;current_year,"",INDEX(Homes_calc!$BB$283:$BB$306,Homes!Z15-2006))</f>
        <v>0</v>
      </c>
      <c r="AB15" s="127"/>
      <c r="AC15" s="120">
        <v>2015</v>
      </c>
      <c r="AD15" s="121">
        <f t="shared" si="3"/>
        <v>0</v>
      </c>
      <c r="AE15" s="127"/>
      <c r="AF15" s="120">
        <v>2015</v>
      </c>
      <c r="AG15" s="121">
        <f t="shared" si="4"/>
        <v>0</v>
      </c>
      <c r="AH15" s="127"/>
      <c r="AI15" s="120">
        <v>2015</v>
      </c>
      <c r="AJ15" s="143">
        <f t="shared" si="5"/>
        <v>0</v>
      </c>
      <c r="AK15" s="127"/>
      <c r="AL15" s="120">
        <v>2015</v>
      </c>
      <c r="AM15" s="143">
        <f t="shared" si="6"/>
        <v>0</v>
      </c>
      <c r="AN15" s="127"/>
      <c r="AO15" s="127"/>
      <c r="AP15" s="127"/>
      <c r="AQ15" s="127"/>
      <c r="AR15" s="127"/>
      <c r="AS15" s="127"/>
      <c r="AT15" s="127"/>
      <c r="AU15" s="127"/>
      <c r="AV15" s="127"/>
      <c r="AW15" s="127"/>
      <c r="AX15" s="127"/>
      <c r="AY15" s="127"/>
      <c r="AZ15" s="127"/>
    </row>
    <row r="16" spans="1:52">
      <c r="A16" s="127"/>
      <c r="B16" s="120">
        <v>2016</v>
      </c>
      <c r="C16" s="73">
        <f>_xlfn.LET(
_xlpm.home_savings,Homes_calc!C16,
_xlpm.product_savings,Homes_calc!D16,
IF(B16&gt;current_year,"",_xlpm.home_savings+_xlpm.product_savings)
)</f>
        <v>0</v>
      </c>
      <c r="D16" s="127"/>
      <c r="E16" s="120">
        <v>2016</v>
      </c>
      <c r="F16" s="53">
        <f>IF(E16&gt;current_year,"",INDEX(Homes_calc!$E$9:$E$30,Homes!E16-2008))</f>
        <v>0</v>
      </c>
      <c r="G16" s="127"/>
      <c r="H16" s="120">
        <v>2016</v>
      </c>
      <c r="I16" s="53">
        <f>IF(H16&gt;current_year,"",INDEX(Homes_calc!$F$9:$F$30,Homes!H16-2008))</f>
        <v>0</v>
      </c>
      <c r="J16" s="127"/>
      <c r="K16" s="120">
        <v>2016</v>
      </c>
      <c r="L16" s="53">
        <f t="shared" si="0"/>
        <v>0</v>
      </c>
      <c r="M16" s="127"/>
      <c r="N16" s="120">
        <v>2016</v>
      </c>
      <c r="O16" s="121">
        <f t="shared" si="1"/>
        <v>0</v>
      </c>
      <c r="P16" s="127"/>
      <c r="Q16" s="120">
        <v>2016</v>
      </c>
      <c r="R16" s="53">
        <f>IF(Q16&gt;current_year,"",INDEX(Homes_calc!$BB$175:$BB$198,Homes!Q16-2006))</f>
        <v>0</v>
      </c>
      <c r="S16" s="129"/>
      <c r="T16" s="120">
        <v>2016</v>
      </c>
      <c r="U16" s="53">
        <f>IF(T16&gt;current_year,"",INDEX(Homes_calc!$BB$229:$BB$252,Homes!T16-2006))</f>
        <v>0</v>
      </c>
      <c r="V16" s="127"/>
      <c r="W16" s="120">
        <v>2016</v>
      </c>
      <c r="X16" s="78">
        <f t="shared" si="2"/>
        <v>0</v>
      </c>
      <c r="Y16" s="127"/>
      <c r="Z16" s="120">
        <v>2016</v>
      </c>
      <c r="AA16" s="53">
        <f>IF(Z16&gt;current_year,"",INDEX(Homes_calc!$BB$283:$BB$306,Homes!Z16-2006))</f>
        <v>0</v>
      </c>
      <c r="AB16" s="127"/>
      <c r="AC16" s="120">
        <v>2016</v>
      </c>
      <c r="AD16" s="121">
        <f t="shared" si="3"/>
        <v>0</v>
      </c>
      <c r="AE16" s="127"/>
      <c r="AF16" s="120">
        <v>2016</v>
      </c>
      <c r="AG16" s="121">
        <f t="shared" si="4"/>
        <v>0</v>
      </c>
      <c r="AH16" s="127"/>
      <c r="AI16" s="120">
        <v>2016</v>
      </c>
      <c r="AJ16" s="143">
        <f t="shared" si="5"/>
        <v>0</v>
      </c>
      <c r="AK16" s="127"/>
      <c r="AL16" s="120">
        <v>2016</v>
      </c>
      <c r="AM16" s="143">
        <f t="shared" si="6"/>
        <v>0</v>
      </c>
      <c r="AN16" s="127"/>
      <c r="AO16" s="127"/>
      <c r="AP16" s="127"/>
      <c r="AQ16" s="127"/>
      <c r="AR16" s="127"/>
      <c r="AS16" s="127"/>
      <c r="AT16" s="127"/>
      <c r="AU16" s="127"/>
      <c r="AV16" s="127"/>
      <c r="AW16" s="127"/>
      <c r="AX16" s="127"/>
      <c r="AY16" s="127"/>
      <c r="AZ16" s="127"/>
    </row>
    <row r="17" spans="1:52">
      <c r="A17" s="127"/>
      <c r="B17" s="120">
        <v>2017</v>
      </c>
      <c r="C17" s="73">
        <f>_xlfn.LET(
_xlpm.home_savings,Homes_calc!C17,
_xlpm.product_savings,Homes_calc!D17,
IF(B17&gt;current_year,"",_xlpm.home_savings+_xlpm.product_savings)
)</f>
        <v>0</v>
      </c>
      <c r="D17" s="127"/>
      <c r="E17" s="120">
        <v>2017</v>
      </c>
      <c r="F17" s="53">
        <f>IF(E17&gt;current_year,"",INDEX(Homes_calc!$E$9:$E$30,Homes!E17-2008))</f>
        <v>0</v>
      </c>
      <c r="G17" s="127"/>
      <c r="H17" s="120">
        <v>2017</v>
      </c>
      <c r="I17" s="53">
        <f>IF(H17&gt;current_year,"",INDEX(Homes_calc!$F$9:$F$30,Homes!H17-2008))</f>
        <v>0</v>
      </c>
      <c r="J17" s="127"/>
      <c r="K17" s="120">
        <v>2017</v>
      </c>
      <c r="L17" s="53">
        <f t="shared" si="0"/>
        <v>0</v>
      </c>
      <c r="M17" s="127"/>
      <c r="N17" s="120">
        <v>2017</v>
      </c>
      <c r="O17" s="121">
        <f t="shared" si="1"/>
        <v>0</v>
      </c>
      <c r="P17" s="127"/>
      <c r="Q17" s="120">
        <v>2017</v>
      </c>
      <c r="R17" s="53">
        <f>IF(Q17&gt;current_year,"",INDEX(Homes_calc!$BB$175:$BB$198,Homes!Q17-2006))</f>
        <v>0</v>
      </c>
      <c r="S17" s="129"/>
      <c r="T17" s="120">
        <v>2017</v>
      </c>
      <c r="U17" s="53">
        <f>IF(T17&gt;current_year,"",INDEX(Homes_calc!$BB$229:$BB$252,Homes!T17-2006))</f>
        <v>0</v>
      </c>
      <c r="V17" s="127"/>
      <c r="W17" s="120">
        <v>2017</v>
      </c>
      <c r="X17" s="78">
        <f t="shared" si="2"/>
        <v>0</v>
      </c>
      <c r="Y17" s="127"/>
      <c r="Z17" s="120">
        <v>2017</v>
      </c>
      <c r="AA17" s="53">
        <f>IF(Z17&gt;current_year,"",INDEX(Homes_calc!$BB$283:$BB$306,Homes!Z17-2006))</f>
        <v>0</v>
      </c>
      <c r="AB17" s="127"/>
      <c r="AC17" s="120">
        <v>2017</v>
      </c>
      <c r="AD17" s="121">
        <f t="shared" si="3"/>
        <v>0</v>
      </c>
      <c r="AE17" s="127"/>
      <c r="AF17" s="120">
        <v>2017</v>
      </c>
      <c r="AG17" s="121">
        <f t="shared" si="4"/>
        <v>0</v>
      </c>
      <c r="AH17" s="127"/>
      <c r="AI17" s="120">
        <v>2017</v>
      </c>
      <c r="AJ17" s="143">
        <f t="shared" si="5"/>
        <v>0</v>
      </c>
      <c r="AK17" s="127"/>
      <c r="AL17" s="120">
        <v>2017</v>
      </c>
      <c r="AM17" s="143">
        <f t="shared" si="6"/>
        <v>0</v>
      </c>
      <c r="AN17" s="127"/>
      <c r="AO17" s="127"/>
      <c r="AP17" s="127"/>
      <c r="AQ17" s="127"/>
      <c r="AR17" s="127"/>
      <c r="AS17" s="127"/>
      <c r="AT17" s="127"/>
      <c r="AU17" s="127"/>
      <c r="AV17" s="127"/>
      <c r="AW17" s="127"/>
      <c r="AX17" s="127"/>
      <c r="AY17" s="127"/>
      <c r="AZ17" s="127"/>
    </row>
    <row r="18" spans="1:52">
      <c r="A18" s="127"/>
      <c r="B18" s="120">
        <v>2018</v>
      </c>
      <c r="C18" s="73">
        <f>_xlfn.LET(
_xlpm.home_savings,Homes_calc!C18,
_xlpm.product_savings,Homes_calc!D18,
IF(B18&gt;current_year,"",_xlpm.home_savings+_xlpm.product_savings)
)</f>
        <v>0</v>
      </c>
      <c r="D18" s="129"/>
      <c r="E18" s="120">
        <v>2018</v>
      </c>
      <c r="F18" s="53">
        <f>IF(E18&gt;current_year,"",INDEX(Homes_calc!$E$9:$E$30,Homes!E18-2008))</f>
        <v>0</v>
      </c>
      <c r="G18" s="127"/>
      <c r="H18" s="120">
        <v>2018</v>
      </c>
      <c r="I18" s="53">
        <f>IF(H18&gt;current_year,"",INDEX(Homes_calc!$F$9:$F$30,Homes!H18-2008))</f>
        <v>0</v>
      </c>
      <c r="J18" s="127"/>
      <c r="K18" s="120">
        <v>2018</v>
      </c>
      <c r="L18" s="53">
        <f t="shared" si="0"/>
        <v>0</v>
      </c>
      <c r="M18" s="127"/>
      <c r="N18" s="120">
        <v>2018</v>
      </c>
      <c r="O18" s="121">
        <f t="shared" si="1"/>
        <v>0</v>
      </c>
      <c r="P18" s="127"/>
      <c r="Q18" s="120">
        <v>2018</v>
      </c>
      <c r="R18" s="53">
        <f>IF(Q18&gt;current_year,"",INDEX(Homes_calc!$BB$175:$BB$198,Homes!Q18-2006))</f>
        <v>0</v>
      </c>
      <c r="S18" s="127"/>
      <c r="T18" s="120">
        <v>2018</v>
      </c>
      <c r="U18" s="53">
        <f>IF(T18&gt;current_year,"",INDEX(Homes_calc!$BB$229:$BB$252,Homes!T18-2006))</f>
        <v>0</v>
      </c>
      <c r="V18" s="127"/>
      <c r="W18" s="120">
        <v>2018</v>
      </c>
      <c r="X18" s="78">
        <f t="shared" ref="X18:X30" si="7">IF($C18="","",L18+R18+(U18*kwh_per_therm*therms_per_mcf))</f>
        <v>0</v>
      </c>
      <c r="Y18" s="129"/>
      <c r="Z18" s="120">
        <v>2018</v>
      </c>
      <c r="AA18" s="53">
        <f>IF(Z18&gt;current_year,"",INDEX(Homes_calc!$BB$283:$BB$306,Homes!Z18-2006))</f>
        <v>0</v>
      </c>
      <c r="AB18" s="127"/>
      <c r="AC18" s="120">
        <v>2018</v>
      </c>
      <c r="AD18" s="121">
        <f t="shared" si="3"/>
        <v>0</v>
      </c>
      <c r="AE18" s="127"/>
      <c r="AF18" s="120">
        <v>2018</v>
      </c>
      <c r="AG18" s="121">
        <f t="shared" si="4"/>
        <v>0</v>
      </c>
      <c r="AH18" s="127"/>
      <c r="AI18" s="120">
        <v>2018</v>
      </c>
      <c r="AJ18" s="143">
        <f t="shared" si="5"/>
        <v>0</v>
      </c>
      <c r="AK18" s="127"/>
      <c r="AL18" s="120">
        <v>2018</v>
      </c>
      <c r="AM18" s="143">
        <f t="shared" si="6"/>
        <v>0</v>
      </c>
      <c r="AN18" s="127"/>
      <c r="AO18" s="127"/>
      <c r="AP18" s="127"/>
      <c r="AQ18" s="127"/>
      <c r="AR18" s="127"/>
      <c r="AS18" s="127"/>
      <c r="AT18" s="127"/>
      <c r="AU18" s="127"/>
      <c r="AV18" s="127"/>
      <c r="AW18" s="127"/>
      <c r="AX18" s="127"/>
      <c r="AY18" s="127"/>
      <c r="AZ18" s="127"/>
    </row>
    <row r="19" spans="1:52">
      <c r="A19" s="127"/>
      <c r="B19" s="120">
        <v>2019</v>
      </c>
      <c r="C19" s="73">
        <f>_xlfn.LET(
_xlpm.home_savings,Homes_calc!C19,
_xlpm.product_savings,Homes_calc!D19,
IF(B19&gt;current_year,"",_xlpm.home_savings+_xlpm.product_savings)
)</f>
        <v>0</v>
      </c>
      <c r="D19" s="129"/>
      <c r="E19" s="120">
        <v>2019</v>
      </c>
      <c r="F19" s="53">
        <f>IF(E19&gt;current_year,"",INDEX(Homes_calc!$E$9:$E$30,Homes!E19-2008))</f>
        <v>0</v>
      </c>
      <c r="G19" s="127"/>
      <c r="H19" s="120">
        <v>2019</v>
      </c>
      <c r="I19" s="53">
        <f>IF(H19&gt;current_year,"",INDEX(Homes_calc!$F$9:$F$30,Homes!H19-2008))</f>
        <v>0</v>
      </c>
      <c r="J19" s="127"/>
      <c r="K19" s="120">
        <v>2019</v>
      </c>
      <c r="L19" s="53">
        <f t="shared" si="0"/>
        <v>0</v>
      </c>
      <c r="M19" s="127"/>
      <c r="N19" s="120">
        <v>2019</v>
      </c>
      <c r="O19" s="121">
        <f t="shared" si="1"/>
        <v>0</v>
      </c>
      <c r="P19" s="127"/>
      <c r="Q19" s="120">
        <v>2019</v>
      </c>
      <c r="R19" s="53">
        <f>IF(Q19&gt;current_year,"",INDEX(Homes_calc!$BB$175:$BB$198,Homes!Q19-2006))</f>
        <v>0</v>
      </c>
      <c r="S19" s="127"/>
      <c r="T19" s="120">
        <v>2019</v>
      </c>
      <c r="U19" s="53">
        <f>IF(T19&gt;current_year,"",INDEX(Homes_calc!$BB$229:$BB$252,Homes!T19-2006))</f>
        <v>0</v>
      </c>
      <c r="V19" s="127"/>
      <c r="W19" s="120">
        <v>2019</v>
      </c>
      <c r="X19" s="141">
        <f t="shared" si="7"/>
        <v>0</v>
      </c>
      <c r="Y19" s="127"/>
      <c r="Z19" s="120">
        <v>2019</v>
      </c>
      <c r="AA19" s="53">
        <f>IF(Z19&gt;current_year,"",INDEX(Homes_calc!$BB$283:$BB$306,Homes!Z19-2006))</f>
        <v>0</v>
      </c>
      <c r="AB19" s="127"/>
      <c r="AC19" s="120">
        <v>2019</v>
      </c>
      <c r="AD19" s="121">
        <f t="shared" si="3"/>
        <v>0</v>
      </c>
      <c r="AE19" s="127"/>
      <c r="AF19" s="120">
        <v>2019</v>
      </c>
      <c r="AG19" s="121">
        <f t="shared" si="4"/>
        <v>0</v>
      </c>
      <c r="AH19" s="127"/>
      <c r="AI19" s="120">
        <v>2019</v>
      </c>
      <c r="AJ19" s="143">
        <f t="shared" si="5"/>
        <v>0</v>
      </c>
      <c r="AK19" s="127"/>
      <c r="AL19" s="120">
        <v>2019</v>
      </c>
      <c r="AM19" s="143">
        <f t="shared" si="6"/>
        <v>0</v>
      </c>
      <c r="AN19" s="127"/>
      <c r="AO19" s="127"/>
      <c r="AP19" s="127"/>
      <c r="AQ19" s="127"/>
      <c r="AR19" s="127"/>
      <c r="AS19" s="127"/>
      <c r="AT19" s="127"/>
      <c r="AU19" s="127"/>
      <c r="AV19" s="127"/>
      <c r="AW19" s="127"/>
      <c r="AX19" s="127"/>
      <c r="AY19" s="127"/>
      <c r="AZ19" s="127"/>
    </row>
    <row r="20" spans="1:52">
      <c r="A20" s="127"/>
      <c r="B20" s="120">
        <v>2020</v>
      </c>
      <c r="C20" s="73">
        <f>_xlfn.LET(
_xlpm.home_savings,Homes_calc!C20,
_xlpm.product_savings,Homes_calc!D20,
IF(B20&gt;current_year,"",_xlpm.home_savings+_xlpm.product_savings)
)</f>
        <v>0</v>
      </c>
      <c r="D20" s="127"/>
      <c r="E20" s="120">
        <v>2020</v>
      </c>
      <c r="F20" s="53">
        <f>IF(E20&gt;current_year,"",INDEX(Homes_calc!$E$9:$E$30,Homes!E20-2008))</f>
        <v>0</v>
      </c>
      <c r="G20" s="127"/>
      <c r="H20" s="120">
        <v>2020</v>
      </c>
      <c r="I20" s="53">
        <f>IF(H20&gt;current_year,"",INDEX(Homes_calc!$F$9:$F$30,Homes!H20-2008))</f>
        <v>0</v>
      </c>
      <c r="J20" s="127"/>
      <c r="K20" s="120">
        <v>2020</v>
      </c>
      <c r="L20" s="53">
        <f t="shared" si="0"/>
        <v>0</v>
      </c>
      <c r="M20" s="127"/>
      <c r="N20" s="120">
        <v>2020</v>
      </c>
      <c r="O20" s="121">
        <f t="shared" si="1"/>
        <v>0</v>
      </c>
      <c r="P20" s="127"/>
      <c r="Q20" s="120">
        <v>2020</v>
      </c>
      <c r="R20" s="53">
        <f>IF(Q20&gt;current_year,"",INDEX(Homes_calc!$BB$175:$BB$198,Homes!Q20-2006))</f>
        <v>0</v>
      </c>
      <c r="S20" s="127"/>
      <c r="T20" s="120">
        <v>2020</v>
      </c>
      <c r="U20" s="53">
        <f>IF(T20&gt;current_year,"",INDEX(Homes_calc!$BB$229:$BB$252,Homes!T20-2006))</f>
        <v>0</v>
      </c>
      <c r="V20" s="127"/>
      <c r="W20" s="120">
        <v>2020</v>
      </c>
      <c r="X20" s="141">
        <f t="shared" si="7"/>
        <v>0</v>
      </c>
      <c r="Y20" s="127"/>
      <c r="Z20" s="120">
        <v>2020</v>
      </c>
      <c r="AA20" s="53">
        <f>IF(Z20&gt;current_year,"",INDEX(Homes_calc!$BB$283:$BB$306,Homes!Z20-2006))</f>
        <v>0</v>
      </c>
      <c r="AB20" s="127"/>
      <c r="AC20" s="120">
        <v>2020</v>
      </c>
      <c r="AD20" s="121">
        <f t="shared" ref="AD20:AD30" si="8">IF(C20="","",SUM(R20*INDEX(Elec_res,AC20-2006))*IF(AC20&lt;current_year, INDEX(GDP,current_year-2007)/INDEX(GDP,AC20-2007),1))</f>
        <v>0</v>
      </c>
      <c r="AE20" s="127"/>
      <c r="AF20" s="120">
        <v>2020</v>
      </c>
      <c r="AG20" s="121">
        <f t="shared" ref="AG20:AG30" si="9">IF(L20="","",SUM(U20*INDEX(Gas_res,AF20-2006))*IF(AF20&lt;current_year, INDEX(GDP,current_year-2007)/INDEX(GDP,AF20-2007),1))</f>
        <v>0</v>
      </c>
      <c r="AH20" s="127"/>
      <c r="AI20" s="120">
        <v>2020</v>
      </c>
      <c r="AJ20" s="143">
        <f t="shared" si="5"/>
        <v>0</v>
      </c>
      <c r="AK20" s="127"/>
      <c r="AL20" s="120">
        <v>2020</v>
      </c>
      <c r="AM20" s="143">
        <f t="shared" si="6"/>
        <v>0</v>
      </c>
      <c r="AN20" s="127"/>
      <c r="AO20" s="127"/>
      <c r="AP20" s="127"/>
      <c r="AQ20" s="127"/>
      <c r="AR20" s="127"/>
      <c r="AS20" s="127"/>
      <c r="AT20" s="127"/>
      <c r="AU20" s="127"/>
      <c r="AV20" s="127"/>
      <c r="AW20" s="127"/>
      <c r="AX20" s="127"/>
      <c r="AY20" s="127"/>
      <c r="AZ20" s="127"/>
    </row>
    <row r="21" spans="1:52">
      <c r="A21" s="127"/>
      <c r="B21" s="120">
        <v>2021</v>
      </c>
      <c r="C21" s="73">
        <f>_xlfn.LET(
_xlpm.home_savings,Homes_calc!C21,
_xlpm.product_savings,Homes_calc!D21,
IF(B21&gt;current_year,"",_xlpm.home_savings+_xlpm.product_savings)
)</f>
        <v>0</v>
      </c>
      <c r="D21" s="131"/>
      <c r="E21" s="120">
        <v>2021</v>
      </c>
      <c r="F21" s="53">
        <f>IF(E21&gt;current_year,"",INDEX(Homes_calc!$E$9:$E$30,Homes!E21-2008))</f>
        <v>0</v>
      </c>
      <c r="G21" s="127"/>
      <c r="H21" s="120">
        <v>2021</v>
      </c>
      <c r="I21" s="53">
        <f>IF(H21&gt;current_year,"",INDEX(Homes_calc!$F$9:$F$30,Homes!H21-2008))</f>
        <v>0</v>
      </c>
      <c r="J21" s="127"/>
      <c r="K21" s="120">
        <v>2021</v>
      </c>
      <c r="L21" s="53">
        <f t="shared" si="0"/>
        <v>0</v>
      </c>
      <c r="M21" s="127"/>
      <c r="N21" s="120">
        <v>2021</v>
      </c>
      <c r="O21" s="121">
        <f t="shared" si="1"/>
        <v>0</v>
      </c>
      <c r="P21" s="127"/>
      <c r="Q21" s="120">
        <v>2021</v>
      </c>
      <c r="R21" s="53">
        <f>IF(Q21&gt;current_year,"",INDEX(Homes_calc!$BB$175:$BB$198,Homes!Q21-2006))</f>
        <v>0</v>
      </c>
      <c r="S21" s="132"/>
      <c r="T21" s="120">
        <v>2021</v>
      </c>
      <c r="U21" s="53">
        <f>IF(T21&gt;current_year,"",INDEX(Homes_calc!$BB$229:$BB$252,Homes!T21-2006))</f>
        <v>0</v>
      </c>
      <c r="V21" s="127"/>
      <c r="W21" s="120">
        <v>2021</v>
      </c>
      <c r="X21" s="141">
        <f t="shared" si="7"/>
        <v>0</v>
      </c>
      <c r="Y21" s="127"/>
      <c r="Z21" s="120">
        <v>2021</v>
      </c>
      <c r="AA21" s="53">
        <f>IF(Z21&gt;current_year,"",INDEX(Homes_calc!$BB$283:$BB$306,Homes!Z21-2006))</f>
        <v>0</v>
      </c>
      <c r="AB21" s="127"/>
      <c r="AC21" s="120">
        <v>2021</v>
      </c>
      <c r="AD21" s="121">
        <f t="shared" si="8"/>
        <v>0</v>
      </c>
      <c r="AE21" s="127"/>
      <c r="AF21" s="120">
        <v>2021</v>
      </c>
      <c r="AG21" s="121">
        <f t="shared" si="9"/>
        <v>0</v>
      </c>
      <c r="AH21" s="127"/>
      <c r="AI21" s="120">
        <v>2021</v>
      </c>
      <c r="AJ21" s="143">
        <f t="shared" si="5"/>
        <v>0</v>
      </c>
      <c r="AK21" s="127"/>
      <c r="AL21" s="120">
        <v>2021</v>
      </c>
      <c r="AM21" s="143">
        <f t="shared" si="6"/>
        <v>0</v>
      </c>
      <c r="AN21" s="127"/>
      <c r="AO21" s="127"/>
      <c r="AP21" s="127"/>
      <c r="AQ21" s="127"/>
      <c r="AR21" s="127"/>
      <c r="AS21" s="127"/>
      <c r="AT21" s="127"/>
      <c r="AU21" s="127"/>
      <c r="AV21" s="127"/>
      <c r="AW21" s="127"/>
      <c r="AX21" s="127"/>
      <c r="AY21" s="127"/>
      <c r="AZ21" s="127"/>
    </row>
    <row r="22" spans="1:52">
      <c r="A22" s="127"/>
      <c r="B22" s="120">
        <v>2022</v>
      </c>
      <c r="C22" s="73">
        <f>_xlfn.LET(
_xlpm.home_savings,Homes_calc!C22,
_xlpm.product_savings,Homes_calc!D22,
IF(B22&gt;current_year,"",_xlpm.home_savings+_xlpm.product_savings)
)</f>
        <v>0</v>
      </c>
      <c r="D22" s="127"/>
      <c r="E22" s="120">
        <v>2022</v>
      </c>
      <c r="F22" s="53">
        <f>IF(E22&gt;current_year,"",INDEX(Homes_calc!$E$9:$E$30,Homes!E22-2008))</f>
        <v>0</v>
      </c>
      <c r="G22" s="127"/>
      <c r="H22" s="120">
        <v>2022</v>
      </c>
      <c r="I22" s="53">
        <f>IF(H22&gt;current_year,"",INDEX(Homes_calc!$F$9:$F$30,Homes!H22-2008))</f>
        <v>0</v>
      </c>
      <c r="J22" s="127"/>
      <c r="K22" s="120">
        <v>2022</v>
      </c>
      <c r="L22" s="53">
        <f>IF(K22&gt;current_year,"",(F22*(kwh_per_gal_drnk_water+kwh_per_gal_waste_water))+(I22*kwh_per_gal_drnk_water))</f>
        <v>0</v>
      </c>
      <c r="M22" s="127"/>
      <c r="N22" s="120">
        <v>2022</v>
      </c>
      <c r="O22" s="121">
        <f t="shared" si="1"/>
        <v>0</v>
      </c>
      <c r="P22" s="127"/>
      <c r="Q22" s="120">
        <v>2022</v>
      </c>
      <c r="R22" s="53">
        <f>IF(Q22&gt;current_year,"",INDEX(Homes_calc!$BB$175:$BB$198,Homes!Q22-2006))</f>
        <v>0</v>
      </c>
      <c r="S22" s="127"/>
      <c r="T22" s="120">
        <v>2022</v>
      </c>
      <c r="U22" s="53">
        <f>IF(T22&gt;current_year,"",INDEX(Homes_calc!$BB$229:$BB$252,Homes!T22-2006))</f>
        <v>0</v>
      </c>
      <c r="V22" s="127"/>
      <c r="W22" s="120">
        <v>2022</v>
      </c>
      <c r="X22" s="141">
        <f t="shared" si="7"/>
        <v>0</v>
      </c>
      <c r="Y22" s="127"/>
      <c r="Z22" s="120">
        <v>2022</v>
      </c>
      <c r="AA22" s="53">
        <f>IF(Z22&gt;current_year,"",INDEX(Homes_calc!$BB$283:$BB$306,Homes!Z22-2006))</f>
        <v>0</v>
      </c>
      <c r="AB22" s="127"/>
      <c r="AC22" s="120">
        <v>2022</v>
      </c>
      <c r="AD22" s="121">
        <f t="shared" si="8"/>
        <v>0</v>
      </c>
      <c r="AE22" s="127"/>
      <c r="AF22" s="120">
        <v>2022</v>
      </c>
      <c r="AG22" s="121">
        <f t="shared" si="9"/>
        <v>0</v>
      </c>
      <c r="AH22" s="127"/>
      <c r="AI22" s="120">
        <v>2022</v>
      </c>
      <c r="AJ22" s="143">
        <f t="shared" si="5"/>
        <v>0</v>
      </c>
      <c r="AK22" s="127"/>
      <c r="AL22" s="120">
        <v>2022</v>
      </c>
      <c r="AM22" s="143">
        <f t="shared" si="6"/>
        <v>0</v>
      </c>
      <c r="AN22" s="127"/>
      <c r="AO22" s="127"/>
      <c r="AP22" s="127"/>
      <c r="AQ22" s="127"/>
      <c r="AR22" s="127"/>
      <c r="AS22" s="127"/>
      <c r="AT22" s="127"/>
      <c r="AU22" s="127"/>
      <c r="AV22" s="127"/>
      <c r="AW22" s="127"/>
      <c r="AX22" s="127"/>
      <c r="AY22" s="127"/>
      <c r="AZ22" s="127"/>
    </row>
    <row r="23" spans="1:52">
      <c r="A23" s="127"/>
      <c r="B23" s="120">
        <v>2023</v>
      </c>
      <c r="C23" s="73">
        <f>_xlfn.LET(
_xlpm.home_savings,Homes_calc!C23,
_xlpm.product_savings,Homes_calc!D23,
IF(B23&gt;current_year,"",_xlpm.home_savings+_xlpm.product_savings)
)</f>
        <v>0</v>
      </c>
      <c r="D23" s="127"/>
      <c r="E23" s="120">
        <v>2023</v>
      </c>
      <c r="F23" s="53">
        <f>IF(E23&gt;current_year,"",INDEX(Homes_calc!$E$9:$E$30,Homes!E23-2008))</f>
        <v>0</v>
      </c>
      <c r="G23" s="127"/>
      <c r="H23" s="120">
        <v>2023</v>
      </c>
      <c r="I23" s="53">
        <f>IF(H23&gt;current_year,"",INDEX(Homes_calc!$F$9:$F$30,Homes!H23-2008))</f>
        <v>0</v>
      </c>
      <c r="J23" s="127"/>
      <c r="K23" s="120">
        <v>2023</v>
      </c>
      <c r="L23" s="53">
        <f t="shared" si="0"/>
        <v>0</v>
      </c>
      <c r="M23" s="127"/>
      <c r="N23" s="120">
        <v>2023</v>
      </c>
      <c r="O23" s="121">
        <f t="shared" si="1"/>
        <v>0</v>
      </c>
      <c r="P23" s="127"/>
      <c r="Q23" s="120">
        <v>2023</v>
      </c>
      <c r="R23" s="53">
        <f>IF(Q23&gt;current_year,"",INDEX(Homes_calc!$BB$175:$BB$198,Homes!Q23-2006))</f>
        <v>0</v>
      </c>
      <c r="S23" s="127"/>
      <c r="T23" s="120">
        <v>2023</v>
      </c>
      <c r="U23" s="53">
        <f>IF(T23&gt;current_year,"",INDEX(Homes_calc!$BB$229:$BB$252,Homes!T23-2006))</f>
        <v>0</v>
      </c>
      <c r="V23" s="127"/>
      <c r="W23" s="120">
        <v>2023</v>
      </c>
      <c r="X23" s="141">
        <f t="shared" si="7"/>
        <v>0</v>
      </c>
      <c r="Y23" s="127"/>
      <c r="Z23" s="120">
        <v>2023</v>
      </c>
      <c r="AA23" s="53">
        <f>IF(Z23&gt;current_year,"",INDEX(Homes_calc!$BB$283:$BB$306,Homes!Z23-2006))</f>
        <v>0</v>
      </c>
      <c r="AB23" s="127"/>
      <c r="AC23" s="120">
        <v>2023</v>
      </c>
      <c r="AD23" s="121">
        <f t="shared" si="8"/>
        <v>0</v>
      </c>
      <c r="AE23" s="127"/>
      <c r="AF23" s="120">
        <v>2023</v>
      </c>
      <c r="AG23" s="121">
        <f t="shared" si="9"/>
        <v>0</v>
      </c>
      <c r="AH23" s="127"/>
      <c r="AI23" s="120">
        <v>2023</v>
      </c>
      <c r="AJ23" s="143">
        <f t="shared" si="5"/>
        <v>0</v>
      </c>
      <c r="AK23" s="127"/>
      <c r="AL23" s="120">
        <v>2023</v>
      </c>
      <c r="AM23" s="143">
        <f t="shared" si="6"/>
        <v>0</v>
      </c>
      <c r="AN23" s="127"/>
      <c r="AO23" s="127"/>
      <c r="AP23" s="127"/>
      <c r="AQ23" s="127"/>
      <c r="AR23" s="127"/>
      <c r="AS23" s="127"/>
      <c r="AT23" s="127"/>
      <c r="AU23" s="127"/>
      <c r="AV23" s="127"/>
      <c r="AW23" s="127"/>
      <c r="AX23" s="127"/>
      <c r="AY23" s="127"/>
      <c r="AZ23" s="127"/>
    </row>
    <row r="24" spans="1:52">
      <c r="A24" s="127"/>
      <c r="B24" s="120">
        <v>2024</v>
      </c>
      <c r="C24" s="73">
        <f>_xlfn.LET(
_xlpm.home_savings,Homes_calc!C24,
_xlpm.product_savings,Homes_calc!D24,
IF(B24&gt;current_year,"",_xlpm.home_savings+_xlpm.product_savings)
)</f>
        <v>0</v>
      </c>
      <c r="D24" s="127"/>
      <c r="E24" s="120">
        <v>2024</v>
      </c>
      <c r="F24" s="53">
        <f>IF(E24&gt;current_year,"",INDEX(Homes_calc!$E$9:$E$30,Homes!E24-2008))</f>
        <v>0</v>
      </c>
      <c r="G24" s="127"/>
      <c r="H24" s="120">
        <v>2024</v>
      </c>
      <c r="I24" s="53">
        <f>IF(H24&gt;current_year,"",INDEX(Homes_calc!$F$9:$F$30,Homes!H24-2008))</f>
        <v>0</v>
      </c>
      <c r="J24" s="127"/>
      <c r="K24" s="120">
        <v>2024</v>
      </c>
      <c r="L24" s="53">
        <f t="shared" si="0"/>
        <v>0</v>
      </c>
      <c r="M24" s="127"/>
      <c r="N24" s="120">
        <v>2024</v>
      </c>
      <c r="O24" s="121">
        <f t="shared" si="1"/>
        <v>0</v>
      </c>
      <c r="P24" s="127"/>
      <c r="Q24" s="120">
        <v>2024</v>
      </c>
      <c r="R24" s="53">
        <f>IF(Q24&gt;current_year,"",INDEX(Homes_calc!$BB$175:$BB$198,Homes!Q24-2006))</f>
        <v>0</v>
      </c>
      <c r="S24" s="127"/>
      <c r="T24" s="120">
        <v>2024</v>
      </c>
      <c r="U24" s="53">
        <f>IF(T24&gt;current_year,"",INDEX(Homes_calc!$BB$229:$BB$252,Homes!T24-2006))</f>
        <v>0</v>
      </c>
      <c r="V24" s="127"/>
      <c r="W24" s="120">
        <v>2024</v>
      </c>
      <c r="X24" s="141">
        <f>IF($C24="","",L24+R24+(U24*kwh_per_therm*therms_per_mcf))</f>
        <v>0</v>
      </c>
      <c r="Y24" s="127"/>
      <c r="Z24" s="120">
        <v>2024</v>
      </c>
      <c r="AA24" s="53">
        <f>IF(Z24&gt;current_year,"",INDEX(Homes_calc!$BB$283:$BB$306,Homes!Z24-2006))</f>
        <v>0</v>
      </c>
      <c r="AB24" s="127"/>
      <c r="AC24" s="120">
        <v>2024</v>
      </c>
      <c r="AD24" s="121">
        <f t="shared" si="8"/>
        <v>0</v>
      </c>
      <c r="AE24" s="127"/>
      <c r="AF24" s="120">
        <v>2024</v>
      </c>
      <c r="AG24" s="121">
        <f t="shared" si="9"/>
        <v>0</v>
      </c>
      <c r="AH24" s="127"/>
      <c r="AI24" s="120">
        <v>2024</v>
      </c>
      <c r="AJ24" s="143">
        <f t="shared" si="5"/>
        <v>0</v>
      </c>
      <c r="AK24" s="127"/>
      <c r="AL24" s="120">
        <v>2024</v>
      </c>
      <c r="AM24" s="143">
        <f t="shared" si="6"/>
        <v>0</v>
      </c>
      <c r="AN24" s="127"/>
      <c r="AO24" s="127"/>
      <c r="AP24" s="127"/>
      <c r="AQ24" s="127"/>
      <c r="AR24" s="127"/>
      <c r="AS24" s="127"/>
      <c r="AT24" s="127"/>
      <c r="AU24" s="127"/>
      <c r="AV24" s="127"/>
      <c r="AW24" s="127"/>
      <c r="AX24" s="127"/>
      <c r="AY24" s="127"/>
      <c r="AZ24" s="127"/>
    </row>
    <row r="25" spans="1:52">
      <c r="A25" s="127"/>
      <c r="B25" s="120">
        <v>2025</v>
      </c>
      <c r="C25" s="73" t="str">
        <f>_xlfn.LET(
_xlpm.home_savings,Homes_calc!C25,
_xlpm.product_savings,Homes_calc!D25,
IF(B25&gt;current_year,"",_xlpm.home_savings+_xlpm.product_savings)
)</f>
        <v/>
      </c>
      <c r="D25" s="127"/>
      <c r="E25" s="120">
        <v>2025</v>
      </c>
      <c r="F25" s="53" t="str">
        <f>IF(E25&gt;current_year,"",INDEX(Homes_calc!$E$9:$E$30,Homes!E25-2008))</f>
        <v/>
      </c>
      <c r="G25" s="127"/>
      <c r="H25" s="120">
        <v>2025</v>
      </c>
      <c r="I25" s="53" t="str">
        <f>IF(H25&gt;current_year,"",INDEX(Homes_calc!$F$9:$F$30,Homes!H25-2008))</f>
        <v/>
      </c>
      <c r="J25" s="127"/>
      <c r="K25" s="120">
        <v>2025</v>
      </c>
      <c r="L25" s="53" t="str">
        <f t="shared" si="0"/>
        <v/>
      </c>
      <c r="M25" s="127"/>
      <c r="N25" s="120">
        <v>2025</v>
      </c>
      <c r="O25" s="121" t="str">
        <f t="shared" si="1"/>
        <v/>
      </c>
      <c r="P25" s="127"/>
      <c r="Q25" s="120">
        <v>2025</v>
      </c>
      <c r="R25" s="53" t="str">
        <f>IF(Q25&gt;current_year,"",INDEX(Homes_calc!$BB$175:$BB$198,Homes!Q25-2006))</f>
        <v/>
      </c>
      <c r="S25" s="127"/>
      <c r="T25" s="120">
        <v>2025</v>
      </c>
      <c r="U25" s="53" t="str">
        <f>IF(T25&gt;current_year,"",INDEX(Homes_calc!$BB$229:$BB$252,Homes!T25-2006))</f>
        <v/>
      </c>
      <c r="V25" s="127"/>
      <c r="W25" s="120">
        <v>2025</v>
      </c>
      <c r="X25" s="141" t="str">
        <f t="shared" si="7"/>
        <v/>
      </c>
      <c r="Y25" s="127"/>
      <c r="Z25" s="120">
        <v>2025</v>
      </c>
      <c r="AA25" s="53" t="str">
        <f>IF(Z25&gt;current_year,"",INDEX(Homes_calc!$BB$283:$BB$306,Homes!Z25-2006))</f>
        <v/>
      </c>
      <c r="AB25" s="127"/>
      <c r="AC25" s="120">
        <v>2025</v>
      </c>
      <c r="AD25" s="121" t="str">
        <f t="shared" si="8"/>
        <v/>
      </c>
      <c r="AE25" s="127"/>
      <c r="AF25" s="120">
        <v>2025</v>
      </c>
      <c r="AG25" s="121" t="str">
        <f t="shared" si="9"/>
        <v/>
      </c>
      <c r="AH25" s="127"/>
      <c r="AI25" s="120">
        <v>2025</v>
      </c>
      <c r="AJ25" s="143" t="str">
        <f t="shared" si="5"/>
        <v/>
      </c>
      <c r="AK25" s="127"/>
      <c r="AL25" s="120">
        <v>2025</v>
      </c>
      <c r="AM25" s="143" t="str">
        <f t="shared" si="6"/>
        <v/>
      </c>
      <c r="AN25" s="127"/>
      <c r="AO25" s="127"/>
      <c r="AP25" s="127"/>
      <c r="AQ25" s="127"/>
      <c r="AR25" s="127"/>
      <c r="AS25" s="127"/>
      <c r="AT25" s="127"/>
      <c r="AU25" s="127"/>
      <c r="AV25" s="127"/>
      <c r="AW25" s="127"/>
      <c r="AX25" s="127"/>
      <c r="AY25" s="127"/>
      <c r="AZ25" s="127"/>
    </row>
    <row r="26" spans="1:52">
      <c r="A26" s="127"/>
      <c r="B26" s="120">
        <v>2026</v>
      </c>
      <c r="C26" s="73" t="str">
        <f>_xlfn.LET(
_xlpm.home_savings,Homes_calc!C26,
_xlpm.product_savings,Homes_calc!D26,
IF(B26&gt;current_year,"",_xlpm.home_savings+_xlpm.product_savings)
)</f>
        <v/>
      </c>
      <c r="D26" s="127"/>
      <c r="E26" s="120">
        <v>2026</v>
      </c>
      <c r="F26" s="53" t="str">
        <f>IF(E26&gt;current_year,"",INDEX(Homes_calc!$E$9:$E$30,Homes!E26-2008))</f>
        <v/>
      </c>
      <c r="G26" s="127"/>
      <c r="H26" s="120">
        <v>2026</v>
      </c>
      <c r="I26" s="53" t="str">
        <f>IF(H26&gt;current_year,"",INDEX(Homes_calc!$F$9:$F$30,Homes!H26-2008))</f>
        <v/>
      </c>
      <c r="J26" s="127"/>
      <c r="K26" s="120">
        <v>2026</v>
      </c>
      <c r="L26" s="53" t="str">
        <f t="shared" si="0"/>
        <v/>
      </c>
      <c r="M26" s="127"/>
      <c r="N26" s="120">
        <v>2026</v>
      </c>
      <c r="O26" s="121" t="str">
        <f t="shared" si="1"/>
        <v/>
      </c>
      <c r="P26" s="127"/>
      <c r="Q26" s="120">
        <v>2026</v>
      </c>
      <c r="R26" s="53" t="str">
        <f>IF(Q26&gt;current_year,"",INDEX(Homes_calc!$BB$175:$BB$198,Homes!Q26-2006))</f>
        <v/>
      </c>
      <c r="S26" s="127"/>
      <c r="T26" s="120">
        <v>2026</v>
      </c>
      <c r="U26" s="53" t="str">
        <f>IF(T26&gt;current_year,"",INDEX(Homes_calc!$BB$229:$BB$252,Homes!T26-2006))</f>
        <v/>
      </c>
      <c r="V26" s="127"/>
      <c r="W26" s="120">
        <v>2026</v>
      </c>
      <c r="X26" s="141" t="str">
        <f t="shared" si="7"/>
        <v/>
      </c>
      <c r="Y26" s="127"/>
      <c r="Z26" s="120">
        <v>2026</v>
      </c>
      <c r="AA26" s="53" t="str">
        <f>IF(Z26&gt;current_year,"",INDEX(Homes_calc!$BB$283:$BB$306,Homes!Z26-2006))</f>
        <v/>
      </c>
      <c r="AB26" s="127"/>
      <c r="AC26" s="120">
        <v>2026</v>
      </c>
      <c r="AD26" s="121" t="str">
        <f t="shared" si="8"/>
        <v/>
      </c>
      <c r="AE26" s="127"/>
      <c r="AF26" s="120">
        <v>2026</v>
      </c>
      <c r="AG26" s="121" t="str">
        <f t="shared" si="9"/>
        <v/>
      </c>
      <c r="AH26" s="127"/>
      <c r="AI26" s="120">
        <v>2026</v>
      </c>
      <c r="AJ26" s="143" t="str">
        <f t="shared" si="5"/>
        <v/>
      </c>
      <c r="AK26" s="127"/>
      <c r="AL26" s="120">
        <v>2026</v>
      </c>
      <c r="AM26" s="143" t="str">
        <f t="shared" si="6"/>
        <v/>
      </c>
      <c r="AN26" s="127"/>
      <c r="AO26" s="127"/>
      <c r="AP26" s="127"/>
      <c r="AQ26" s="127"/>
      <c r="AR26" s="127"/>
      <c r="AS26" s="127"/>
      <c r="AT26" s="127"/>
      <c r="AU26" s="127"/>
      <c r="AV26" s="127"/>
      <c r="AW26" s="127"/>
      <c r="AX26" s="127"/>
      <c r="AY26" s="127"/>
      <c r="AZ26" s="127"/>
    </row>
    <row r="27" spans="1:52">
      <c r="A27" s="127"/>
      <c r="B27" s="120">
        <v>2027</v>
      </c>
      <c r="C27" s="73" t="str">
        <f>_xlfn.LET(
_xlpm.home_savings,Homes_calc!C27,
_xlpm.product_savings,Homes_calc!D27,
IF(B27&gt;current_year,"",_xlpm.home_savings+_xlpm.product_savings)
)</f>
        <v/>
      </c>
      <c r="D27" s="127"/>
      <c r="E27" s="120">
        <v>2027</v>
      </c>
      <c r="F27" s="53" t="str">
        <f>IF(E27&gt;current_year,"",INDEX(Homes_calc!$E$9:$E$30,Homes!E27-2008))</f>
        <v/>
      </c>
      <c r="G27" s="127"/>
      <c r="H27" s="120">
        <v>2027</v>
      </c>
      <c r="I27" s="53" t="str">
        <f>IF(H27&gt;current_year,"",INDEX(Homes_calc!$F$9:$F$30,Homes!H27-2008))</f>
        <v/>
      </c>
      <c r="J27" s="127"/>
      <c r="K27" s="120">
        <v>2027</v>
      </c>
      <c r="L27" s="53" t="str">
        <f t="shared" si="0"/>
        <v/>
      </c>
      <c r="M27" s="127"/>
      <c r="N27" s="120">
        <v>2027</v>
      </c>
      <c r="O27" s="121" t="str">
        <f t="shared" si="1"/>
        <v/>
      </c>
      <c r="P27" s="127"/>
      <c r="Q27" s="120">
        <v>2027</v>
      </c>
      <c r="R27" s="53" t="str">
        <f>IF(Q27&gt;current_year,"",INDEX(Homes_calc!$BB$175:$BB$198,Homes!Q27-2006))</f>
        <v/>
      </c>
      <c r="S27" s="127"/>
      <c r="T27" s="120">
        <v>2027</v>
      </c>
      <c r="U27" s="53" t="str">
        <f>IF(T27&gt;current_year,"",INDEX(Homes_calc!$BB$229:$BB$252,Homes!T27-2006))</f>
        <v/>
      </c>
      <c r="V27" s="127"/>
      <c r="W27" s="120">
        <v>2027</v>
      </c>
      <c r="X27" s="141" t="str">
        <f t="shared" si="7"/>
        <v/>
      </c>
      <c r="Y27" s="127"/>
      <c r="Z27" s="120">
        <v>2027</v>
      </c>
      <c r="AA27" s="53" t="str">
        <f>IF(Z27&gt;current_year,"",INDEX(Homes_calc!$BB$283:$BB$306,Homes!Z27-2006))</f>
        <v/>
      </c>
      <c r="AB27" s="127"/>
      <c r="AC27" s="120">
        <v>2027</v>
      </c>
      <c r="AD27" s="121" t="str">
        <f t="shared" si="8"/>
        <v/>
      </c>
      <c r="AE27" s="127"/>
      <c r="AF27" s="120">
        <v>2027</v>
      </c>
      <c r="AG27" s="121" t="str">
        <f t="shared" si="9"/>
        <v/>
      </c>
      <c r="AH27" s="127"/>
      <c r="AI27" s="120">
        <v>2027</v>
      </c>
      <c r="AJ27" s="143" t="str">
        <f t="shared" si="5"/>
        <v/>
      </c>
      <c r="AK27" s="127"/>
      <c r="AL27" s="120">
        <v>2027</v>
      </c>
      <c r="AM27" s="143" t="str">
        <f t="shared" si="6"/>
        <v/>
      </c>
      <c r="AN27" s="127"/>
      <c r="AO27" s="127"/>
      <c r="AP27" s="127"/>
      <c r="AQ27" s="127"/>
      <c r="AR27" s="127"/>
      <c r="AS27" s="127"/>
      <c r="AT27" s="127"/>
      <c r="AU27" s="127"/>
      <c r="AV27" s="127"/>
      <c r="AW27" s="127"/>
      <c r="AX27" s="127"/>
      <c r="AY27" s="127"/>
      <c r="AZ27" s="127"/>
    </row>
    <row r="28" spans="1:52">
      <c r="A28" s="127"/>
      <c r="B28" s="120">
        <v>2028</v>
      </c>
      <c r="C28" s="73" t="str">
        <f>_xlfn.LET(
_xlpm.home_savings,Homes_calc!C28,
_xlpm.product_savings,Homes_calc!D28,
IF(B28&gt;current_year,"",_xlpm.home_savings+_xlpm.product_savings)
)</f>
        <v/>
      </c>
      <c r="D28" s="127"/>
      <c r="E28" s="120">
        <v>2028</v>
      </c>
      <c r="F28" s="53" t="str">
        <f>IF(E28&gt;current_year,"",INDEX(Homes_calc!$E$9:$E$30,Homes!E28-2008))</f>
        <v/>
      </c>
      <c r="G28" s="127"/>
      <c r="H28" s="120">
        <v>2028</v>
      </c>
      <c r="I28" s="53" t="str">
        <f>IF(H28&gt;current_year,"",INDEX(Homes_calc!$F$9:$F$30,Homes!H28-2008))</f>
        <v/>
      </c>
      <c r="J28" s="127"/>
      <c r="K28" s="120">
        <v>2028</v>
      </c>
      <c r="L28" s="53" t="str">
        <f t="shared" si="0"/>
        <v/>
      </c>
      <c r="M28" s="127"/>
      <c r="N28" s="120">
        <v>2028</v>
      </c>
      <c r="O28" s="121" t="str">
        <f t="shared" si="1"/>
        <v/>
      </c>
      <c r="P28" s="127"/>
      <c r="Q28" s="120">
        <v>2028</v>
      </c>
      <c r="R28" s="53" t="str">
        <f>IF(Q28&gt;current_year,"",INDEX(Homes_calc!$BB$175:$BB$198,Homes!Q28-2006))</f>
        <v/>
      </c>
      <c r="S28" s="127"/>
      <c r="T28" s="120">
        <v>2028</v>
      </c>
      <c r="U28" s="53" t="str">
        <f>IF(T28&gt;current_year,"",INDEX(Homes_calc!$BB$229:$BB$252,Homes!T28-2006))</f>
        <v/>
      </c>
      <c r="V28" s="127"/>
      <c r="W28" s="120">
        <v>2028</v>
      </c>
      <c r="X28" s="141" t="str">
        <f t="shared" si="7"/>
        <v/>
      </c>
      <c r="Y28" s="127"/>
      <c r="Z28" s="120">
        <v>2028</v>
      </c>
      <c r="AA28" s="53" t="str">
        <f>IF(Z28&gt;current_year,"",INDEX(Homes_calc!$BB$283:$BB$306,Homes!Z28-2006))</f>
        <v/>
      </c>
      <c r="AB28" s="127"/>
      <c r="AC28" s="120">
        <v>2028</v>
      </c>
      <c r="AD28" s="121" t="str">
        <f t="shared" si="8"/>
        <v/>
      </c>
      <c r="AE28" s="127"/>
      <c r="AF28" s="120">
        <v>2028</v>
      </c>
      <c r="AG28" s="121" t="str">
        <f t="shared" si="9"/>
        <v/>
      </c>
      <c r="AH28" s="127"/>
      <c r="AI28" s="120">
        <v>2028</v>
      </c>
      <c r="AJ28" s="143" t="str">
        <f t="shared" si="5"/>
        <v/>
      </c>
      <c r="AK28" s="127"/>
      <c r="AL28" s="120">
        <v>2028</v>
      </c>
      <c r="AM28" s="143" t="str">
        <f t="shared" si="6"/>
        <v/>
      </c>
      <c r="AN28" s="127"/>
      <c r="AO28" s="127"/>
      <c r="AP28" s="127"/>
      <c r="AQ28" s="127"/>
      <c r="AR28" s="127"/>
      <c r="AS28" s="127"/>
      <c r="AT28" s="127"/>
      <c r="AU28" s="127"/>
      <c r="AV28" s="127"/>
      <c r="AW28" s="127"/>
      <c r="AX28" s="127"/>
      <c r="AY28" s="127"/>
      <c r="AZ28" s="127"/>
    </row>
    <row r="29" spans="1:52">
      <c r="A29" s="127"/>
      <c r="B29" s="120">
        <v>2029</v>
      </c>
      <c r="C29" s="73" t="str">
        <f>_xlfn.LET(
_xlpm.home_savings,Homes_calc!C29,
_xlpm.product_savings,Homes_calc!D29,
IF(B29&gt;current_year,"",_xlpm.home_savings+_xlpm.product_savings)
)</f>
        <v/>
      </c>
      <c r="D29" s="127"/>
      <c r="E29" s="120">
        <v>2029</v>
      </c>
      <c r="F29" s="53" t="str">
        <f>IF(E29&gt;current_year,"",INDEX(Homes_calc!$E$9:$E$30,Homes!E29-2008))</f>
        <v/>
      </c>
      <c r="G29" s="127"/>
      <c r="H29" s="120">
        <v>2029</v>
      </c>
      <c r="I29" s="53" t="str">
        <f>IF(H29&gt;current_year,"",INDEX(Homes_calc!$F$9:$F$30,Homes!H29-2008))</f>
        <v/>
      </c>
      <c r="J29" s="127"/>
      <c r="K29" s="120">
        <v>2029</v>
      </c>
      <c r="L29" s="53" t="str">
        <f t="shared" si="0"/>
        <v/>
      </c>
      <c r="M29" s="127"/>
      <c r="N29" s="120">
        <v>2029</v>
      </c>
      <c r="O29" s="121" t="str">
        <f t="shared" si="1"/>
        <v/>
      </c>
      <c r="P29" s="127"/>
      <c r="Q29" s="120">
        <v>2029</v>
      </c>
      <c r="R29" s="53" t="str">
        <f>IF(Q29&gt;current_year,"",INDEX(Homes_calc!$BB$175:$BB$198,Homes!Q29-2006))</f>
        <v/>
      </c>
      <c r="S29" s="127"/>
      <c r="T29" s="120">
        <v>2029</v>
      </c>
      <c r="U29" s="53" t="str">
        <f>IF(T29&gt;current_year,"",INDEX(Homes_calc!$BB$229:$BB$252,Homes!T29-2006))</f>
        <v/>
      </c>
      <c r="V29" s="127"/>
      <c r="W29" s="120">
        <v>2029</v>
      </c>
      <c r="X29" s="141" t="str">
        <f t="shared" si="7"/>
        <v/>
      </c>
      <c r="Y29" s="127"/>
      <c r="Z29" s="120">
        <v>2029</v>
      </c>
      <c r="AA29" s="53" t="str">
        <f>IF(Z29&gt;current_year,"",INDEX(Homes_calc!$BB$283:$BB$306,Homes!Z29-2006))</f>
        <v/>
      </c>
      <c r="AB29" s="127"/>
      <c r="AC29" s="120">
        <v>2029</v>
      </c>
      <c r="AD29" s="121" t="str">
        <f t="shared" si="8"/>
        <v/>
      </c>
      <c r="AE29" s="127"/>
      <c r="AF29" s="120">
        <v>2029</v>
      </c>
      <c r="AG29" s="121" t="str">
        <f t="shared" si="9"/>
        <v/>
      </c>
      <c r="AH29" s="127"/>
      <c r="AI29" s="120">
        <v>2029</v>
      </c>
      <c r="AJ29" s="143" t="str">
        <f t="shared" si="5"/>
        <v/>
      </c>
      <c r="AK29" s="127"/>
      <c r="AL29" s="120">
        <v>2029</v>
      </c>
      <c r="AM29" s="143" t="str">
        <f t="shared" si="6"/>
        <v/>
      </c>
      <c r="AN29" s="127"/>
      <c r="AO29" s="127"/>
      <c r="AP29" s="127"/>
      <c r="AQ29" s="127"/>
      <c r="AR29" s="127"/>
      <c r="AS29" s="127"/>
      <c r="AT29" s="127"/>
      <c r="AU29" s="127"/>
      <c r="AV29" s="127"/>
      <c r="AW29" s="127"/>
      <c r="AX29" s="127"/>
      <c r="AY29" s="127"/>
      <c r="AZ29" s="127"/>
    </row>
    <row r="30" spans="1:52" ht="13.5" thickBot="1">
      <c r="A30" s="127"/>
      <c r="B30" s="120">
        <v>2030</v>
      </c>
      <c r="C30" s="73" t="str">
        <f>_xlfn.LET(
_xlpm.home_savings,Homes_calc!C30,
_xlpm.product_savings,Homes_calc!D30,
IF(B30&gt;current_year,"",_xlpm.home_savings+_xlpm.product_savings)
)</f>
        <v/>
      </c>
      <c r="D30" s="127"/>
      <c r="E30" s="120">
        <v>2030</v>
      </c>
      <c r="F30" s="53" t="str">
        <f>IF(E30&gt;current_year,"",INDEX(Homes_calc!$E$9:$E$30,Homes!E30-2008))</f>
        <v/>
      </c>
      <c r="G30" s="127"/>
      <c r="H30" s="120">
        <v>2030</v>
      </c>
      <c r="I30" s="53" t="str">
        <f>IF(H30&gt;current_year,"",INDEX(Homes_calc!$F$9:$F$30,Homes!H30-2008))</f>
        <v/>
      </c>
      <c r="J30" s="127"/>
      <c r="K30" s="120">
        <v>2030</v>
      </c>
      <c r="L30" s="53" t="str">
        <f t="shared" si="0"/>
        <v/>
      </c>
      <c r="M30" s="127"/>
      <c r="N30" s="120">
        <v>2030</v>
      </c>
      <c r="O30" s="121" t="str">
        <f t="shared" si="1"/>
        <v/>
      </c>
      <c r="P30" s="127"/>
      <c r="Q30" s="120">
        <v>2030</v>
      </c>
      <c r="R30" s="53" t="str">
        <f>IF(Q30&gt;current_year,"",INDEX(Homes_calc!$BB$175:$BB$198,Homes!Q30-2006))</f>
        <v/>
      </c>
      <c r="S30" s="127"/>
      <c r="T30" s="120">
        <v>2030</v>
      </c>
      <c r="U30" s="53" t="str">
        <f>IF(T30&gt;current_year,"",INDEX(Homes_calc!$BB$229:$BB$252,Homes!T30-2006))</f>
        <v/>
      </c>
      <c r="V30" s="127"/>
      <c r="W30" s="120">
        <v>2030</v>
      </c>
      <c r="X30" s="142" t="str">
        <f t="shared" si="7"/>
        <v/>
      </c>
      <c r="Y30" s="127"/>
      <c r="Z30" s="120">
        <v>2030</v>
      </c>
      <c r="AA30" s="53" t="str">
        <f>IF(Z30&gt;current_year,"",INDEX(Homes_calc!$BB$283:$BB$306,Homes!Z30-2006))</f>
        <v/>
      </c>
      <c r="AB30" s="127"/>
      <c r="AC30" s="120">
        <v>2030</v>
      </c>
      <c r="AD30" s="121" t="str">
        <f t="shared" si="8"/>
        <v/>
      </c>
      <c r="AE30" s="127"/>
      <c r="AF30" s="120">
        <v>2030</v>
      </c>
      <c r="AG30" s="121" t="str">
        <f t="shared" si="9"/>
        <v/>
      </c>
      <c r="AH30" s="127"/>
      <c r="AI30" s="120">
        <v>2030</v>
      </c>
      <c r="AJ30" s="143" t="str">
        <f t="shared" si="5"/>
        <v/>
      </c>
      <c r="AK30" s="127"/>
      <c r="AL30" s="120">
        <v>2030</v>
      </c>
      <c r="AM30" s="143" t="str">
        <f t="shared" si="6"/>
        <v/>
      </c>
      <c r="AN30" s="127"/>
      <c r="AO30" s="127"/>
      <c r="AP30" s="127"/>
      <c r="AQ30" s="127"/>
      <c r="AR30" s="127"/>
      <c r="AS30" s="127"/>
      <c r="AT30" s="127"/>
      <c r="AU30" s="127"/>
      <c r="AV30" s="127"/>
      <c r="AW30" s="127"/>
      <c r="AX30" s="127"/>
      <c r="AY30" s="127"/>
      <c r="AZ30" s="127"/>
    </row>
    <row r="31" spans="1:52">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c r="AU31" s="127"/>
      <c r="AV31" s="127"/>
      <c r="AW31" s="127"/>
      <c r="AX31" s="127"/>
      <c r="AY31" s="127"/>
      <c r="AZ31" s="127"/>
    </row>
    <row r="32" spans="1:52">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7"/>
      <c r="AR32" s="127"/>
      <c r="AS32" s="127"/>
      <c r="AT32" s="127"/>
      <c r="AU32" s="127"/>
      <c r="AV32" s="127"/>
      <c r="AW32" s="127"/>
      <c r="AX32" s="127"/>
      <c r="AY32" s="127"/>
      <c r="AZ32" s="127"/>
    </row>
    <row r="33" spans="1:52">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c r="AV33" s="127"/>
      <c r="AW33" s="127"/>
      <c r="AX33" s="127"/>
      <c r="AY33" s="127"/>
      <c r="AZ33" s="127"/>
    </row>
    <row r="34" spans="1:52">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c r="AV34" s="127"/>
      <c r="AW34" s="127"/>
      <c r="AX34" s="127"/>
      <c r="AY34" s="127"/>
      <c r="AZ34" s="127"/>
    </row>
    <row r="35" spans="1:52">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c r="AU35" s="127"/>
      <c r="AV35" s="127"/>
      <c r="AW35" s="127"/>
      <c r="AX35" s="127"/>
      <c r="AY35" s="127"/>
      <c r="AZ35" s="127"/>
    </row>
    <row r="36" spans="1:52">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c r="AU36" s="127"/>
      <c r="AV36" s="127"/>
      <c r="AW36" s="127"/>
      <c r="AX36" s="127"/>
      <c r="AY36" s="127"/>
      <c r="AZ36" s="127"/>
    </row>
    <row r="37" spans="1:52">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c r="AQ37" s="127"/>
      <c r="AR37" s="127"/>
      <c r="AS37" s="127"/>
      <c r="AT37" s="127"/>
      <c r="AU37" s="127"/>
      <c r="AV37" s="127"/>
      <c r="AW37" s="127"/>
      <c r="AX37" s="127"/>
      <c r="AY37" s="127"/>
      <c r="AZ37" s="127"/>
    </row>
    <row r="38" spans="1:52">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row>
    <row r="39" spans="1:52">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7"/>
      <c r="AR39" s="127"/>
      <c r="AS39" s="127"/>
      <c r="AT39" s="127"/>
      <c r="AU39" s="127"/>
      <c r="AV39" s="127"/>
      <c r="AW39" s="127"/>
      <c r="AX39" s="127"/>
      <c r="AY39" s="127"/>
      <c r="AZ39" s="127"/>
    </row>
    <row r="40" spans="1:52">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c r="AV40" s="127"/>
      <c r="AW40" s="127"/>
      <c r="AX40" s="127"/>
      <c r="AY40" s="127"/>
      <c r="AZ40" s="127"/>
    </row>
    <row r="41" spans="1:52">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c r="AQ41" s="127"/>
      <c r="AR41" s="127"/>
      <c r="AS41" s="127"/>
      <c r="AT41" s="127"/>
      <c r="AU41" s="127"/>
      <c r="AV41" s="127"/>
      <c r="AW41" s="127"/>
      <c r="AX41" s="127"/>
      <c r="AY41" s="127"/>
      <c r="AZ41" s="127"/>
    </row>
    <row r="42" spans="1:52">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row>
    <row r="43" spans="1:52">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c r="AV43" s="127"/>
      <c r="AW43" s="127"/>
      <c r="AX43" s="127"/>
      <c r="AY43" s="127"/>
      <c r="AZ43" s="127"/>
    </row>
    <row r="44" spans="1:52">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127"/>
      <c r="AR44" s="127"/>
      <c r="AS44" s="127"/>
      <c r="AT44" s="127"/>
      <c r="AU44" s="127"/>
      <c r="AV44" s="127"/>
      <c r="AW44" s="127"/>
      <c r="AX44" s="127"/>
      <c r="AY44" s="127"/>
      <c r="AZ44" s="127"/>
    </row>
    <row r="45" spans="1:52">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27"/>
      <c r="AY45" s="127"/>
      <c r="AZ45" s="127"/>
    </row>
    <row r="46" spans="1:52">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c r="AU46" s="127"/>
      <c r="AV46" s="127"/>
      <c r="AW46" s="127"/>
      <c r="AX46" s="127"/>
      <c r="AY46" s="127"/>
      <c r="AZ46" s="127"/>
    </row>
    <row r="47" spans="1:52">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c r="AU47" s="127"/>
      <c r="AV47" s="127"/>
      <c r="AW47" s="127"/>
      <c r="AX47" s="127"/>
      <c r="AY47" s="127"/>
      <c r="AZ47" s="127"/>
    </row>
    <row r="48" spans="1:52">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27"/>
      <c r="AU48" s="127"/>
      <c r="AV48" s="127"/>
      <c r="AW48" s="127"/>
      <c r="AX48" s="127"/>
      <c r="AY48" s="127"/>
      <c r="AZ48" s="127"/>
    </row>
    <row r="49" spans="1:52">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c r="AU49" s="127"/>
      <c r="AV49" s="127"/>
      <c r="AW49" s="127"/>
      <c r="AX49" s="127"/>
      <c r="AY49" s="127"/>
      <c r="AZ49" s="127"/>
    </row>
    <row r="50" spans="1:52">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row>
    <row r="51" spans="1:52">
      <c r="D51" s="118"/>
      <c r="Q51" s="118"/>
    </row>
    <row r="52" spans="1:52">
      <c r="D52" s="118"/>
      <c r="Q52" s="118"/>
    </row>
    <row r="54" spans="1:52" ht="13.5" customHeight="1"/>
    <row r="67" spans="18:18">
      <c r="R67" s="118"/>
    </row>
  </sheetData>
  <pageMargins left="0.75" right="0.75" top="1" bottom="1" header="0.5" footer="0.5"/>
  <pageSetup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02383-513A-4CDC-B4B6-A7C9DA3F7E94}">
  <sheetPr codeName="Sheet20">
    <tabColor theme="7" tint="0.39997558519241921"/>
  </sheetPr>
  <dimension ref="A1:BC306"/>
  <sheetViews>
    <sheetView topLeftCell="AM207" workbookViewId="0">
      <selection activeCell="B39" sqref="B39"/>
    </sheetView>
  </sheetViews>
  <sheetFormatPr defaultRowHeight="12.75"/>
  <cols>
    <col min="1" max="1" width="9.85546875" customWidth="1"/>
    <col min="2" max="2" width="7.42578125" customWidth="1"/>
    <col min="3" max="3" width="16.140625" customWidth="1"/>
    <col min="4" max="4" width="17.85546875" customWidth="1"/>
    <col min="5" max="8" width="17.5703125" customWidth="1"/>
    <col min="9" max="9" width="17.42578125" customWidth="1"/>
    <col min="13" max="13" width="13.140625" customWidth="1"/>
    <col min="16" max="16" width="8.7109375" customWidth="1"/>
    <col min="17" max="17" width="10.140625" bestFit="1" customWidth="1"/>
    <col min="18" max="18" width="11.140625" bestFit="1" customWidth="1"/>
    <col min="54" max="54" width="14" bestFit="1" customWidth="1"/>
  </cols>
  <sheetData>
    <row r="1" spans="2:18" hidden="1"/>
    <row r="2" spans="2:18" hidden="1"/>
    <row r="3" spans="2:18" hidden="1"/>
    <row r="4" spans="2:18" hidden="1"/>
    <row r="5" spans="2:18" ht="27" customHeight="1">
      <c r="I5" s="455" t="s">
        <v>215</v>
      </c>
      <c r="J5" s="407"/>
      <c r="K5" s="407"/>
      <c r="N5" s="455" t="s">
        <v>216</v>
      </c>
      <c r="O5" s="407"/>
      <c r="P5" s="407"/>
    </row>
    <row r="6" spans="2:18" ht="63.75">
      <c r="B6" s="226" t="s">
        <v>11</v>
      </c>
      <c r="C6" s="227" t="s">
        <v>217</v>
      </c>
      <c r="D6" s="227" t="s">
        <v>218</v>
      </c>
      <c r="E6" s="227" t="s">
        <v>219</v>
      </c>
      <c r="F6" s="227" t="s">
        <v>220</v>
      </c>
      <c r="G6" s="227" t="s">
        <v>221</v>
      </c>
      <c r="I6" s="236" t="s">
        <v>89</v>
      </c>
      <c r="J6" s="236" t="s">
        <v>90</v>
      </c>
      <c r="K6" s="236" t="s">
        <v>15</v>
      </c>
      <c r="M6" s="248" t="s">
        <v>222</v>
      </c>
      <c r="N6" s="236" t="s">
        <v>89</v>
      </c>
      <c r="O6" s="236" t="s">
        <v>90</v>
      </c>
      <c r="P6" s="236" t="s">
        <v>15</v>
      </c>
      <c r="R6" s="248" t="s">
        <v>223</v>
      </c>
    </row>
    <row r="7" spans="2:18">
      <c r="B7" s="228">
        <v>2007</v>
      </c>
      <c r="C7" s="35"/>
      <c r="D7" s="145">
        <f t="shared" ref="D7:D30" si="0">IF(partner_type="Builder",SUM(INDEX(Toilets_h2o,B7-2006),INDEX(Faucets_h2o,B7-2006),INDEX(Showerheads_h2o,B7-2006)),0)</f>
        <v>0</v>
      </c>
      <c r="E7" s="35"/>
      <c r="F7" s="35"/>
      <c r="G7" s="164"/>
      <c r="I7" s="35"/>
      <c r="J7" s="145"/>
      <c r="K7" s="35"/>
    </row>
    <row r="8" spans="2:18">
      <c r="B8" s="226">
        <v>2008</v>
      </c>
      <c r="C8" s="35"/>
      <c r="D8" s="145">
        <f>IF(partner_type="Builder",SUM(INDEX(Toilets_h2o,B8-2006),INDEX(Faucets_h2o,B8-2006),INDEX(Showerheads_h2o,B8-2006)),0)</f>
        <v>0</v>
      </c>
      <c r="E8" s="35"/>
      <c r="F8" s="35"/>
      <c r="G8" s="164"/>
      <c r="I8" s="35"/>
      <c r="J8" s="145"/>
      <c r="K8" s="35"/>
    </row>
    <row r="9" spans="2:18">
      <c r="B9" s="228">
        <v>2009</v>
      </c>
      <c r="C9" s="35">
        <f>SUMPRODUCT(C42:BA42,$C$36:$BA$36)</f>
        <v>0</v>
      </c>
      <c r="D9" s="145">
        <f t="shared" si="0"/>
        <v>0</v>
      </c>
      <c r="E9" s="35">
        <f>((SUM(C42:BA42))*Indoor_savings_year_WaterSense_labeled_home)</f>
        <v>0</v>
      </c>
      <c r="F9" s="35">
        <f>C9-E9</f>
        <v>0</v>
      </c>
      <c r="G9" s="164" t="e" cm="1">
        <f t="array" ref="G9">((SUM(C42:BA42))*gallons_hot_home_saved)+(SUM((INDEX(Faucets_h2o,B9-2006)*perc_hot_water_faucet_2009),(INDEX(Showerheads_h2o,B9-2006)*perc_hot_water_shower_2009)))</f>
        <v>#VALUE!</v>
      </c>
      <c r="I9" cm="1">
        <f t="array" ref="I9">INDEX(home_w_products,$B9-2008)*INDEX(new_home_toilet,$B9-2006)</f>
        <v>0</v>
      </c>
      <c r="J9" cm="1">
        <f t="array" ref="J9">INDEX(home_w_products,$B9-2008)*INDEX(new_home_faucet,$B9-2006)</f>
        <v>0</v>
      </c>
      <c r="K9" cm="1">
        <f t="array" ref="K9">INDEX(home_w_products,$B9-2008)*INDEX(new_home_showerhead,$B9-2006)</f>
        <v>0</v>
      </c>
      <c r="M9">
        <f>IF(partner_type="Builder",SUM(Builder!E9:BC9),'Utility or District'!L9)</f>
        <v>0</v>
      </c>
      <c r="N9" cm="1">
        <f t="array" ref="N9">INDEX(total_wslh,$B9-2008)*INDEX(new_home_toilet,$B9-2006)</f>
        <v>0</v>
      </c>
      <c r="O9" cm="1">
        <f t="array" ref="O9">INDEX(total_wslh,$B9-2008)*INDEX(new_home_faucet,$B9-2006)</f>
        <v>0</v>
      </c>
      <c r="P9" cm="1">
        <f t="array" ref="P9">INDEX(total_wslh,$B9-2008)*INDEX(new_home_showerhead,$B9-2006)</f>
        <v>0</v>
      </c>
      <c r="R9">
        <f>SUM(I9:K9,N9:P9)</f>
        <v>0</v>
      </c>
    </row>
    <row r="10" spans="2:18">
      <c r="B10" s="226">
        <v>2010</v>
      </c>
      <c r="C10" s="35">
        <f t="shared" ref="C10:C30" si="1">SUMPRODUCT(C43:BA43,$C$36:$BA$36)</f>
        <v>0</v>
      </c>
      <c r="D10" s="145">
        <f t="shared" si="0"/>
        <v>0</v>
      </c>
      <c r="E10" s="35">
        <f>((SUM(C43:BA43))*Indoor_savings_year_WaterSense_labeled_home)</f>
        <v>0</v>
      </c>
      <c r="F10" s="35">
        <f t="shared" ref="F10:F30" si="2">C10-E10</f>
        <v>0</v>
      </c>
      <c r="G10" s="164" t="e" cm="1">
        <f t="array" ref="G10">((SUM(C43:BA43))*gallons_hot_home_saved)+(SUM((INDEX(Faucets_h2o,B10-2006)*perc_hot_water_faucet_2010),(INDEX(Showerheads_h2o,B10-2006)*perc_hot_water_shower_2010)))</f>
        <v>#VALUE!</v>
      </c>
      <c r="I10" cm="1">
        <f t="array" ref="I10">INDEX(home_w_products,$B10-2008)*INDEX(new_home_toilet,$B10-2006)</f>
        <v>0</v>
      </c>
      <c r="J10" cm="1">
        <f t="array" ref="J10">INDEX(home_w_products,$B10-2008)*INDEX(new_home_faucet,$B10-2006)</f>
        <v>0</v>
      </c>
      <c r="K10" cm="1">
        <f t="array" ref="K10">INDEX(home_w_products,$B10-2008)*INDEX(new_home_showerhead,$B10-2006)</f>
        <v>0</v>
      </c>
      <c r="M10">
        <f>IF(partner_type="Builder",SUM(Builder!E10:BC10),'Utility or District'!L10)</f>
        <v>0</v>
      </c>
      <c r="N10" cm="1">
        <f t="array" ref="N10">INDEX(total_wslh,$B10-2008)*INDEX(new_home_toilet,$B10-2006)</f>
        <v>0</v>
      </c>
      <c r="O10" cm="1">
        <f t="array" ref="O10">INDEX(total_wslh,$B10-2008)*INDEX(new_home_faucet,$B10-2006)</f>
        <v>0</v>
      </c>
      <c r="P10" cm="1">
        <f t="array" ref="P10">INDEX(total_wslh,$B10-2008)*INDEX(new_home_showerhead,$B10-2006)</f>
        <v>0</v>
      </c>
      <c r="R10">
        <f t="shared" ref="R10:R30" si="3">SUM(I10:K10,N10:P10)</f>
        <v>0</v>
      </c>
    </row>
    <row r="11" spans="2:18">
      <c r="B11" s="228">
        <v>2011</v>
      </c>
      <c r="C11" s="35">
        <f t="shared" si="1"/>
        <v>0</v>
      </c>
      <c r="D11" s="145">
        <f t="shared" si="0"/>
        <v>0</v>
      </c>
      <c r="E11" s="35">
        <f t="shared" ref="E11:E30" si="4">((SUM(C44:BA44))*Indoor_savings_year_WaterSense_labeled_home)</f>
        <v>0</v>
      </c>
      <c r="F11" s="35">
        <f>C11-E11</f>
        <v>0</v>
      </c>
      <c r="G11" s="164" t="e" cm="1">
        <f t="array" ref="G11">((SUM(C44:BA44))*gallons_hot_home_saved)+(SUM((INDEX(Faucets_h2o,B11-2006)*perc_hot_water_faucet_2011),(INDEX(Showerheads_h2o,B11-2006)*perc_hot_water_shower_2011)))</f>
        <v>#VALUE!</v>
      </c>
      <c r="I11" cm="1">
        <f t="array" ref="I11">INDEX(home_w_products,$B11-2008)*INDEX(new_home_toilet,$B11-2006)</f>
        <v>0</v>
      </c>
      <c r="J11" cm="1">
        <f t="array" ref="J11">INDEX(home_w_products,$B11-2008)*INDEX(new_home_faucet,$B11-2006)</f>
        <v>0</v>
      </c>
      <c r="K11" cm="1">
        <f t="array" ref="K11">INDEX(home_w_products,$B11-2008)*INDEX(new_home_showerhead,$B11-2006)</f>
        <v>0</v>
      </c>
      <c r="M11">
        <f>IF(partner_type="Builder",SUM(Builder!E11:BC11),'Utility or District'!L11)</f>
        <v>0</v>
      </c>
      <c r="N11" cm="1">
        <f t="array" ref="N11">INDEX(total_wslh,$B11-2008)*INDEX(new_home_toilet,$B11-2006)</f>
        <v>0</v>
      </c>
      <c r="O11" cm="1">
        <f t="array" ref="O11">INDEX(total_wslh,$B11-2008)*INDEX(new_home_faucet,$B11-2006)</f>
        <v>0</v>
      </c>
      <c r="P11" cm="1">
        <f t="array" ref="P11">INDEX(total_wslh,$B11-2008)*INDEX(new_home_showerhead,$B11-2006)</f>
        <v>0</v>
      </c>
      <c r="R11">
        <f t="shared" si="3"/>
        <v>0</v>
      </c>
    </row>
    <row r="12" spans="2:18">
      <c r="B12" s="226">
        <v>2012</v>
      </c>
      <c r="C12" s="35">
        <f t="shared" si="1"/>
        <v>0</v>
      </c>
      <c r="D12" s="145">
        <f t="shared" si="0"/>
        <v>0</v>
      </c>
      <c r="E12" s="35">
        <f t="shared" si="4"/>
        <v>0</v>
      </c>
      <c r="F12" s="35">
        <f t="shared" si="2"/>
        <v>0</v>
      </c>
      <c r="G12" s="164" t="e" cm="1">
        <f t="array" ref="G12">((SUM(C45:BA45))*gallons_hot_home_saved)+(SUM((INDEX(Faucets_h2o,B12-2006)*perc_hot_water_faucet_2012),(INDEX(Showerheads_h2o,B12-2006)*perc_hot_water_shower_2012)))</f>
        <v>#VALUE!</v>
      </c>
      <c r="I12" cm="1">
        <f t="array" ref="I12">INDEX(home_w_products,$B12-2008)*INDEX(new_home_toilet,$B12-2006)</f>
        <v>0</v>
      </c>
      <c r="J12" cm="1">
        <f t="array" ref="J12">INDEX(home_w_products,$B12-2008)*INDEX(new_home_faucet,$B12-2006)</f>
        <v>0</v>
      </c>
      <c r="K12" cm="1">
        <f t="array" ref="K12">INDEX(home_w_products,$B12-2008)*INDEX(new_home_showerhead,$B12-2006)</f>
        <v>0</v>
      </c>
      <c r="M12">
        <f>IF(partner_type="Builder",SUM(Builder!E12:BC12),'Utility or District'!L12)</f>
        <v>0</v>
      </c>
      <c r="N12" cm="1">
        <f t="array" ref="N12">INDEX(total_wslh,$B12-2008)*INDEX(new_home_toilet,$B12-2006)</f>
        <v>0</v>
      </c>
      <c r="O12" cm="1">
        <f t="array" ref="O12">INDEX(total_wslh,$B12-2008)*INDEX(new_home_faucet,$B12-2006)</f>
        <v>0</v>
      </c>
      <c r="P12" cm="1">
        <f t="array" ref="P12">INDEX(total_wslh,$B12-2008)*INDEX(new_home_showerhead,$B12-2006)</f>
        <v>0</v>
      </c>
      <c r="R12">
        <f t="shared" si="3"/>
        <v>0</v>
      </c>
    </row>
    <row r="13" spans="2:18">
      <c r="B13" s="228">
        <v>2013</v>
      </c>
      <c r="C13" s="35">
        <f t="shared" si="1"/>
        <v>0</v>
      </c>
      <c r="D13" s="145">
        <f t="shared" si="0"/>
        <v>0</v>
      </c>
      <c r="E13" s="35">
        <f>((SUM(C46:BA46))*Indoor_savings_year_WaterSense_labeled_home)</f>
        <v>0</v>
      </c>
      <c r="F13" s="35">
        <f t="shared" si="2"/>
        <v>0</v>
      </c>
      <c r="G13" s="164" t="e" cm="1">
        <f t="array" ref="G13">((SUM(C46:BA46))*gallons_hot_home_saved)+(SUM((INDEX(Faucets_h2o,B13-2006)*perc_hot_water_faucet_2013),(INDEX(Showerheads_h2o,B13-2006)*perc_hot_water_shower_2013)))</f>
        <v>#VALUE!</v>
      </c>
      <c r="I13" cm="1">
        <f t="array" ref="I13">INDEX(home_w_products,$B13-2008)*INDEX(new_home_toilet,$B13-2006)</f>
        <v>0</v>
      </c>
      <c r="J13" cm="1">
        <f t="array" ref="J13">INDEX(home_w_products,$B13-2008)*INDEX(new_home_faucet,$B13-2006)</f>
        <v>0</v>
      </c>
      <c r="K13" cm="1">
        <f t="array" ref="K13">INDEX(home_w_products,$B13-2008)*INDEX(new_home_showerhead,$B13-2006)</f>
        <v>0</v>
      </c>
      <c r="M13">
        <f>IF(partner_type="Builder",SUM(Builder!E13:BC13),'Utility or District'!L13)</f>
        <v>0</v>
      </c>
      <c r="N13" cm="1">
        <f t="array" ref="N13">INDEX(total_wslh,$B13-2008)*INDEX(new_home_toilet,$B13-2006)</f>
        <v>0</v>
      </c>
      <c r="O13" cm="1">
        <f t="array" ref="O13">INDEX(total_wslh,$B13-2008)*INDEX(new_home_faucet,$B13-2006)</f>
        <v>0</v>
      </c>
      <c r="P13" cm="1">
        <f t="array" ref="P13">INDEX(total_wslh,$B13-2008)*INDEX(new_home_showerhead,$B13-2006)</f>
        <v>0</v>
      </c>
      <c r="R13">
        <f t="shared" si="3"/>
        <v>0</v>
      </c>
    </row>
    <row r="14" spans="2:18">
      <c r="B14" s="226">
        <v>2014</v>
      </c>
      <c r="C14" s="35">
        <f t="shared" si="1"/>
        <v>0</v>
      </c>
      <c r="D14" s="145">
        <f t="shared" si="0"/>
        <v>0</v>
      </c>
      <c r="E14" s="35">
        <f t="shared" si="4"/>
        <v>0</v>
      </c>
      <c r="F14" s="35">
        <f t="shared" si="2"/>
        <v>0</v>
      </c>
      <c r="G14" s="164" t="e" cm="1">
        <f t="array" ref="G14">((SUM(C47:BA47))*gallons_hot_home_saved)+(SUM((INDEX(Faucets_h2o,B14-2006)*perc_hot_water_faucet_2014),(INDEX(Showerheads_h2o,B14-2006)*perc_hot_water_shower_2014)))</f>
        <v>#VALUE!</v>
      </c>
      <c r="I14" cm="1">
        <f t="array" ref="I14">INDEX(home_w_products,$B14-2008)*INDEX(new_home_toilet,$B14-2006)</f>
        <v>0</v>
      </c>
      <c r="J14" cm="1">
        <f t="array" ref="J14">INDEX(home_w_products,$B14-2008)*INDEX(new_home_faucet,$B14-2006)</f>
        <v>0</v>
      </c>
      <c r="K14" cm="1">
        <f t="array" ref="K14">INDEX(home_w_products,$B14-2008)*INDEX(new_home_showerhead,$B14-2006)</f>
        <v>0</v>
      </c>
      <c r="M14">
        <f>IF(partner_type="Builder",SUM(Builder!E14:BC14),'Utility or District'!L14)</f>
        <v>0</v>
      </c>
      <c r="N14" cm="1">
        <f t="array" ref="N14">INDEX(total_wslh,$B14-2008)*INDEX(new_home_toilet,$B14-2006)</f>
        <v>0</v>
      </c>
      <c r="O14" cm="1">
        <f t="array" ref="O14">INDEX(total_wslh,$B14-2008)*INDEX(new_home_faucet,$B14-2006)</f>
        <v>0</v>
      </c>
      <c r="P14" cm="1">
        <f t="array" ref="P14">INDEX(total_wslh,$B14-2008)*INDEX(new_home_showerhead,$B14-2006)</f>
        <v>0</v>
      </c>
      <c r="R14">
        <f t="shared" si="3"/>
        <v>0</v>
      </c>
    </row>
    <row r="15" spans="2:18">
      <c r="B15" s="228">
        <v>2015</v>
      </c>
      <c r="C15" s="35">
        <f t="shared" si="1"/>
        <v>0</v>
      </c>
      <c r="D15" s="145">
        <f t="shared" si="0"/>
        <v>0</v>
      </c>
      <c r="E15" s="35">
        <f t="shared" si="4"/>
        <v>0</v>
      </c>
      <c r="F15" s="35">
        <f t="shared" si="2"/>
        <v>0</v>
      </c>
      <c r="G15" s="164" t="e" cm="1">
        <f t="array" ref="G15">((SUM(C48:BA48))*gallons_hot_home_saved)+(SUM((INDEX(Faucets_h2o,B15-2006)*perc_hot_water_faucet_2015),(INDEX(Showerheads_h2o,B15-2006)*perc_hot_water_shower_2015)))</f>
        <v>#VALUE!</v>
      </c>
      <c r="I15" cm="1">
        <f t="array" ref="I15">INDEX(home_w_products,$B15-2008)*INDEX(new_home_toilet,$B15-2006)</f>
        <v>0</v>
      </c>
      <c r="J15" cm="1">
        <f t="array" ref="J15">INDEX(home_w_products,$B15-2008)*INDEX(new_home_faucet,$B15-2006)</f>
        <v>0</v>
      </c>
      <c r="K15" cm="1">
        <f t="array" ref="K15">INDEX(home_w_products,$B15-2008)*INDEX(new_home_showerhead,$B15-2006)</f>
        <v>0</v>
      </c>
      <c r="M15">
        <f>IF(partner_type="Builder",SUM(Builder!E15:BC15),'Utility or District'!L15)</f>
        <v>0</v>
      </c>
      <c r="N15" cm="1">
        <f t="array" ref="N15">INDEX(total_wslh,$B15-2008)*INDEX(new_home_toilet,$B15-2006)</f>
        <v>0</v>
      </c>
      <c r="O15" cm="1">
        <f t="array" ref="O15">INDEX(total_wslh,$B15-2008)*INDEX(new_home_faucet,$B15-2006)</f>
        <v>0</v>
      </c>
      <c r="P15" cm="1">
        <f t="array" ref="P15">INDEX(total_wslh,$B15-2008)*INDEX(new_home_showerhead,$B15-2006)</f>
        <v>0</v>
      </c>
      <c r="R15">
        <f t="shared" si="3"/>
        <v>0</v>
      </c>
    </row>
    <row r="16" spans="2:18">
      <c r="B16" s="226">
        <v>2016</v>
      </c>
      <c r="C16" s="35">
        <f t="shared" si="1"/>
        <v>0</v>
      </c>
      <c r="D16" s="145">
        <f t="shared" si="0"/>
        <v>0</v>
      </c>
      <c r="E16" s="35">
        <f t="shared" si="4"/>
        <v>0</v>
      </c>
      <c r="F16" s="35">
        <f t="shared" si="2"/>
        <v>0</v>
      </c>
      <c r="G16" s="164" t="e" cm="1">
        <f t="array" ref="G16">((SUM(C49:BA49))*gallons_hot_home_saved)+(SUM((INDEX(Faucets_h2o,B16-2006)*perc_hot_water_faucet_2016),(INDEX(Showerheads_h2o,B16-2006)*perc_hot_water_shower_2016)))</f>
        <v>#VALUE!</v>
      </c>
      <c r="I16" cm="1">
        <f t="array" ref="I16">INDEX(home_w_products,$B16-2008)*INDEX(new_home_toilet,$B16-2006)</f>
        <v>0</v>
      </c>
      <c r="J16" cm="1">
        <f t="array" ref="J16">INDEX(home_w_products,$B16-2008)*INDEX(new_home_faucet,$B16-2006)</f>
        <v>0</v>
      </c>
      <c r="K16" cm="1">
        <f t="array" ref="K16">INDEX(home_w_products,$B16-2008)*INDEX(new_home_showerhead,$B16-2006)</f>
        <v>0</v>
      </c>
      <c r="M16">
        <f>IF(partner_type="Builder",SUM(Builder!E16:BC16),'Utility or District'!L16)</f>
        <v>0</v>
      </c>
      <c r="N16" cm="1">
        <f t="array" ref="N16">INDEX(total_wslh,$B16-2008)*INDEX(new_home_toilet,$B16-2006)</f>
        <v>0</v>
      </c>
      <c r="O16" cm="1">
        <f t="array" ref="O16">INDEX(total_wslh,$B16-2008)*INDEX(new_home_faucet,$B16-2006)</f>
        <v>0</v>
      </c>
      <c r="P16" cm="1">
        <f t="array" ref="P16">INDEX(total_wslh,$B16-2008)*INDEX(new_home_showerhead,$B16-2006)</f>
        <v>0</v>
      </c>
      <c r="R16">
        <f t="shared" si="3"/>
        <v>0</v>
      </c>
    </row>
    <row r="17" spans="2:18">
      <c r="B17" s="228">
        <v>2017</v>
      </c>
      <c r="C17" s="35">
        <f t="shared" si="1"/>
        <v>0</v>
      </c>
      <c r="D17" s="145">
        <f t="shared" si="0"/>
        <v>0</v>
      </c>
      <c r="E17" s="35">
        <f t="shared" si="4"/>
        <v>0</v>
      </c>
      <c r="F17" s="35">
        <f t="shared" si="2"/>
        <v>0</v>
      </c>
      <c r="G17" s="164" t="e" cm="1">
        <f t="array" ref="G17">((SUM(C50:BA50))*gallons_hot_home_saved)+(SUM((INDEX(Faucets_h2o,B17-2006)*perc_hot_water_faucet_2017),(INDEX(Showerheads_h2o,B17-2006)*perc_hot_water_shower_2017)))</f>
        <v>#VALUE!</v>
      </c>
      <c r="I17" cm="1">
        <f t="array" ref="I17">INDEX(home_w_products,$B17-2008)*INDEX(new_home_toilet,$B17-2006)</f>
        <v>0</v>
      </c>
      <c r="J17" cm="1">
        <f t="array" ref="J17">INDEX(home_w_products,$B17-2008)*INDEX(new_home_faucet,$B17-2006)</f>
        <v>0</v>
      </c>
      <c r="K17" cm="1">
        <f t="array" ref="K17">INDEX(home_w_products,$B17-2008)*INDEX(new_home_showerhead,$B17-2006)</f>
        <v>0</v>
      </c>
      <c r="M17">
        <f>IF(partner_type="Builder",SUM(Builder!E17:BC17),'Utility or District'!L17)</f>
        <v>0</v>
      </c>
      <c r="N17" cm="1">
        <f t="array" ref="N17">INDEX(total_wslh,$B17-2008)*INDEX(new_home_toilet,$B17-2006)</f>
        <v>0</v>
      </c>
      <c r="O17" cm="1">
        <f t="array" ref="O17">INDEX(total_wslh,$B17-2008)*INDEX(new_home_faucet,$B17-2006)</f>
        <v>0</v>
      </c>
      <c r="P17" cm="1">
        <f t="array" ref="P17">INDEX(total_wslh,$B17-2008)*INDEX(new_home_showerhead,$B17-2006)</f>
        <v>0</v>
      </c>
      <c r="R17">
        <f>SUM(I17:K17,N17:P17)</f>
        <v>0</v>
      </c>
    </row>
    <row r="18" spans="2:18">
      <c r="B18" s="226">
        <v>2018</v>
      </c>
      <c r="C18" s="35">
        <f>SUMPRODUCT(C51:BA51,$C$36:$BA$36)</f>
        <v>0</v>
      </c>
      <c r="D18" s="145">
        <f t="shared" si="0"/>
        <v>0</v>
      </c>
      <c r="E18" s="35">
        <f t="shared" si="4"/>
        <v>0</v>
      </c>
      <c r="F18" s="35">
        <f t="shared" si="2"/>
        <v>0</v>
      </c>
      <c r="G18" s="164" t="e" cm="1">
        <f t="array" ref="G18">((SUM(C51:BA51))*gallons_hot_home_saved)+(SUM((INDEX(Faucets_h2o,B18-2006)*perc_hot_water_faucet_2018),(INDEX(Showerheads_h2o,B18-2006)*perc_hot_water_shower_2018)))</f>
        <v>#VALUE!</v>
      </c>
      <c r="I18" cm="1">
        <f t="array" ref="I18">INDEX(home_w_products,$B18-2008)*INDEX(new_home_toilet,$B18-2006)</f>
        <v>0</v>
      </c>
      <c r="J18" cm="1">
        <f t="array" ref="J18">INDEX(home_w_products,$B18-2008)*INDEX(new_home_faucet,$B18-2006)</f>
        <v>0</v>
      </c>
      <c r="K18" cm="1">
        <f t="array" ref="K18">INDEX(home_w_products,$B18-2008)*INDEX(new_home_showerhead,$B18-2006)</f>
        <v>0</v>
      </c>
      <c r="M18">
        <f>IF(partner_type="Builder",SUM(Builder!E18:BC18),'Utility or District'!L18)</f>
        <v>0</v>
      </c>
      <c r="N18" cm="1">
        <f t="array" ref="N18">INDEX(total_wslh,$B18-2008)*INDEX(new_home_toilet,$B18-2006)</f>
        <v>0</v>
      </c>
      <c r="O18" cm="1">
        <f t="array" ref="O18">INDEX(total_wslh,$B18-2008)*INDEX(new_home_faucet,$B18-2006)</f>
        <v>0</v>
      </c>
      <c r="P18" cm="1">
        <f t="array" ref="P18">INDEX(total_wslh,$B18-2008)*INDEX(new_home_showerhead,$B18-2006)</f>
        <v>0</v>
      </c>
      <c r="R18">
        <f t="shared" si="3"/>
        <v>0</v>
      </c>
    </row>
    <row r="19" spans="2:18">
      <c r="B19" s="228">
        <v>2019</v>
      </c>
      <c r="C19" s="35">
        <f t="shared" si="1"/>
        <v>0</v>
      </c>
      <c r="D19" s="145">
        <f t="shared" si="0"/>
        <v>0</v>
      </c>
      <c r="E19" s="35">
        <f t="shared" si="4"/>
        <v>0</v>
      </c>
      <c r="F19" s="35">
        <f t="shared" si="2"/>
        <v>0</v>
      </c>
      <c r="G19" s="164" t="e" cm="1">
        <f t="array" ref="G19">((SUM(C52:BA52))*gallons_hot_home_saved)+(SUM((INDEX(Faucets_h2o,B19-2006)*perc_hot_water_faucet_2019),(INDEX(Showerheads_h2o,B19-2006)*perc_hot_water_shower_2019)))</f>
        <v>#VALUE!</v>
      </c>
      <c r="I19" cm="1">
        <f t="array" ref="I19">INDEX(home_w_products,$B19-2008)*INDEX(new_home_toilet,$B19-2006)</f>
        <v>0</v>
      </c>
      <c r="J19" cm="1">
        <f t="array" ref="J19">INDEX(home_w_products,$B19-2008)*INDEX(new_home_faucet,$B19-2006)</f>
        <v>0</v>
      </c>
      <c r="K19" cm="1">
        <f t="array" ref="K19">INDEX(home_w_products,$B19-2008)*INDEX(new_home_showerhead,$B19-2006)</f>
        <v>0</v>
      </c>
      <c r="M19">
        <f>IF(partner_type="Builder",SUM(Builder!E19:BC19),'Utility or District'!L19)</f>
        <v>0</v>
      </c>
      <c r="N19" cm="1">
        <f t="array" ref="N19">INDEX(total_wslh,$B19-2008)*INDEX(new_home_toilet,$B19-2006)</f>
        <v>0</v>
      </c>
      <c r="O19" cm="1">
        <f t="array" ref="O19">INDEX(total_wslh,$B19-2008)*INDEX(new_home_faucet,$B19-2006)</f>
        <v>0</v>
      </c>
      <c r="P19" cm="1">
        <f t="array" ref="P19">INDEX(total_wslh,$B19-2008)*INDEX(new_home_showerhead,$B19-2006)</f>
        <v>0</v>
      </c>
      <c r="R19">
        <f t="shared" si="3"/>
        <v>0</v>
      </c>
    </row>
    <row r="20" spans="2:18">
      <c r="B20" s="226">
        <v>2020</v>
      </c>
      <c r="C20" s="35">
        <f t="shared" si="1"/>
        <v>0</v>
      </c>
      <c r="D20" s="145">
        <f t="shared" si="0"/>
        <v>0</v>
      </c>
      <c r="E20" s="35">
        <f t="shared" si="4"/>
        <v>0</v>
      </c>
      <c r="F20" s="35">
        <f t="shared" si="2"/>
        <v>0</v>
      </c>
      <c r="G20" s="164" t="e" cm="1">
        <f t="array" ref="G20">((SUM(C53:BA53))*gallons_hot_home_saved)+(SUM((INDEX(Faucets_h2o,B20-2006)*perc_hot_water_faucet_2020),(INDEX(Showerheads_h2o,B20-2006)*perc_hot_water_shower_2020)))</f>
        <v>#VALUE!</v>
      </c>
      <c r="I20" cm="1">
        <f t="array" ref="I20">INDEX(home_w_products,$B20-2008)*INDEX(new_home_toilet,$B20-2006)</f>
        <v>0</v>
      </c>
      <c r="J20" cm="1">
        <f t="array" ref="J20">INDEX(home_w_products,$B20-2008)*INDEX(new_home_faucet,$B20-2006)</f>
        <v>0</v>
      </c>
      <c r="K20" cm="1">
        <f t="array" ref="K20">INDEX(home_w_products,$B20-2008)*INDEX(new_home_showerhead,$B20-2006)</f>
        <v>0</v>
      </c>
      <c r="M20">
        <f>IF(partner_type="Builder",SUM(Builder!E20:BC20),'Utility or District'!L20)</f>
        <v>0</v>
      </c>
      <c r="N20" cm="1">
        <f t="array" ref="N20">INDEX(total_wslh,$B20-2008)*INDEX(new_home_toilet,$B20-2006)</f>
        <v>0</v>
      </c>
      <c r="O20" cm="1">
        <f t="array" ref="O20">INDEX(total_wslh,$B20-2008)*INDEX(new_home_faucet,$B20-2006)</f>
        <v>0</v>
      </c>
      <c r="P20" cm="1">
        <f t="array" ref="P20">INDEX(total_wslh,$B20-2008)*INDEX(new_home_showerhead,$B20-2006)</f>
        <v>0</v>
      </c>
      <c r="R20">
        <f t="shared" si="3"/>
        <v>0</v>
      </c>
    </row>
    <row r="21" spans="2:18">
      <c r="B21" s="228">
        <v>2021</v>
      </c>
      <c r="C21" s="35">
        <f t="shared" si="1"/>
        <v>0</v>
      </c>
      <c r="D21" s="145">
        <f t="shared" si="0"/>
        <v>0</v>
      </c>
      <c r="E21" s="35">
        <f t="shared" si="4"/>
        <v>0</v>
      </c>
      <c r="F21" s="35">
        <f t="shared" si="2"/>
        <v>0</v>
      </c>
      <c r="G21" s="164" t="e" cm="1">
        <f t="array" ref="G21">((SUM(C54:BA54))*gallons_hot_home_saved)+(SUM((INDEX(Faucets_h2o,B21-2006)*perc_hot_water_faucet_2021),(INDEX(Showerheads_h2o,B21-2006)*perc_hot_water_shower_2021)))</f>
        <v>#VALUE!</v>
      </c>
      <c r="I21" cm="1">
        <f t="array" ref="I21">INDEX(home_w_products,$B21-2008)*INDEX(new_home_toilet,$B21-2006)</f>
        <v>0</v>
      </c>
      <c r="J21" cm="1">
        <f t="array" ref="J21">INDEX(home_w_products,$B21-2008)*INDEX(new_home_faucet,$B21-2006)</f>
        <v>0</v>
      </c>
      <c r="K21" cm="1">
        <f t="array" ref="K21">INDEX(home_w_products,$B21-2008)*INDEX(new_home_showerhead,$B21-2006)</f>
        <v>0</v>
      </c>
      <c r="M21">
        <f>IF(partner_type="Builder",SUM(Builder!E21:BC21),'Utility or District'!L21)</f>
        <v>0</v>
      </c>
      <c r="N21" cm="1">
        <f t="array" ref="N21">INDEX(total_wslh,$B21-2008)*INDEX(new_home_toilet,$B21-2006)</f>
        <v>0</v>
      </c>
      <c r="O21" cm="1">
        <f t="array" ref="O21">INDEX(total_wslh,$B21-2008)*INDEX(new_home_faucet,$B21-2006)</f>
        <v>0</v>
      </c>
      <c r="P21" cm="1">
        <f t="array" ref="P21">INDEX(total_wslh,$B21-2008)*INDEX(new_home_showerhead,$B21-2006)</f>
        <v>0</v>
      </c>
      <c r="R21">
        <f t="shared" si="3"/>
        <v>0</v>
      </c>
    </row>
    <row r="22" spans="2:18">
      <c r="B22" s="226">
        <v>2022</v>
      </c>
      <c r="C22" s="35">
        <f t="shared" si="1"/>
        <v>0</v>
      </c>
      <c r="D22" s="145">
        <f t="shared" si="0"/>
        <v>0</v>
      </c>
      <c r="E22" s="35">
        <f t="shared" si="4"/>
        <v>0</v>
      </c>
      <c r="F22" s="35">
        <f t="shared" si="2"/>
        <v>0</v>
      </c>
      <c r="G22" s="164" t="e" cm="1">
        <f t="array" ref="G22">((SUM(C55:BA55))*gallons_hot_home_saved)+(SUM((INDEX(Faucets_h2o,B22-2006)*perc_hot_water_faucet_2022),(INDEX(Showerheads_h2o,B22-2006)*perc_hot_water_shower_2022)))</f>
        <v>#VALUE!</v>
      </c>
      <c r="I22" cm="1">
        <f t="array" ref="I22">INDEX(home_w_products,$B22-2008)*INDEX(new_home_toilet,$B22-2006)</f>
        <v>0</v>
      </c>
      <c r="J22" cm="1">
        <f t="array" ref="J22">INDEX(home_w_products,$B22-2008)*INDEX(new_home_faucet,$B22-2006)</f>
        <v>0</v>
      </c>
      <c r="K22" cm="1">
        <f t="array" ref="K22">INDEX(home_w_products,$B22-2008)*INDEX(new_home_showerhead,$B22-2006)</f>
        <v>0</v>
      </c>
      <c r="M22">
        <f>IF(partner_type="Builder",SUM(Builder!E22:BC22),'Utility or District'!L22)</f>
        <v>0</v>
      </c>
      <c r="N22" cm="1">
        <f t="array" ref="N22">INDEX(total_wslh,$B22-2008)*INDEX(new_home_toilet,$B22-2006)</f>
        <v>0</v>
      </c>
      <c r="O22" cm="1">
        <f t="array" ref="O22">INDEX(total_wslh,$B22-2008)*INDEX(new_home_faucet,$B22-2006)</f>
        <v>0</v>
      </c>
      <c r="P22" cm="1">
        <f t="array" ref="P22">INDEX(total_wslh,$B22-2008)*INDEX(new_home_showerhead,$B22-2006)</f>
        <v>0</v>
      </c>
      <c r="R22">
        <f t="shared" si="3"/>
        <v>0</v>
      </c>
    </row>
    <row r="23" spans="2:18">
      <c r="B23" s="228">
        <v>2023</v>
      </c>
      <c r="C23" s="35">
        <f t="shared" si="1"/>
        <v>0</v>
      </c>
      <c r="D23" s="145">
        <f t="shared" si="0"/>
        <v>0</v>
      </c>
      <c r="E23" s="35">
        <f t="shared" si="4"/>
        <v>0</v>
      </c>
      <c r="F23" s="35">
        <f t="shared" si="2"/>
        <v>0</v>
      </c>
      <c r="G23" s="164" t="e" cm="1">
        <f t="array" ref="G23">((SUM(C56:BA56))*gallons_hot_home_saved)+(SUM((INDEX(Faucets_h2o,B23-2006)*perc_hot_water_faucet_2023),(INDEX(Showerheads_h2o,B23-2006)*perc_hot_water_shower_2023)))</f>
        <v>#VALUE!</v>
      </c>
      <c r="I23" cm="1">
        <f t="array" ref="I23">INDEX(home_w_products,$B23-2008)*INDEX(new_home_toilet,$B23-2006)</f>
        <v>0</v>
      </c>
      <c r="J23" cm="1">
        <f t="array" ref="J23">INDEX(home_w_products,$B23-2008)*INDEX(new_home_faucet,$B23-2006)</f>
        <v>0</v>
      </c>
      <c r="K23" cm="1">
        <f t="array" ref="K23">INDEX(home_w_products,$B23-2008)*INDEX(new_home_showerhead,$B23-2006)</f>
        <v>0</v>
      </c>
      <c r="M23">
        <f>IF(partner_type="Builder",SUM(Builder!E23:BC23),'Utility or District'!L23)</f>
        <v>0</v>
      </c>
      <c r="N23" cm="1">
        <f t="array" ref="N23">INDEX(total_wslh,$B23-2008)*INDEX(new_home_toilet,$B23-2006)</f>
        <v>0</v>
      </c>
      <c r="O23" cm="1">
        <f t="array" ref="O23">INDEX(total_wslh,$B23-2008)*INDEX(new_home_faucet,$B23-2006)</f>
        <v>0</v>
      </c>
      <c r="P23" cm="1">
        <f t="array" ref="P23">INDEX(total_wslh,$B23-2008)*INDEX(new_home_showerhead,$B23-2006)</f>
        <v>0</v>
      </c>
      <c r="R23">
        <f t="shared" si="3"/>
        <v>0</v>
      </c>
    </row>
    <row r="24" spans="2:18">
      <c r="B24" s="226">
        <v>2024</v>
      </c>
      <c r="C24" s="35">
        <f t="shared" si="1"/>
        <v>0</v>
      </c>
      <c r="D24" s="145">
        <f t="shared" si="0"/>
        <v>0</v>
      </c>
      <c r="E24" s="35">
        <f t="shared" si="4"/>
        <v>0</v>
      </c>
      <c r="F24" s="35">
        <f t="shared" si="2"/>
        <v>0</v>
      </c>
      <c r="G24" s="164" t="e" cm="1">
        <f t="array" ref="G24">((SUM(C57:BA57))*gallons_hot_home_saved)+(SUM((INDEX(Faucets_h2o,B24-2006)*perc_hot_water_faucet_2024),(INDEX(Showerheads_h2o,B24-2006)*perc_hot_water_shower_2024)))</f>
        <v>#VALUE!</v>
      </c>
      <c r="I24" cm="1">
        <f t="array" ref="I24">INDEX(home_w_products,$B24-2008)*INDEX(new_home_toilet,$B24-2006)</f>
        <v>0</v>
      </c>
      <c r="J24" cm="1">
        <f t="array" ref="J24">INDEX(home_w_products,$B24-2008)*INDEX(new_home_faucet,$B24-2006)</f>
        <v>0</v>
      </c>
      <c r="K24" cm="1">
        <f t="array" ref="K24">INDEX(home_w_products,$B24-2008)*INDEX(new_home_showerhead,$B24-2006)</f>
        <v>0</v>
      </c>
      <c r="M24">
        <f>IF(partner_type="Builder",SUM(Builder!E24:BC24),'Utility or District'!L24)</f>
        <v>0</v>
      </c>
      <c r="N24" cm="1">
        <f t="array" ref="N24">INDEX(total_wslh,$B24-2008)*INDEX(new_home_toilet,$B24-2006)</f>
        <v>0</v>
      </c>
      <c r="O24" cm="1">
        <f t="array" ref="O24">INDEX(total_wslh,$B24-2008)*INDEX(new_home_faucet,$B24-2006)</f>
        <v>0</v>
      </c>
      <c r="P24" cm="1">
        <f t="array" ref="P24">INDEX(total_wslh,$B24-2008)*INDEX(new_home_showerhead,$B24-2006)</f>
        <v>0</v>
      </c>
      <c r="R24">
        <f t="shared" si="3"/>
        <v>0</v>
      </c>
    </row>
    <row r="25" spans="2:18">
      <c r="B25" s="228">
        <v>2025</v>
      </c>
      <c r="C25" s="35">
        <f t="shared" si="1"/>
        <v>0</v>
      </c>
      <c r="D25" s="145">
        <f t="shared" si="0"/>
        <v>0</v>
      </c>
      <c r="E25" s="35">
        <f t="shared" si="4"/>
        <v>0</v>
      </c>
      <c r="F25" s="35">
        <f t="shared" si="2"/>
        <v>0</v>
      </c>
      <c r="G25" s="164" t="e" cm="1">
        <f t="array" ref="G25">((SUM(C58:BA58))*gallons_hot_home_saved)+(SUM((INDEX(Faucets_h2o,B25-2006)*perc_hot_water_faucet_2025),(INDEX(Showerheads_h2o,B25-2006)*perc_hot_water_shower_2025)))</f>
        <v>#VALUE!</v>
      </c>
      <c r="I25" cm="1">
        <f t="array" ref="I25">INDEX(home_w_products,$B25-2008)*INDEX(new_home_toilet,$B25-2006)</f>
        <v>0</v>
      </c>
      <c r="J25" cm="1">
        <f t="array" ref="J25">INDEX(home_w_products,$B25-2008)*INDEX(new_home_faucet,$B25-2006)</f>
        <v>0</v>
      </c>
      <c r="K25" cm="1">
        <f t="array" ref="K25">INDEX(home_w_products,$B25-2008)*INDEX(new_home_showerhead,$B25-2006)</f>
        <v>0</v>
      </c>
      <c r="M25">
        <f>IF(partner_type="Builder",SUM(Builder!E25:BC25),'Utility or District'!L25)</f>
        <v>0</v>
      </c>
      <c r="N25" cm="1">
        <f t="array" ref="N25">INDEX(total_wslh,$B25-2008)*INDEX(new_home_toilet,$B25-2006)</f>
        <v>0</v>
      </c>
      <c r="O25" cm="1">
        <f t="array" ref="O25">INDEX(total_wslh,$B25-2008)*INDEX(new_home_faucet,$B25-2006)</f>
        <v>0</v>
      </c>
      <c r="P25" cm="1">
        <f t="array" ref="P25">INDEX(total_wslh,$B25-2008)*INDEX(new_home_showerhead,$B25-2006)</f>
        <v>0</v>
      </c>
      <c r="R25">
        <f t="shared" si="3"/>
        <v>0</v>
      </c>
    </row>
    <row r="26" spans="2:18">
      <c r="B26" s="226">
        <v>2026</v>
      </c>
      <c r="C26" s="35">
        <f t="shared" si="1"/>
        <v>0</v>
      </c>
      <c r="D26" s="145">
        <f t="shared" si="0"/>
        <v>0</v>
      </c>
      <c r="E26" s="35">
        <f t="shared" si="4"/>
        <v>0</v>
      </c>
      <c r="F26" s="35">
        <f t="shared" si="2"/>
        <v>0</v>
      </c>
      <c r="G26" s="164" t="e" cm="1">
        <f t="array" ref="G26">((SUM(C59:BA59))*gallons_hot_home_saved)+(SUM((INDEX(Faucets_h2o,B26-2006)*perc_hot_water_faucet_2026),(INDEX(Showerheads_h2o,B26-2006)*perc_hot_water_shower_2026)))</f>
        <v>#VALUE!</v>
      </c>
      <c r="I26" cm="1">
        <f t="array" ref="I26">INDEX(home_w_products,$B26-2008)*INDEX(new_home_toilet,$B26-2006)</f>
        <v>0</v>
      </c>
      <c r="J26" cm="1">
        <f t="array" ref="J26">INDEX(home_w_products,$B26-2008)*INDEX(new_home_faucet,$B26-2006)</f>
        <v>0</v>
      </c>
      <c r="K26" cm="1">
        <f t="array" ref="K26">INDEX(home_w_products,$B26-2008)*INDEX(new_home_showerhead,$B26-2006)</f>
        <v>0</v>
      </c>
      <c r="M26">
        <f>IF(partner_type="Builder",SUM(Builder!E26:BC26),'Utility or District'!L26)</f>
        <v>0</v>
      </c>
      <c r="N26" cm="1">
        <f t="array" ref="N26">INDEX(total_wslh,$B26-2008)*INDEX(new_home_toilet,$B26-2006)</f>
        <v>0</v>
      </c>
      <c r="O26" cm="1">
        <f t="array" ref="O26">INDEX(total_wslh,$B26-2008)*INDEX(new_home_faucet,$B26-2006)</f>
        <v>0</v>
      </c>
      <c r="P26" cm="1">
        <f t="array" ref="P26">INDEX(total_wslh,$B26-2008)*INDEX(new_home_showerhead,$B26-2006)</f>
        <v>0</v>
      </c>
      <c r="R26">
        <f t="shared" si="3"/>
        <v>0</v>
      </c>
    </row>
    <row r="27" spans="2:18">
      <c r="B27" s="228">
        <v>2027</v>
      </c>
      <c r="C27" s="35">
        <f t="shared" si="1"/>
        <v>0</v>
      </c>
      <c r="D27" s="145">
        <f t="shared" si="0"/>
        <v>0</v>
      </c>
      <c r="E27" s="35">
        <f t="shared" si="4"/>
        <v>0</v>
      </c>
      <c r="F27" s="35">
        <f t="shared" si="2"/>
        <v>0</v>
      </c>
      <c r="G27" s="164" t="e" cm="1">
        <f t="array" ref="G27">((SUM(C60:BA60))*gallons_hot_home_saved)+(SUM((INDEX(Faucets_h2o,B27-2006)*perc_hot_water_faucet_2027),(INDEX(Showerheads_h2o,B27-2006)*perc_hot_water_shower_2027)))</f>
        <v>#VALUE!</v>
      </c>
      <c r="I27" cm="1">
        <f t="array" ref="I27">INDEX(home_w_products,$B27-2008)*INDEX(new_home_toilet,$B27-2006)</f>
        <v>0</v>
      </c>
      <c r="J27" cm="1">
        <f t="array" ref="J27">INDEX(home_w_products,$B27-2008)*INDEX(new_home_faucet,$B27-2006)</f>
        <v>0</v>
      </c>
      <c r="K27" cm="1">
        <f t="array" ref="K27">INDEX(home_w_products,$B27-2008)*INDEX(new_home_showerhead,$B27-2006)</f>
        <v>0</v>
      </c>
      <c r="M27">
        <f>IF(partner_type="Builder",SUM(Builder!E27:BC27),'Utility or District'!L27)</f>
        <v>0</v>
      </c>
      <c r="N27" cm="1">
        <f t="array" ref="N27">INDEX(total_wslh,$B27-2008)*INDEX(new_home_toilet,$B27-2006)</f>
        <v>0</v>
      </c>
      <c r="O27" cm="1">
        <f t="array" ref="O27">INDEX(total_wslh,$B27-2008)*INDEX(new_home_faucet,$B27-2006)</f>
        <v>0</v>
      </c>
      <c r="P27" cm="1">
        <f t="array" ref="P27">INDEX(total_wslh,$B27-2008)*INDEX(new_home_showerhead,$B27-2006)</f>
        <v>0</v>
      </c>
      <c r="R27">
        <f t="shared" si="3"/>
        <v>0</v>
      </c>
    </row>
    <row r="28" spans="2:18">
      <c r="B28" s="226">
        <v>2028</v>
      </c>
      <c r="C28" s="35">
        <f t="shared" si="1"/>
        <v>0</v>
      </c>
      <c r="D28" s="145">
        <f t="shared" si="0"/>
        <v>0</v>
      </c>
      <c r="E28" s="35">
        <f t="shared" si="4"/>
        <v>0</v>
      </c>
      <c r="F28" s="35">
        <f t="shared" si="2"/>
        <v>0</v>
      </c>
      <c r="G28" s="164" t="e" cm="1">
        <f t="array" ref="G28">((SUM(C61:BA61))*gallons_hot_home_saved)+(SUM((INDEX(Faucets_h2o,B28-2006)*perc_hot_water_faucet_2028),(INDEX(Showerheads_h2o,B28-2006)*perc_hot_water_shower_2028)))</f>
        <v>#VALUE!</v>
      </c>
      <c r="I28" cm="1">
        <f t="array" ref="I28">INDEX(home_w_products,$B28-2008)*INDEX(new_home_toilet,$B28-2006)</f>
        <v>0</v>
      </c>
      <c r="J28" cm="1">
        <f t="array" ref="J28">INDEX(home_w_products,$B28-2008)*INDEX(new_home_faucet,$B28-2006)</f>
        <v>0</v>
      </c>
      <c r="K28" cm="1">
        <f t="array" ref="K28">INDEX(home_w_products,$B28-2008)*INDEX(new_home_showerhead,$B28-2006)</f>
        <v>0</v>
      </c>
      <c r="M28">
        <f>IF(partner_type="Builder",SUM(Builder!E28:BC28),'Utility or District'!L28)</f>
        <v>0</v>
      </c>
      <c r="N28" cm="1">
        <f t="array" ref="N28">INDEX(total_wslh,$B28-2008)*INDEX(new_home_toilet,$B28-2006)</f>
        <v>0</v>
      </c>
      <c r="O28" cm="1">
        <f t="array" ref="O28">INDEX(total_wslh,$B28-2008)*INDEX(new_home_faucet,$B28-2006)</f>
        <v>0</v>
      </c>
      <c r="P28" cm="1">
        <f t="array" ref="P28">INDEX(total_wslh,$B28-2008)*INDEX(new_home_showerhead,$B28-2006)</f>
        <v>0</v>
      </c>
      <c r="R28">
        <f t="shared" si="3"/>
        <v>0</v>
      </c>
    </row>
    <row r="29" spans="2:18">
      <c r="B29" s="228">
        <v>2029</v>
      </c>
      <c r="C29" s="35">
        <f t="shared" si="1"/>
        <v>0</v>
      </c>
      <c r="D29" s="145">
        <f t="shared" si="0"/>
        <v>0</v>
      </c>
      <c r="E29" s="35">
        <f t="shared" si="4"/>
        <v>0</v>
      </c>
      <c r="F29" s="35">
        <f t="shared" si="2"/>
        <v>0</v>
      </c>
      <c r="G29" s="164" t="e" cm="1">
        <f t="array" ref="G29">((SUM(C62:BA62))*gallons_hot_home_saved)+(SUM((INDEX(Faucets_h2o,B29-2006)*perc_hot_water_faucet_2029),(INDEX(Showerheads_h2o,B29-2006)*perc_hot_water_shower_2029)))</f>
        <v>#VALUE!</v>
      </c>
      <c r="I29" cm="1">
        <f t="array" ref="I29">INDEX(home_w_products,$B29-2008)*INDEX(new_home_toilet,$B29-2006)</f>
        <v>0</v>
      </c>
      <c r="J29" cm="1">
        <f t="array" ref="J29">INDEX(home_w_products,$B29-2008)*INDEX(new_home_faucet,$B29-2006)</f>
        <v>0</v>
      </c>
      <c r="K29" cm="1">
        <f t="array" ref="K29">INDEX(home_w_products,$B29-2008)*INDEX(new_home_showerhead,$B29-2006)</f>
        <v>0</v>
      </c>
      <c r="M29">
        <f>IF(partner_type="Builder",SUM(Builder!E29:BC29),'Utility or District'!L29)</f>
        <v>0</v>
      </c>
      <c r="N29" cm="1">
        <f t="array" ref="N29">INDEX(total_wslh,$B29-2008)*INDEX(new_home_toilet,$B29-2006)</f>
        <v>0</v>
      </c>
      <c r="O29" cm="1">
        <f t="array" ref="O29">INDEX(total_wslh,$B29-2008)*INDEX(new_home_faucet,$B29-2006)</f>
        <v>0</v>
      </c>
      <c r="P29" cm="1">
        <f t="array" ref="P29">INDEX(total_wslh,$B29-2008)*INDEX(new_home_showerhead,$B29-2006)</f>
        <v>0</v>
      </c>
      <c r="R29">
        <f t="shared" si="3"/>
        <v>0</v>
      </c>
    </row>
    <row r="30" spans="2:18">
      <c r="B30" s="226">
        <v>2030</v>
      </c>
      <c r="C30" s="35">
        <f t="shared" si="1"/>
        <v>0</v>
      </c>
      <c r="D30" s="145">
        <f t="shared" si="0"/>
        <v>0</v>
      </c>
      <c r="E30" s="35">
        <f t="shared" si="4"/>
        <v>0</v>
      </c>
      <c r="F30" s="35">
        <f t="shared" si="2"/>
        <v>0</v>
      </c>
      <c r="G30" s="164" t="e" cm="1">
        <f t="array" ref="G30">((SUM(C63:BA63))*gallons_hot_home_saved)+(SUM((INDEX(Faucets_h2o,B30-2006)*perc_hot_water_faucet_2030),(INDEX(Showerheads_h2o,B30-2006)*perc_hot_water_shower_2030)))</f>
        <v>#VALUE!</v>
      </c>
      <c r="I30" cm="1">
        <f t="array" ref="I30">INDEX(home_w_products,$B30-2008)*INDEX(new_home_toilet,$B30-2006)</f>
        <v>0</v>
      </c>
      <c r="J30" cm="1">
        <f t="array" ref="J30">INDEX(home_w_products,$B30-2008)*INDEX(new_home_faucet,$B30-2006)</f>
        <v>0</v>
      </c>
      <c r="K30" cm="1">
        <f t="array" ref="K30">INDEX(home_w_products,$B30-2008)*INDEX(new_home_showerhead,$B30-2006)</f>
        <v>0</v>
      </c>
      <c r="M30">
        <f>IF(partner_type="Builder",SUM(Builder!E30:BC30),'Utility or District'!L30)</f>
        <v>0</v>
      </c>
      <c r="N30" cm="1">
        <f t="array" ref="N30">INDEX(total_wslh,$B30-2008)*INDEX(new_home_toilet,$B30-2006)</f>
        <v>0</v>
      </c>
      <c r="O30" cm="1">
        <f t="array" ref="O30">INDEX(total_wslh,$B30-2008)*INDEX(new_home_faucet,$B30-2006)</f>
        <v>0</v>
      </c>
      <c r="P30" cm="1">
        <f t="array" ref="P30">INDEX(total_wslh,$B30-2008)*INDEX(new_home_showerhead,$B30-2006)</f>
        <v>0</v>
      </c>
      <c r="R30">
        <f t="shared" si="3"/>
        <v>0</v>
      </c>
    </row>
    <row r="31" spans="2:18">
      <c r="M31" s="145">
        <f>SUM(total_wslh)</f>
        <v>0</v>
      </c>
      <c r="R31" s="145">
        <f>ROUNDDOWN(SUM(R9:R30),0)</f>
        <v>0</v>
      </c>
    </row>
    <row r="33" spans="1:53" ht="19.5" customHeight="1">
      <c r="C33" s="453" t="s">
        <v>224</v>
      </c>
      <c r="D33" s="454"/>
      <c r="E33" s="454"/>
      <c r="F33" s="454"/>
      <c r="G33" s="454"/>
      <c r="H33" s="454"/>
      <c r="I33" s="454"/>
      <c r="J33" s="454"/>
      <c r="K33" s="454"/>
      <c r="L33" s="454"/>
      <c r="M33" s="454"/>
      <c r="N33" s="454"/>
      <c r="O33" s="454"/>
      <c r="P33" s="454"/>
      <c r="Q33" s="454"/>
      <c r="R33" s="454"/>
      <c r="S33" s="454"/>
      <c r="T33" s="454"/>
      <c r="U33" s="454"/>
      <c r="V33" s="454"/>
      <c r="W33" s="454"/>
      <c r="X33" s="454"/>
      <c r="Y33" s="454"/>
      <c r="Z33" s="454"/>
      <c r="AA33" s="454"/>
      <c r="AB33" s="454"/>
      <c r="AC33" s="454"/>
      <c r="AD33" s="454"/>
      <c r="AE33" s="454"/>
      <c r="AF33" s="454"/>
      <c r="AG33" s="454"/>
      <c r="AH33" s="454"/>
      <c r="AI33" s="454"/>
      <c r="AJ33" s="454"/>
      <c r="AK33" s="454"/>
      <c r="AL33" s="454"/>
      <c r="AM33" s="454"/>
      <c r="AN33" s="454"/>
      <c r="AO33" s="454"/>
      <c r="AP33" s="454"/>
      <c r="AQ33" s="454"/>
      <c r="AR33" s="454"/>
      <c r="AS33" s="454"/>
      <c r="AT33" s="454"/>
      <c r="AU33" s="454"/>
      <c r="AV33" s="454"/>
      <c r="AW33" s="454"/>
      <c r="AX33" s="454"/>
      <c r="AY33" s="454"/>
      <c r="AZ33" s="454"/>
      <c r="BA33" s="454"/>
    </row>
    <row r="34" spans="1:53">
      <c r="B34" s="228" t="s">
        <v>225</v>
      </c>
      <c r="C34" t="s">
        <v>102</v>
      </c>
      <c r="D34" t="s">
        <v>103</v>
      </c>
      <c r="E34" t="s">
        <v>104</v>
      </c>
      <c r="F34" t="s">
        <v>105</v>
      </c>
      <c r="G34" t="s">
        <v>106</v>
      </c>
      <c r="H34" t="s">
        <v>107</v>
      </c>
      <c r="I34" t="s">
        <v>108</v>
      </c>
      <c r="J34" t="s">
        <v>109</v>
      </c>
      <c r="K34" t="s">
        <v>110</v>
      </c>
      <c r="L34" t="s">
        <v>111</v>
      </c>
      <c r="M34" t="s">
        <v>112</v>
      </c>
      <c r="N34" t="s">
        <v>113</v>
      </c>
      <c r="O34" t="s">
        <v>114</v>
      </c>
      <c r="P34" t="s">
        <v>115</v>
      </c>
      <c r="Q34" t="s">
        <v>116</v>
      </c>
      <c r="R34" t="s">
        <v>117</v>
      </c>
      <c r="S34" t="s">
        <v>118</v>
      </c>
      <c r="T34" t="s">
        <v>119</v>
      </c>
      <c r="U34" t="s">
        <v>120</v>
      </c>
      <c r="V34" t="s">
        <v>121</v>
      </c>
      <c r="W34" t="s">
        <v>122</v>
      </c>
      <c r="X34" t="s">
        <v>123</v>
      </c>
      <c r="Y34" t="s">
        <v>124</v>
      </c>
      <c r="Z34" t="s">
        <v>125</v>
      </c>
      <c r="AA34" t="s">
        <v>126</v>
      </c>
      <c r="AB34" t="s">
        <v>127</v>
      </c>
      <c r="AC34" t="s">
        <v>128</v>
      </c>
      <c r="AD34" t="s">
        <v>129</v>
      </c>
      <c r="AE34" t="s">
        <v>130</v>
      </c>
      <c r="AF34" t="s">
        <v>131</v>
      </c>
      <c r="AG34" t="s">
        <v>132</v>
      </c>
      <c r="AH34" t="s">
        <v>133</v>
      </c>
      <c r="AI34" t="s">
        <v>134</v>
      </c>
      <c r="AJ34" t="s">
        <v>135</v>
      </c>
      <c r="AK34" t="s">
        <v>136</v>
      </c>
      <c r="AL34" t="s">
        <v>137</v>
      </c>
      <c r="AM34" t="s">
        <v>138</v>
      </c>
      <c r="AN34" t="s">
        <v>139</v>
      </c>
      <c r="AO34" t="s">
        <v>140</v>
      </c>
      <c r="AP34" t="s">
        <v>141</v>
      </c>
      <c r="AQ34" t="s">
        <v>142</v>
      </c>
      <c r="AR34" t="s">
        <v>143</v>
      </c>
      <c r="AS34" t="s">
        <v>144</v>
      </c>
      <c r="AT34" t="s">
        <v>145</v>
      </c>
      <c r="AU34" t="s">
        <v>146</v>
      </c>
      <c r="AV34" t="s">
        <v>147</v>
      </c>
      <c r="AW34" t="s">
        <v>148</v>
      </c>
      <c r="AX34" t="s">
        <v>149</v>
      </c>
      <c r="AY34" t="s">
        <v>150</v>
      </c>
      <c r="AZ34" t="s">
        <v>151</v>
      </c>
      <c r="BA34" t="s">
        <v>152</v>
      </c>
    </row>
    <row r="35" spans="1:53">
      <c r="B35" s="228" t="s">
        <v>226</v>
      </c>
      <c r="C35">
        <f>_xlfn.XLOOKUP(C34,Regions!$B$2:$B$52,Regions!$C$2:$C$52,"",0)</f>
        <v>6</v>
      </c>
      <c r="D35">
        <f>_xlfn.XLOOKUP(D34,Regions!$B$2:$B$52,Regions!$C$2:$C$52,"",0)</f>
        <v>10</v>
      </c>
      <c r="E35">
        <f>_xlfn.XLOOKUP(E34,Regions!$B$2:$B$52,Regions!$C$2:$C$52,"",0)</f>
        <v>9</v>
      </c>
      <c r="F35">
        <f>_xlfn.XLOOKUP(F34,Regions!$B$2:$B$52,Regions!$C$2:$C$52,"",0)</f>
        <v>7</v>
      </c>
      <c r="G35">
        <f>_xlfn.XLOOKUP(G34,Regions!$B$2:$B$52,Regions!$C$2:$C$52,"",0)</f>
        <v>10</v>
      </c>
      <c r="H35">
        <f>_xlfn.XLOOKUP(H34,Regions!$B$2:$B$52,Regions!$C$2:$C$52,"",0)</f>
        <v>8</v>
      </c>
      <c r="I35">
        <f>_xlfn.XLOOKUP(I34,Regions!$B$2:$B$52,Regions!$C$2:$C$52,"",0)</f>
        <v>1</v>
      </c>
      <c r="J35">
        <f>_xlfn.XLOOKUP(J34,Regions!$B$2:$B$52,Regions!$C$2:$C$52,"",0)</f>
        <v>5</v>
      </c>
      <c r="K35">
        <f>_xlfn.XLOOKUP(K34,Regions!$B$2:$B$52,Regions!$C$2:$C$52,"",0)</f>
        <v>5</v>
      </c>
      <c r="L35">
        <f>_xlfn.XLOOKUP(L34,Regions!$B$2:$B$52,Regions!$C$2:$C$52,"",0)</f>
        <v>5</v>
      </c>
      <c r="M35">
        <f>_xlfn.XLOOKUP(M34,Regions!$B$2:$B$52,Regions!$C$2:$C$52,"",0)</f>
        <v>5</v>
      </c>
      <c r="N35">
        <f>_xlfn.XLOOKUP(N34,Regions!$B$2:$B$52,Regions!$C$2:$C$52,"",0)</f>
        <v>10</v>
      </c>
      <c r="O35">
        <f>_xlfn.XLOOKUP(O34,Regions!$B$2:$B$52,Regions!$C$2:$C$52,"",0)</f>
        <v>8</v>
      </c>
      <c r="P35">
        <f>_xlfn.XLOOKUP(P34,Regions!$B$2:$B$52,Regions!$C$2:$C$52,"",0)</f>
        <v>3</v>
      </c>
      <c r="Q35">
        <f>_xlfn.XLOOKUP(Q34,Regions!$B$2:$B$52,Regions!$C$2:$C$52,"",0)</f>
        <v>3</v>
      </c>
      <c r="R35">
        <f>_xlfn.XLOOKUP(R34,Regions!$B$2:$B$52,Regions!$C$2:$C$52,"",0)</f>
        <v>4</v>
      </c>
      <c r="S35">
        <f>_xlfn.XLOOKUP(S34,Regions!$B$2:$B$52,Regions!$C$2:$C$52,"",0)</f>
        <v>4</v>
      </c>
      <c r="T35">
        <f>_xlfn.XLOOKUP(T34,Regions!$B$2:$B$52,Regions!$C$2:$C$52,"",0)</f>
        <v>6</v>
      </c>
      <c r="U35">
        <f>_xlfn.XLOOKUP(U34,Regions!$B$2:$B$52,Regions!$C$2:$C$52,"",0)</f>
        <v>7</v>
      </c>
      <c r="V35">
        <f>_xlfn.XLOOKUP(V34,Regions!$B$2:$B$52,Regions!$C$2:$C$52,"",0)</f>
        <v>1</v>
      </c>
      <c r="W35">
        <f>_xlfn.XLOOKUP(W34,Regions!$B$2:$B$52,Regions!$C$2:$C$52,"",0)</f>
        <v>5</v>
      </c>
      <c r="X35">
        <f>_xlfn.XLOOKUP(X34,Regions!$B$2:$B$52,Regions!$C$2:$C$52,"",0)</f>
        <v>1</v>
      </c>
      <c r="Y35">
        <f>_xlfn.XLOOKUP(Y34,Regions!$B$2:$B$52,Regions!$C$2:$C$52,"",0)</f>
        <v>3</v>
      </c>
      <c r="Z35">
        <f>_xlfn.XLOOKUP(Z34,Regions!$B$2:$B$52,Regions!$C$2:$C$52,"",0)</f>
        <v>4</v>
      </c>
      <c r="AA35">
        <f>_xlfn.XLOOKUP(AA34,Regions!$B$2:$B$52,Regions!$C$2:$C$52,"",0)</f>
        <v>6</v>
      </c>
      <c r="AB35">
        <f>_xlfn.XLOOKUP(AB34,Regions!$B$2:$B$52,Regions!$C$2:$C$52,"",0)</f>
        <v>4</v>
      </c>
      <c r="AC35">
        <f>_xlfn.XLOOKUP(AC34,Regions!$B$2:$B$52,Regions!$C$2:$C$52,"",0)</f>
        <v>8</v>
      </c>
      <c r="AD35">
        <f>_xlfn.XLOOKUP(AD34,Regions!$B$2:$B$52,Regions!$C$2:$C$52,"",0)</f>
        <v>4</v>
      </c>
      <c r="AE35">
        <f>_xlfn.XLOOKUP(AE34,Regions!$B$2:$B$52,Regions!$C$2:$C$52,"",0)</f>
        <v>9</v>
      </c>
      <c r="AF35">
        <f>_xlfn.XLOOKUP(AF34,Regions!$B$2:$B$52,Regions!$C$2:$C$52,"",0)</f>
        <v>1</v>
      </c>
      <c r="AG35">
        <f>_xlfn.XLOOKUP(AG34,Regions!$B$2:$B$52,Regions!$C$2:$C$52,"",0)</f>
        <v>2</v>
      </c>
      <c r="AH35">
        <f>_xlfn.XLOOKUP(AH34,Regions!$B$2:$B$52,Regions!$C$2:$C$52,"",0)</f>
        <v>9</v>
      </c>
      <c r="AI35">
        <f>_xlfn.XLOOKUP(AI34,Regions!$B$2:$B$52,Regions!$C$2:$C$52,"",0)</f>
        <v>2</v>
      </c>
      <c r="AJ35">
        <f>_xlfn.XLOOKUP(AJ34,Regions!$B$2:$B$52,Regions!$C$2:$C$52,"",0)</f>
        <v>5</v>
      </c>
      <c r="AK35">
        <f>_xlfn.XLOOKUP(AK34,Regions!$B$2:$B$52,Regions!$C$2:$C$52,"",0)</f>
        <v>4</v>
      </c>
      <c r="AL35">
        <f>_xlfn.XLOOKUP(AL34,Regions!$B$2:$B$52,Regions!$C$2:$C$52,"",0)</f>
        <v>3</v>
      </c>
      <c r="AM35">
        <f>_xlfn.XLOOKUP(AM34,Regions!$B$2:$B$52,Regions!$C$2:$C$52,"",0)</f>
        <v>7</v>
      </c>
      <c r="AN35">
        <f>_xlfn.XLOOKUP(AN34,Regions!$B$2:$B$52,Regions!$C$2:$C$52,"",0)</f>
        <v>10</v>
      </c>
      <c r="AO35">
        <f>_xlfn.XLOOKUP(AO34,Regions!$B$2:$B$52,Regions!$C$2:$C$52,"",0)</f>
        <v>2</v>
      </c>
      <c r="AP35">
        <f>_xlfn.XLOOKUP(AP34,Regions!$B$2:$B$52,Regions!$C$2:$C$52,"",0)</f>
        <v>1</v>
      </c>
      <c r="AQ35">
        <f>_xlfn.XLOOKUP(AQ34,Regions!$B$2:$B$52,Regions!$C$2:$C$52,"",0)</f>
        <v>5</v>
      </c>
      <c r="AR35">
        <f>_xlfn.XLOOKUP(AR34,Regions!$B$2:$B$52,Regions!$C$2:$C$52,"",0)</f>
        <v>4</v>
      </c>
      <c r="AS35">
        <f>_xlfn.XLOOKUP(AS34,Regions!$B$2:$B$52,Regions!$C$2:$C$52,"",0)</f>
        <v>6</v>
      </c>
      <c r="AT35">
        <f>_xlfn.XLOOKUP(AT34,Regions!$B$2:$B$52,Regions!$C$2:$C$52,"",0)</f>
        <v>7</v>
      </c>
      <c r="AU35">
        <f>_xlfn.XLOOKUP(AU34,Regions!$B$2:$B$52,Regions!$C$2:$C$52,"",0)</f>
        <v>8</v>
      </c>
      <c r="AV35">
        <f>_xlfn.XLOOKUP(AV34,Regions!$B$2:$B$52,Regions!$C$2:$C$52,"",0)</f>
        <v>1</v>
      </c>
      <c r="AW35">
        <f>_xlfn.XLOOKUP(AW34,Regions!$B$2:$B$52,Regions!$C$2:$C$52,"",0)</f>
        <v>5</v>
      </c>
      <c r="AX35">
        <f>_xlfn.XLOOKUP(AX34,Regions!$B$2:$B$52,Regions!$C$2:$C$52,"",0)</f>
        <v>10</v>
      </c>
      <c r="AY35">
        <f>_xlfn.XLOOKUP(AY34,Regions!$B$2:$B$52,Regions!$C$2:$C$52,"",0)</f>
        <v>5</v>
      </c>
      <c r="AZ35">
        <f>_xlfn.XLOOKUP(AZ34,Regions!$B$2:$B$52,Regions!$C$2:$C$52,"",0)</f>
        <v>3</v>
      </c>
      <c r="BA35">
        <f>_xlfn.XLOOKUP(BA34,Regions!$B$2:$B$52,Regions!$C$2:$C$52,"",0)</f>
        <v>8</v>
      </c>
    </row>
    <row r="36" spans="1:53">
      <c r="B36" s="226" t="s">
        <v>227</v>
      </c>
      <c r="C36">
        <v>39245.981566865201</v>
      </c>
      <c r="D36">
        <v>23206.906512905131</v>
      </c>
      <c r="E36">
        <v>75682.016525839659</v>
      </c>
      <c r="F36">
        <v>42356.780829269766</v>
      </c>
      <c r="G36">
        <v>49450.426633214222</v>
      </c>
      <c r="H36">
        <v>49128.503446089562</v>
      </c>
      <c r="I36">
        <v>33998.356530264922</v>
      </c>
      <c r="J36">
        <v>37275.008708224588</v>
      </c>
      <c r="K36">
        <v>39725.766939521614</v>
      </c>
      <c r="L36">
        <v>47461.063358016014</v>
      </c>
      <c r="M36">
        <v>40310.348934482223</v>
      </c>
      <c r="N36">
        <v>50826.210936182957</v>
      </c>
      <c r="O36">
        <v>44999.330775644092</v>
      </c>
      <c r="P36">
        <v>36258.285047526966</v>
      </c>
      <c r="Q36">
        <v>35971.287862766876</v>
      </c>
      <c r="R36">
        <v>37235.823072000676</v>
      </c>
      <c r="S36">
        <v>44522.585435953006</v>
      </c>
      <c r="T36">
        <v>36818.924537833984</v>
      </c>
      <c r="U36">
        <v>41350.931251524897</v>
      </c>
      <c r="V36">
        <v>28118.238411070313</v>
      </c>
      <c r="W36">
        <v>38520.126915812507</v>
      </c>
      <c r="X36">
        <v>33709.167628248921</v>
      </c>
      <c r="Y36">
        <v>33438.930667889566</v>
      </c>
      <c r="Z36">
        <v>35459.483057700309</v>
      </c>
      <c r="AA36">
        <v>39987.978286046338</v>
      </c>
      <c r="AB36">
        <v>40294.057674163101</v>
      </c>
      <c r="AC36">
        <v>39998.706429280348</v>
      </c>
      <c r="AD36">
        <v>41375.797627399552</v>
      </c>
      <c r="AE36">
        <v>72073.113853944364</v>
      </c>
      <c r="AF36">
        <v>31322.068214682338</v>
      </c>
      <c r="AG36">
        <v>37318.384972127671</v>
      </c>
      <c r="AH36">
        <v>59975.81984651462</v>
      </c>
      <c r="AI36">
        <v>35827.574759338509</v>
      </c>
      <c r="AJ36">
        <v>38820.968119694393</v>
      </c>
      <c r="AK36">
        <v>36478.394046241454</v>
      </c>
      <c r="AL36">
        <v>34743.361992972059</v>
      </c>
      <c r="AM36">
        <v>49030.551237614309</v>
      </c>
      <c r="AN36">
        <v>33511.993181350474</v>
      </c>
      <c r="AO36">
        <v>34992.799160194823</v>
      </c>
      <c r="AP36">
        <v>33982.000125438644</v>
      </c>
      <c r="AQ36">
        <v>40785.336038942391</v>
      </c>
      <c r="AR36">
        <v>40360.316774060797</v>
      </c>
      <c r="AS36">
        <v>37936.475182165334</v>
      </c>
      <c r="AT36">
        <v>51708.666042321478</v>
      </c>
      <c r="AU36">
        <v>48933.600677996445</v>
      </c>
      <c r="AV36">
        <v>29352.291085882272</v>
      </c>
      <c r="AW36">
        <v>38421.760213524591</v>
      </c>
      <c r="AX36">
        <v>32163.788346552636</v>
      </c>
      <c r="AY36">
        <v>33897.155676127433</v>
      </c>
      <c r="AZ36">
        <v>33130.343730710585</v>
      </c>
      <c r="BA36">
        <v>43902.888875637887</v>
      </c>
    </row>
    <row r="37" spans="1:53">
      <c r="A37" t="s">
        <v>228</v>
      </c>
      <c r="B37" s="5">
        <f>SUM(C37:BA37)</f>
        <v>0</v>
      </c>
      <c r="C37">
        <f>IF(OR(Introduction!$C$17=Homes_calc!C34,Introduction!$C$17="National Average"),1,0)</f>
        <v>0</v>
      </c>
      <c r="D37">
        <f>IF(OR(Introduction!$C$17=Homes_calc!D34,Introduction!$C$17="National Average"),1,0)</f>
        <v>0</v>
      </c>
      <c r="E37">
        <f>IF(OR(Introduction!$C$17=Homes_calc!E34,Introduction!$C$17="National Average"),1,0)</f>
        <v>0</v>
      </c>
      <c r="F37">
        <f>IF(OR(Introduction!$C$17=Homes_calc!F34,Introduction!$C$17="National Average"),1,0)</f>
        <v>0</v>
      </c>
      <c r="G37">
        <f>IF(OR(Introduction!$C$17=Homes_calc!G34,Introduction!$C$17="National Average"),1,0)</f>
        <v>0</v>
      </c>
      <c r="H37">
        <f>IF(OR(Introduction!$C$17=Homes_calc!H34,Introduction!$C$17="National Average"),1,0)</f>
        <v>0</v>
      </c>
      <c r="I37">
        <f>IF(OR(Introduction!$C$17=Homes_calc!I34,Introduction!$C$17="National Average"),1,0)</f>
        <v>0</v>
      </c>
      <c r="J37">
        <f>IF(OR(Introduction!$C$17=Homes_calc!J34,Introduction!$C$17="National Average"),1,0)</f>
        <v>0</v>
      </c>
      <c r="K37">
        <f>IF(OR(Introduction!$C$17=Homes_calc!K34,Introduction!$C$17="National Average"),1,0)</f>
        <v>0</v>
      </c>
      <c r="L37">
        <f>IF(OR(Introduction!$C$17=Homes_calc!L34,Introduction!$C$17="National Average"),1,0)</f>
        <v>0</v>
      </c>
      <c r="M37">
        <f>IF(OR(Introduction!$C$17=Homes_calc!M34,Introduction!$C$17="National Average"),1,0)</f>
        <v>0</v>
      </c>
      <c r="N37">
        <f>IF(OR(Introduction!$C$17=Homes_calc!N34,Introduction!$C$17="National Average"),1,0)</f>
        <v>0</v>
      </c>
      <c r="O37">
        <f>IF(OR(Introduction!$C$17=Homes_calc!O34,Introduction!$C$17="National Average"),1,0)</f>
        <v>0</v>
      </c>
      <c r="P37">
        <f>IF(OR(Introduction!$C$17=Homes_calc!P34,Introduction!$C$17="National Average"),1,0)</f>
        <v>0</v>
      </c>
      <c r="Q37">
        <f>IF(OR(Introduction!$C$17=Homes_calc!Q34,Introduction!$C$17="National Average"),1,0)</f>
        <v>0</v>
      </c>
      <c r="R37">
        <f>IF(OR(Introduction!$C$17=Homes_calc!R34,Introduction!$C$17="National Average"),1,0)</f>
        <v>0</v>
      </c>
      <c r="S37">
        <f>IF(OR(Introduction!$C$17=Homes_calc!S34,Introduction!$C$17="National Average"),1,0)</f>
        <v>0</v>
      </c>
      <c r="T37">
        <f>IF(OR(Introduction!$C$17=Homes_calc!T34,Introduction!$C$17="National Average"),1,0)</f>
        <v>0</v>
      </c>
      <c r="U37">
        <f>IF(OR(Introduction!$C$17=Homes_calc!U34,Introduction!$C$17="National Average"),1,0)</f>
        <v>0</v>
      </c>
      <c r="V37">
        <f>IF(OR(Introduction!$C$17=Homes_calc!V34,Introduction!$C$17="National Average"),1,0)</f>
        <v>0</v>
      </c>
      <c r="W37">
        <f>IF(OR(Introduction!$C$17=Homes_calc!W34,Introduction!$C$17="National Average"),1,0)</f>
        <v>0</v>
      </c>
      <c r="X37">
        <f>IF(OR(Introduction!$C$17=Homes_calc!X34,Introduction!$C$17="National Average"),1,0)</f>
        <v>0</v>
      </c>
      <c r="Y37">
        <f>IF(OR(Introduction!$C$17=Homes_calc!Y34,Introduction!$C$17="National Average"),1,0)</f>
        <v>0</v>
      </c>
      <c r="Z37">
        <f>IF(OR(Introduction!$C$17=Homes_calc!Z34,Introduction!$C$17="National Average"),1,0)</f>
        <v>0</v>
      </c>
      <c r="AA37">
        <f>IF(OR(Introduction!$C$17=Homes_calc!AA34,Introduction!$C$17="National Average"),1,0)</f>
        <v>0</v>
      </c>
      <c r="AB37">
        <f>IF(OR(Introduction!$C$17=Homes_calc!AB34,Introduction!$C$17="National Average"),1,0)</f>
        <v>0</v>
      </c>
      <c r="AC37">
        <f>IF(OR(Introduction!$C$17=Homes_calc!AC34,Introduction!$C$17="National Average"),1,0)</f>
        <v>0</v>
      </c>
      <c r="AD37">
        <f>IF(OR(Introduction!$C$17=Homes_calc!AD34,Introduction!$C$17="National Average"),1,0)</f>
        <v>0</v>
      </c>
      <c r="AE37">
        <f>IF(OR(Introduction!$C$17=Homes_calc!AE34,Introduction!$C$17="National Average"),1,0)</f>
        <v>0</v>
      </c>
      <c r="AF37">
        <f>IF(OR(Introduction!$C$17=Homes_calc!AF34,Introduction!$C$17="National Average"),1,0)</f>
        <v>0</v>
      </c>
      <c r="AG37">
        <f>IF(OR(Introduction!$C$17=Homes_calc!AG34,Introduction!$C$17="National Average"),1,0)</f>
        <v>0</v>
      </c>
      <c r="AH37">
        <f>IF(OR(Introduction!$C$17=Homes_calc!AH34,Introduction!$C$17="National Average"),1,0)</f>
        <v>0</v>
      </c>
      <c r="AI37">
        <f>IF(OR(Introduction!$C$17=Homes_calc!AI34,Introduction!$C$17="National Average"),1,0)</f>
        <v>0</v>
      </c>
      <c r="AJ37">
        <f>IF(OR(Introduction!$C$17=Homes_calc!AJ34,Introduction!$C$17="National Average"),1,0)</f>
        <v>0</v>
      </c>
      <c r="AK37">
        <f>IF(OR(Introduction!$C$17=Homes_calc!AK34,Introduction!$C$17="National Average"),1,0)</f>
        <v>0</v>
      </c>
      <c r="AL37">
        <f>IF(OR(Introduction!$C$17=Homes_calc!AL34,Introduction!$C$17="National Average"),1,0)</f>
        <v>0</v>
      </c>
      <c r="AM37">
        <f>IF(OR(Introduction!$C$17=Homes_calc!AM34,Introduction!$C$17="National Average"),1,0)</f>
        <v>0</v>
      </c>
      <c r="AN37">
        <f>IF(OR(Introduction!$C$17=Homes_calc!AN34,Introduction!$C$17="National Average"),1,0)</f>
        <v>0</v>
      </c>
      <c r="AO37">
        <f>IF(OR(Introduction!$C$17=Homes_calc!AO34,Introduction!$C$17="National Average"),1,0)</f>
        <v>0</v>
      </c>
      <c r="AP37">
        <f>IF(OR(Introduction!$C$17=Homes_calc!AP34,Introduction!$C$17="National Average"),1,0)</f>
        <v>0</v>
      </c>
      <c r="AQ37">
        <f>IF(OR(Introduction!$C$17=Homes_calc!AQ34,Introduction!$C$17="National Average"),1,0)</f>
        <v>0</v>
      </c>
      <c r="AR37">
        <f>IF(OR(Introduction!$C$17=Homes_calc!AR34,Introduction!$C$17="National Average"),1,0)</f>
        <v>0</v>
      </c>
      <c r="AS37">
        <f>IF(OR(Introduction!$C$17=Homes_calc!AS34,Introduction!$C$17="National Average"),1,0)</f>
        <v>0</v>
      </c>
      <c r="AT37">
        <f>IF(OR(Introduction!$C$17=Homes_calc!AT34,Introduction!$C$17="National Average"),1,0)</f>
        <v>0</v>
      </c>
      <c r="AU37">
        <f>IF(OR(Introduction!$C$17=Homes_calc!AU34,Introduction!$C$17="National Average"),1,0)</f>
        <v>0</v>
      </c>
      <c r="AV37">
        <f>IF(OR(Introduction!$C$17=Homes_calc!AV34,Introduction!$C$17="National Average"),1,0)</f>
        <v>0</v>
      </c>
      <c r="AW37">
        <f>IF(OR(Introduction!$C$17=Homes_calc!AW34,Introduction!$C$17="National Average"),1,0)</f>
        <v>0</v>
      </c>
      <c r="AX37">
        <f>IF(OR(Introduction!$C$17=Homes_calc!AX34,Introduction!$C$17="National Average"),1,0)</f>
        <v>0</v>
      </c>
      <c r="AY37">
        <f>IF(OR(Introduction!$C$17=Homes_calc!AY34,Introduction!$C$17="National Average"),1,0)</f>
        <v>0</v>
      </c>
      <c r="AZ37">
        <f>IF(OR(Introduction!$C$17=Homes_calc!AZ34,Introduction!$C$17="National Average"),1,0)</f>
        <v>0</v>
      </c>
      <c r="BA37">
        <f>IF(OR(Introduction!$C$17=Homes_calc!BA34,Introduction!$C$17="National Average"),1,0)</f>
        <v>0</v>
      </c>
    </row>
    <row r="38" spans="1:53">
      <c r="B38" s="165"/>
      <c r="C38" s="453" t="s">
        <v>229</v>
      </c>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454"/>
      <c r="AB38" s="454"/>
      <c r="AC38" s="454"/>
      <c r="AD38" s="454"/>
      <c r="AE38" s="454"/>
      <c r="AF38" s="454"/>
      <c r="AG38" s="454"/>
      <c r="AH38" s="454"/>
      <c r="AI38" s="454"/>
      <c r="AJ38" s="454"/>
      <c r="AK38" s="454"/>
      <c r="AL38" s="454"/>
      <c r="AM38" s="454"/>
      <c r="AN38" s="454"/>
      <c r="AO38" s="454"/>
      <c r="AP38" s="454"/>
      <c r="AQ38" s="454"/>
      <c r="AR38" s="454"/>
      <c r="AS38" s="454"/>
      <c r="AT38" s="454"/>
      <c r="AU38" s="454"/>
      <c r="AV38" s="454"/>
      <c r="AW38" s="454"/>
      <c r="AX38" s="454"/>
      <c r="AY38" s="454"/>
      <c r="AZ38" s="454"/>
      <c r="BA38" s="454"/>
    </row>
    <row r="39" spans="1:53">
      <c r="B39" s="226" t="s">
        <v>11</v>
      </c>
    </row>
    <row r="40" spans="1:53">
      <c r="B40" s="228">
        <v>2007</v>
      </c>
    </row>
    <row r="41" spans="1:53">
      <c r="B41" s="226">
        <v>2008</v>
      </c>
    </row>
    <row r="42" spans="1:53">
      <c r="B42" s="228">
        <v>2009</v>
      </c>
      <c r="C42">
        <f>IF(AND(partner_type="Utility/District",Introduction!$C$17=Homes_calc!C$34),SUM('Utility or District'!$L$9:$L9),IF(partner_type="builder",SUM(Builder!E$9:E9),0))</f>
        <v>0</v>
      </c>
      <c r="D42">
        <f>IF(AND(partner_type="Utility/District",Introduction!$C$17=Homes_calc!D$34),SUM('Utility or District'!$L$9:$L9),IF(partner_type="builder",SUM(Builder!F$9:F9),0))</f>
        <v>0</v>
      </c>
      <c r="E42">
        <f>IF(AND(partner_type="Utility/District",Introduction!$C$17=Homes_calc!E$34),SUM('Utility or District'!$L$9:$L9),IF(partner_type="builder",SUM(Builder!G$9:G9),0))</f>
        <v>0</v>
      </c>
      <c r="F42">
        <f>IF(AND(partner_type="Utility/District",Introduction!$C$17=Homes_calc!F$34),SUM('Utility or District'!$L$9:$L9),IF(partner_type="builder",SUM(Builder!H$9:H9),0))</f>
        <v>0</v>
      </c>
      <c r="G42">
        <f>IF(AND(partner_type="Utility/District",Introduction!$C$17=Homes_calc!G$34),SUM('Utility or District'!$L$9:$L9),IF(partner_type="builder",SUM(Builder!I$9:I9),0))</f>
        <v>0</v>
      </c>
      <c r="H42">
        <f>IF(AND(partner_type="Utility/District",Introduction!$C$17=Homes_calc!H$34),SUM('Utility or District'!$L$9:$L9),IF(partner_type="builder",SUM(Builder!J$9:J9),0))</f>
        <v>0</v>
      </c>
      <c r="I42">
        <f>IF(AND(partner_type="Utility/District",Introduction!$C$17=Homes_calc!I$34),SUM('Utility or District'!$L$9:$L9),IF(partner_type="builder",SUM(Builder!K$9:K9),0))</f>
        <v>0</v>
      </c>
      <c r="J42">
        <f>IF(AND(partner_type="Utility/District",Introduction!$C$17=Homes_calc!J$34),SUM('Utility or District'!$L$9:$L9),IF(partner_type="builder",SUM(Builder!L$9:L9),0))</f>
        <v>0</v>
      </c>
      <c r="K42">
        <f>IF(AND(partner_type="Utility/District",Introduction!$C$17=Homes_calc!K$34),SUM('Utility or District'!$L$9:$L9),IF(partner_type="builder",SUM(Builder!M$9:M9),0))</f>
        <v>0</v>
      </c>
      <c r="L42">
        <f>IF(AND(partner_type="Utility/District",Introduction!$C$17=Homes_calc!L$34),SUM('Utility or District'!$L$9:$L9),IF(partner_type="builder",SUM(Builder!N$9:N9),0))</f>
        <v>0</v>
      </c>
      <c r="M42">
        <f>IF(AND(partner_type="Utility/District",Introduction!$C$17=Homes_calc!M$34),SUM('Utility or District'!$L$9:$L9),IF(partner_type="builder",SUM(Builder!O$9:O9),0))</f>
        <v>0</v>
      </c>
      <c r="N42">
        <f>IF(AND(partner_type="Utility/District",Introduction!$C$17=Homes_calc!N$34),SUM('Utility or District'!$L$9:$L9),IF(partner_type="builder",SUM(Builder!P$9:P9),0))</f>
        <v>0</v>
      </c>
      <c r="O42">
        <f>IF(AND(partner_type="Utility/District",Introduction!$C$17=Homes_calc!O$34),SUM('Utility or District'!$L$9:$L9),IF(partner_type="builder",SUM(Builder!Q$9:Q9),0))</f>
        <v>0</v>
      </c>
      <c r="P42">
        <f>IF(AND(partner_type="Utility/District",Introduction!$C$17=Homes_calc!P$34),SUM('Utility or District'!$L$9:$L9),IF(partner_type="builder",SUM(Builder!R$9:R9),0))</f>
        <v>0</v>
      </c>
      <c r="Q42">
        <f>IF(AND(partner_type="Utility/District",Introduction!$C$17=Homes_calc!Q$34),SUM('Utility or District'!$L$9:$L9),IF(partner_type="builder",SUM(Builder!S$9:S9),0))</f>
        <v>0</v>
      </c>
      <c r="R42">
        <f>IF(AND(partner_type="Utility/District",Introduction!$C$17=Homes_calc!R$34),SUM('Utility or District'!$L$9:$L9),IF(partner_type="builder",SUM(Builder!T$9:T9),0))</f>
        <v>0</v>
      </c>
      <c r="S42">
        <f>IF(AND(partner_type="Utility/District",Introduction!$C$17=Homes_calc!S$34),SUM('Utility or District'!$L$9:$L9),IF(partner_type="builder",SUM(Builder!U$9:U9),0))</f>
        <v>0</v>
      </c>
      <c r="T42">
        <f>IF(AND(partner_type="Utility/District",Introduction!$C$17=Homes_calc!T$34),SUM('Utility or District'!$L$9:$L9),IF(partner_type="builder",SUM(Builder!V$9:V9),0))</f>
        <v>0</v>
      </c>
      <c r="U42">
        <f>IF(AND(partner_type="Utility/District",Introduction!$C$17=Homes_calc!U$34),SUM('Utility or District'!$L$9:$L9),IF(partner_type="builder",SUM(Builder!W$9:W9),0))</f>
        <v>0</v>
      </c>
      <c r="V42">
        <f>IF(AND(partner_type="Utility/District",Introduction!$C$17=Homes_calc!V$34),SUM('Utility or District'!$L$9:$L9),IF(partner_type="builder",SUM(Builder!X$9:X9),0))</f>
        <v>0</v>
      </c>
      <c r="W42">
        <f>IF(AND(partner_type="Utility/District",Introduction!$C$17=Homes_calc!W$34),SUM('Utility or District'!$L$9:$L9),IF(partner_type="builder",SUM(Builder!Y$9:Y9),0))</f>
        <v>0</v>
      </c>
      <c r="X42">
        <f>IF(AND(partner_type="Utility/District",Introduction!$C$17=Homes_calc!X$34),SUM('Utility or District'!$L$9:$L9),IF(partner_type="builder",SUM(Builder!Z$9:Z9),0))</f>
        <v>0</v>
      </c>
      <c r="Y42">
        <f>IF(AND(partner_type="Utility/District",Introduction!$C$17=Homes_calc!Y$34),SUM('Utility or District'!$L$9:$L9),IF(partner_type="builder",SUM(Builder!AA$9:AA9),0))</f>
        <v>0</v>
      </c>
      <c r="Z42">
        <f>IF(AND(partner_type="Utility/District",Introduction!$C$17=Homes_calc!Z$34),SUM('Utility or District'!$L$9:$L9),IF(partner_type="builder",SUM(Builder!AB$9:AB9),0))</f>
        <v>0</v>
      </c>
      <c r="AA42">
        <f>IF(AND(partner_type="Utility/District",Introduction!$C$17=Homes_calc!AA$34),SUM('Utility or District'!$L$9:$L9),IF(partner_type="builder",SUM(Builder!AC$9:AC9),0))</f>
        <v>0</v>
      </c>
      <c r="AB42">
        <f>IF(AND(partner_type="Utility/District",Introduction!$C$17=Homes_calc!AB$34),SUM('Utility or District'!$L$9:$L9),IF(partner_type="builder",SUM(Builder!AD$9:AD9),0))</f>
        <v>0</v>
      </c>
      <c r="AC42">
        <f>IF(AND(partner_type="Utility/District",Introduction!$C$17=Homes_calc!AC$34),SUM('Utility or District'!$L$9:$L9),IF(partner_type="builder",SUM(Builder!AE$9:AE9),0))</f>
        <v>0</v>
      </c>
      <c r="AD42">
        <f>IF(AND(partner_type="Utility/District",Introduction!$C$17=Homes_calc!AD$34),SUM('Utility or District'!$L$9:$L9),IF(partner_type="builder",SUM(Builder!AF$9:AF9),0))</f>
        <v>0</v>
      </c>
      <c r="AE42">
        <f>IF(AND(partner_type="Utility/District",Introduction!$C$17=Homes_calc!AE$34),SUM('Utility or District'!$L$9:$L9),IF(partner_type="builder",SUM(Builder!AG$9:AG9),0))</f>
        <v>0</v>
      </c>
      <c r="AF42">
        <f>IF(AND(partner_type="Utility/District",Introduction!$C$17=Homes_calc!AF$34),SUM('Utility or District'!$L$9:$L9),IF(partner_type="builder",SUM(Builder!AH$9:AH9),0))</f>
        <v>0</v>
      </c>
      <c r="AG42">
        <f>IF(AND(partner_type="Utility/District",Introduction!$C$17=Homes_calc!AG$34),SUM('Utility or District'!$L$9:$L9),IF(partner_type="builder",SUM(Builder!AI$9:AI9),0))</f>
        <v>0</v>
      </c>
      <c r="AH42">
        <f>IF(AND(partner_type="Utility/District",Introduction!$C$17=Homes_calc!AH$34),SUM('Utility or District'!$L$9:$L9),IF(partner_type="builder",SUM(Builder!AJ$9:AJ9),0))</f>
        <v>0</v>
      </c>
      <c r="AI42">
        <f>IF(AND(partner_type="Utility/District",Introduction!$C$17=Homes_calc!AI$34),SUM('Utility or District'!$L$9:$L9),IF(partner_type="builder",SUM(Builder!AK$9:AK9),0))</f>
        <v>0</v>
      </c>
      <c r="AJ42">
        <f>IF(AND(partner_type="Utility/District",Introduction!$C$17=Homes_calc!AJ$34),SUM('Utility or District'!$L$9:$L9),IF(partner_type="builder",SUM(Builder!AL$9:AL9),0))</f>
        <v>0</v>
      </c>
      <c r="AK42">
        <f>IF(AND(partner_type="Utility/District",Introduction!$C$17=Homes_calc!AK$34),SUM('Utility or District'!$L$9:$L9),IF(partner_type="builder",SUM(Builder!AM$9:AM9),0))</f>
        <v>0</v>
      </c>
      <c r="AL42">
        <f>IF(AND(partner_type="Utility/District",Introduction!$C$17=Homes_calc!AL$34),SUM('Utility or District'!$L$9:$L9),IF(partner_type="builder",SUM(Builder!AN$9:AN9),0))</f>
        <v>0</v>
      </c>
      <c r="AM42">
        <f>IF(AND(partner_type="Utility/District",Introduction!$C$17=Homes_calc!AM$34),SUM('Utility or District'!$L$9:$L9),IF(partner_type="builder",SUM(Builder!AO$9:AO9),0))</f>
        <v>0</v>
      </c>
      <c r="AN42">
        <f>IF(AND(partner_type="Utility/District",Introduction!$C$17=Homes_calc!AN$34),SUM('Utility or District'!$L$9:$L9),IF(partner_type="builder",SUM(Builder!AP$9:AP9),0))</f>
        <v>0</v>
      </c>
      <c r="AO42">
        <f>IF(AND(partner_type="Utility/District",Introduction!$C$17=Homes_calc!AO$34),SUM('Utility or District'!$L$9:$L9),IF(partner_type="builder",SUM(Builder!AQ$9:AQ9),0))</f>
        <v>0</v>
      </c>
      <c r="AP42">
        <f>IF(AND(partner_type="Utility/District",Introduction!$C$17=Homes_calc!AP$34),SUM('Utility or District'!$L$9:$L9),IF(partner_type="builder",SUM(Builder!AR$9:AR9),0))</f>
        <v>0</v>
      </c>
      <c r="AQ42">
        <f>IF(AND(partner_type="Utility/District",Introduction!$C$17=Homes_calc!AQ$34),SUM('Utility or District'!$L$9:$L9),IF(partner_type="builder",SUM(Builder!AS$9:AS9),0))</f>
        <v>0</v>
      </c>
      <c r="AR42">
        <f>IF(AND(partner_type="Utility/District",Introduction!$C$17=Homes_calc!AR$34),SUM('Utility or District'!$L$9:$L9),IF(partner_type="builder",SUM(Builder!AT$9:AT9),0))</f>
        <v>0</v>
      </c>
      <c r="AS42">
        <f>IF(AND(partner_type="Utility/District",Introduction!$C$17=Homes_calc!AS$34),SUM('Utility or District'!$L$9:$L9),IF(partner_type="builder",SUM(Builder!AU$9:AU9),0))</f>
        <v>0</v>
      </c>
      <c r="AT42">
        <f>IF(AND(partner_type="Utility/District",Introduction!$C$17=Homes_calc!AT$34),SUM('Utility or District'!$L$9:$L9),IF(partner_type="builder",SUM(Builder!AV$9:AV9),0))</f>
        <v>0</v>
      </c>
      <c r="AU42">
        <f>IF(AND(partner_type="Utility/District",Introduction!$C$17=Homes_calc!AU$34),SUM('Utility or District'!$L$9:$L9),IF(partner_type="builder",SUM(Builder!AW$9:AW9),0))</f>
        <v>0</v>
      </c>
      <c r="AV42">
        <f>IF(AND(partner_type="Utility/District",Introduction!$C$17=Homes_calc!AV$34),SUM('Utility or District'!$L$9:$L9),IF(partner_type="builder",SUM(Builder!AX$9:AX9),0))</f>
        <v>0</v>
      </c>
      <c r="AW42">
        <f>IF(AND(partner_type="Utility/District",Introduction!$C$17=Homes_calc!AW$34),SUM('Utility or District'!$L$9:$L9),IF(partner_type="builder",SUM(Builder!AY$9:AY9),0))</f>
        <v>0</v>
      </c>
      <c r="AX42">
        <f>IF(AND(partner_type="Utility/District",Introduction!$C$17=Homes_calc!AX$34),SUM('Utility or District'!$L$9:$L9),IF(partner_type="builder",SUM(Builder!AZ$9:AZ9),0))</f>
        <v>0</v>
      </c>
      <c r="AY42">
        <f>IF(AND(partner_type="Utility/District",Introduction!$C$17=Homes_calc!AY$34),SUM('Utility or District'!$L$9:$L9),IF(partner_type="builder",SUM(Builder!BA$9:BA9),0))</f>
        <v>0</v>
      </c>
      <c r="AZ42">
        <f>IF(AND(partner_type="Utility/District",Introduction!$C$17=Homes_calc!AZ$34),SUM('Utility or District'!$L$9:$L9),IF(partner_type="builder",SUM(Builder!BB$9:BB9),0))</f>
        <v>0</v>
      </c>
      <c r="BA42">
        <f>IF(AND(partner_type="Utility/District",Introduction!$C$17=Homes_calc!BA$34),SUM('Utility or District'!$L$9:$L9),IF(partner_type="builder",SUM(Builder!BC$9:BC9),0))</f>
        <v>0</v>
      </c>
    </row>
    <row r="43" spans="1:53">
      <c r="B43" s="226">
        <v>2010</v>
      </c>
      <c r="C43">
        <f>IF(AND(partner_type="Utility/District",Introduction!$C$17=Homes_calc!C$34),SUM('Utility or District'!$L$9:$L10),IF(partner_type="builder",SUM(Builder!E$9:E10),0))</f>
        <v>0</v>
      </c>
      <c r="D43">
        <f>IF(AND(partner_type="Utility/District",Introduction!$C$17=Homes_calc!D$34),SUM('Utility or District'!$L$9:$L10),IF(partner_type="builder",SUM(Builder!F$9:F10),0))</f>
        <v>0</v>
      </c>
      <c r="E43">
        <f>IF(AND(partner_type="Utility/District",Introduction!$C$17=Homes_calc!E$34),SUM('Utility or District'!$L$9:$L10),IF(partner_type="builder",SUM(Builder!G$9:G10),0))</f>
        <v>0</v>
      </c>
      <c r="F43">
        <f>IF(AND(partner_type="Utility/District",Introduction!$C$17=Homes_calc!F$34),SUM('Utility or District'!$L$9:$L10),IF(partner_type="builder",SUM(Builder!H$9:H10),0))</f>
        <v>0</v>
      </c>
      <c r="G43">
        <f>IF(AND(partner_type="Utility/District",Introduction!$C$17=Homes_calc!G$34),SUM('Utility or District'!$L$9:$L10),IF(partner_type="builder",SUM(Builder!I$9:I10),0))</f>
        <v>0</v>
      </c>
      <c r="H43">
        <f>IF(AND(partner_type="Utility/District",Introduction!$C$17=Homes_calc!H$34),SUM('Utility or District'!$L$9:$L10),IF(partner_type="builder",SUM(Builder!J$9:J10),0))</f>
        <v>0</v>
      </c>
      <c r="I43">
        <f>IF(AND(partner_type="Utility/District",Introduction!$C$17=Homes_calc!I$34),SUM('Utility or District'!$L$9:$L10),IF(partner_type="builder",SUM(Builder!K$9:K10),0))</f>
        <v>0</v>
      </c>
      <c r="J43">
        <f>IF(AND(partner_type="Utility/District",Introduction!$C$17=Homes_calc!J$34),SUM('Utility or District'!$L$9:$L10),IF(partner_type="builder",SUM(Builder!L$9:L10),0))</f>
        <v>0</v>
      </c>
      <c r="K43">
        <f>IF(AND(partner_type="Utility/District",Introduction!$C$17=Homes_calc!K$34),SUM('Utility or District'!$L$9:$L10),IF(partner_type="builder",SUM(Builder!M$9:M10),0))</f>
        <v>0</v>
      </c>
      <c r="L43">
        <f>IF(AND(partner_type="Utility/District",Introduction!$C$17=Homes_calc!L$34),SUM('Utility or District'!$L$9:$L10),IF(partner_type="builder",SUM(Builder!N$9:N10),0))</f>
        <v>0</v>
      </c>
      <c r="M43">
        <f>IF(AND(partner_type="Utility/District",Introduction!$C$17=Homes_calc!M$34),SUM('Utility or District'!$L$9:$L10),IF(partner_type="builder",SUM(Builder!O$9:O10),0))</f>
        <v>0</v>
      </c>
      <c r="N43">
        <f>IF(AND(partner_type="Utility/District",Introduction!$C$17=Homes_calc!N$34),SUM('Utility or District'!$L$9:$L10),IF(partner_type="builder",SUM(Builder!P$9:P10),0))</f>
        <v>0</v>
      </c>
      <c r="O43">
        <f>IF(AND(partner_type="Utility/District",Introduction!$C$17=Homes_calc!O$34),SUM('Utility or District'!$L$9:$L10),IF(partner_type="builder",SUM(Builder!Q$9:Q10),0))</f>
        <v>0</v>
      </c>
      <c r="P43">
        <f>IF(AND(partner_type="Utility/District",Introduction!$C$17=Homes_calc!P$34),SUM('Utility or District'!$L$9:$L10),IF(partner_type="builder",SUM(Builder!R$9:R10),0))</f>
        <v>0</v>
      </c>
      <c r="Q43">
        <f>IF(AND(partner_type="Utility/District",Introduction!$C$17=Homes_calc!Q$34),SUM('Utility or District'!$L$9:$L10),IF(partner_type="builder",SUM(Builder!S$9:S10),0))</f>
        <v>0</v>
      </c>
      <c r="R43">
        <f>IF(AND(partner_type="Utility/District",Introduction!$C$17=Homes_calc!R$34),SUM('Utility or District'!$L$9:$L10),IF(partner_type="builder",SUM(Builder!T$9:T10),0))</f>
        <v>0</v>
      </c>
      <c r="S43">
        <f>IF(AND(partner_type="Utility/District",Introduction!$C$17=Homes_calc!S$34),SUM('Utility or District'!$L$9:$L10),IF(partner_type="builder",SUM(Builder!U$9:U10),0))</f>
        <v>0</v>
      </c>
      <c r="T43">
        <f>IF(AND(partner_type="Utility/District",Introduction!$C$17=Homes_calc!T$34),SUM('Utility or District'!$L$9:$L10),IF(partner_type="builder",SUM(Builder!V$9:V10),0))</f>
        <v>0</v>
      </c>
      <c r="U43">
        <f>IF(AND(partner_type="Utility/District",Introduction!$C$17=Homes_calc!U$34),SUM('Utility or District'!$L$9:$L10),IF(partner_type="builder",SUM(Builder!W$9:W10),0))</f>
        <v>0</v>
      </c>
      <c r="V43">
        <f>IF(AND(partner_type="Utility/District",Introduction!$C$17=Homes_calc!V$34),SUM('Utility or District'!$L$9:$L10),IF(partner_type="builder",SUM(Builder!X$9:X10),0))</f>
        <v>0</v>
      </c>
      <c r="W43">
        <f>IF(AND(partner_type="Utility/District",Introduction!$C$17=Homes_calc!W$34),SUM('Utility or District'!$L$9:$L10),IF(partner_type="builder",SUM(Builder!Y$9:Y10),0))</f>
        <v>0</v>
      </c>
      <c r="X43">
        <f>IF(AND(partner_type="Utility/District",Introduction!$C$17=Homes_calc!X$34),SUM('Utility or District'!$L$9:$L10),IF(partner_type="builder",SUM(Builder!Z$9:Z10),0))</f>
        <v>0</v>
      </c>
      <c r="Y43">
        <f>IF(AND(partner_type="Utility/District",Introduction!$C$17=Homes_calc!Y$34),SUM('Utility or District'!$L$9:$L10),IF(partner_type="builder",SUM(Builder!AA$9:AA10),0))</f>
        <v>0</v>
      </c>
      <c r="Z43">
        <f>IF(AND(partner_type="Utility/District",Introduction!$C$17=Homes_calc!Z$34),SUM('Utility or District'!$L$9:$L10),IF(partner_type="builder",SUM(Builder!AB$9:AB10),0))</f>
        <v>0</v>
      </c>
      <c r="AA43">
        <f>IF(AND(partner_type="Utility/District",Introduction!$C$17=Homes_calc!AA$34),SUM('Utility or District'!$L$9:$L10),IF(partner_type="builder",SUM(Builder!AC$9:AC10),0))</f>
        <v>0</v>
      </c>
      <c r="AB43">
        <f>IF(AND(partner_type="Utility/District",Introduction!$C$17=Homes_calc!AB$34),SUM('Utility or District'!$L$9:$L10),IF(partner_type="builder",SUM(Builder!AD$9:AD10),0))</f>
        <v>0</v>
      </c>
      <c r="AC43">
        <f>IF(AND(partner_type="Utility/District",Introduction!$C$17=Homes_calc!AC$34),SUM('Utility or District'!$L$9:$L10),IF(partner_type="builder",SUM(Builder!AE$9:AE10),0))</f>
        <v>0</v>
      </c>
      <c r="AD43">
        <f>IF(AND(partner_type="Utility/District",Introduction!$C$17=Homes_calc!AD$34),SUM('Utility or District'!$L$9:$L10),IF(partner_type="builder",SUM(Builder!AF$9:AF10),0))</f>
        <v>0</v>
      </c>
      <c r="AE43">
        <f>IF(AND(partner_type="Utility/District",Introduction!$C$17=Homes_calc!AE$34),SUM('Utility or District'!$L$9:$L10),IF(partner_type="builder",SUM(Builder!AG$9:AG10),0))</f>
        <v>0</v>
      </c>
      <c r="AF43">
        <f>IF(AND(partner_type="Utility/District",Introduction!$C$17=Homes_calc!AF$34),SUM('Utility or District'!$L$9:$L10),IF(partner_type="builder",SUM(Builder!AH$9:AH10),0))</f>
        <v>0</v>
      </c>
      <c r="AG43">
        <f>IF(AND(partner_type="Utility/District",Introduction!$C$17=Homes_calc!AG$34),SUM('Utility or District'!$L$9:$L10),IF(partner_type="builder",SUM(Builder!AI$9:AI10),0))</f>
        <v>0</v>
      </c>
      <c r="AH43">
        <f>IF(AND(partner_type="Utility/District",Introduction!$C$17=Homes_calc!AH$34),SUM('Utility or District'!$L$9:$L10),IF(partner_type="builder",SUM(Builder!AJ$9:AJ10),0))</f>
        <v>0</v>
      </c>
      <c r="AI43">
        <f>IF(AND(partner_type="Utility/District",Introduction!$C$17=Homes_calc!AI$34),SUM('Utility or District'!$L$9:$L10),IF(partner_type="builder",SUM(Builder!AK$9:AK10),0))</f>
        <v>0</v>
      </c>
      <c r="AJ43">
        <f>IF(AND(partner_type="Utility/District",Introduction!$C$17=Homes_calc!AJ$34),SUM('Utility or District'!$L$9:$L10),IF(partner_type="builder",SUM(Builder!AL$9:AL10),0))</f>
        <v>0</v>
      </c>
      <c r="AK43">
        <f>IF(AND(partner_type="Utility/District",Introduction!$C$17=Homes_calc!AK$34),SUM('Utility or District'!$L$9:$L10),IF(partner_type="builder",SUM(Builder!AM$9:AM10),0))</f>
        <v>0</v>
      </c>
      <c r="AL43">
        <f>IF(AND(partner_type="Utility/District",Introduction!$C$17=Homes_calc!AL$34),SUM('Utility or District'!$L$9:$L10),IF(partner_type="builder",SUM(Builder!AN$9:AN10),0))</f>
        <v>0</v>
      </c>
      <c r="AM43">
        <f>IF(AND(partner_type="Utility/District",Introduction!$C$17=Homes_calc!AM$34),SUM('Utility or District'!$L$9:$L10),IF(partner_type="builder",SUM(Builder!AO$9:AO10),0))</f>
        <v>0</v>
      </c>
      <c r="AN43">
        <f>IF(AND(partner_type="Utility/District",Introduction!$C$17=Homes_calc!AN$34),SUM('Utility or District'!$L$9:$L10),IF(partner_type="builder",SUM(Builder!AP$9:AP10),0))</f>
        <v>0</v>
      </c>
      <c r="AO43">
        <f>IF(AND(partner_type="Utility/District",Introduction!$C$17=Homes_calc!AO$34),SUM('Utility or District'!$L$9:$L10),IF(partner_type="builder",SUM(Builder!AQ$9:AQ10),0))</f>
        <v>0</v>
      </c>
      <c r="AP43">
        <f>IF(AND(partner_type="Utility/District",Introduction!$C$17=Homes_calc!AP$34),SUM('Utility or District'!$L$9:$L10),IF(partner_type="builder",SUM(Builder!AR$9:AR10),0))</f>
        <v>0</v>
      </c>
      <c r="AQ43">
        <f>IF(AND(partner_type="Utility/District",Introduction!$C$17=Homes_calc!AQ$34),SUM('Utility or District'!$L$9:$L10),IF(partner_type="builder",SUM(Builder!AS$9:AS10),0))</f>
        <v>0</v>
      </c>
      <c r="AR43">
        <f>IF(AND(partner_type="Utility/District",Introduction!$C$17=Homes_calc!AR$34),SUM('Utility or District'!$L$9:$L10),IF(partner_type="builder",SUM(Builder!AT$9:AT10),0))</f>
        <v>0</v>
      </c>
      <c r="AS43">
        <f>IF(AND(partner_type="Utility/District",Introduction!$C$17=Homes_calc!AS$34),SUM('Utility or District'!$L$9:$L10),IF(partner_type="builder",SUM(Builder!AU$9:AU10),0))</f>
        <v>0</v>
      </c>
      <c r="AT43">
        <f>IF(AND(partner_type="Utility/District",Introduction!$C$17=Homes_calc!AT$34),SUM('Utility or District'!$L$9:$L10),IF(partner_type="builder",SUM(Builder!AV$9:AV10),0))</f>
        <v>0</v>
      </c>
      <c r="AU43">
        <f>IF(AND(partner_type="Utility/District",Introduction!$C$17=Homes_calc!AU$34),SUM('Utility or District'!$L$9:$L10),IF(partner_type="builder",SUM(Builder!AW$9:AW10),0))</f>
        <v>0</v>
      </c>
      <c r="AV43">
        <f>IF(AND(partner_type="Utility/District",Introduction!$C$17=Homes_calc!AV$34),SUM('Utility or District'!$L$9:$L10),IF(partner_type="builder",SUM(Builder!AX$9:AX10),0))</f>
        <v>0</v>
      </c>
      <c r="AW43">
        <f>IF(AND(partner_type="Utility/District",Introduction!$C$17=Homes_calc!AW$34),SUM('Utility or District'!$L$9:$L10),IF(partner_type="builder",SUM(Builder!AY$9:AY10),0))</f>
        <v>0</v>
      </c>
      <c r="AX43">
        <f>IF(AND(partner_type="Utility/District",Introduction!$C$17=Homes_calc!AX$34),SUM('Utility or District'!$L$9:$L10),IF(partner_type="builder",SUM(Builder!AZ$9:AZ10),0))</f>
        <v>0</v>
      </c>
      <c r="AY43">
        <f>IF(AND(partner_type="Utility/District",Introduction!$C$17=Homes_calc!AY$34),SUM('Utility or District'!$L$9:$L10),IF(partner_type="builder",SUM(Builder!BA$9:BA10),0))</f>
        <v>0</v>
      </c>
      <c r="AZ43">
        <f>IF(AND(partner_type="Utility/District",Introduction!$C$17=Homes_calc!AZ$34),SUM('Utility or District'!$L$9:$L10),IF(partner_type="builder",SUM(Builder!BB$9:BB10),0))</f>
        <v>0</v>
      </c>
      <c r="BA43">
        <f>IF(AND(partner_type="Utility/District",Introduction!$C$17=Homes_calc!BA$34),SUM('Utility or District'!$L$9:$L10),IF(partner_type="builder",SUM(Builder!BC$9:BC10),0))</f>
        <v>0</v>
      </c>
    </row>
    <row r="44" spans="1:53">
      <c r="B44" s="228">
        <v>2011</v>
      </c>
      <c r="C44">
        <f>IF(AND(partner_type="Utility/District",Introduction!$C$17=Homes_calc!C$34),SUM('Utility or District'!$L$9:$L11),IF(partner_type="builder",SUM(Builder!E$9:E11),0))</f>
        <v>0</v>
      </c>
      <c r="D44">
        <f>IF(AND(partner_type="Utility/District",Introduction!$C$17=Homes_calc!D$34),SUM('Utility or District'!$L$9:$L11),IF(partner_type="builder",SUM(Builder!F$9:F11),0))</f>
        <v>0</v>
      </c>
      <c r="E44">
        <f>IF(AND(partner_type="Utility/District",Introduction!$C$17=Homes_calc!E$34),SUM('Utility or District'!$L$9:$L11),IF(partner_type="builder",SUM(Builder!G$9:G11),0))</f>
        <v>0</v>
      </c>
      <c r="F44">
        <f>IF(AND(partner_type="Utility/District",Introduction!$C$17=Homes_calc!F$34),SUM('Utility or District'!$L$9:$L11),IF(partner_type="builder",SUM(Builder!H$9:H11),0))</f>
        <v>0</v>
      </c>
      <c r="G44">
        <f>IF(AND(partner_type="Utility/District",Introduction!$C$17=Homes_calc!G$34),SUM('Utility or District'!$L$9:$L11),IF(partner_type="builder",SUM(Builder!I$9:I11),0))</f>
        <v>0</v>
      </c>
      <c r="H44">
        <f>IF(AND(partner_type="Utility/District",Introduction!$C$17=Homes_calc!H$34),SUM('Utility or District'!$L$9:$L11),IF(partner_type="builder",SUM(Builder!J$9:J11),0))</f>
        <v>0</v>
      </c>
      <c r="I44">
        <f>IF(AND(partner_type="Utility/District",Introduction!$C$17=Homes_calc!I$34),SUM('Utility or District'!$L$9:$L11),IF(partner_type="builder",SUM(Builder!K$9:K11),0))</f>
        <v>0</v>
      </c>
      <c r="J44">
        <f>IF(AND(partner_type="Utility/District",Introduction!$C$17=Homes_calc!J$34),SUM('Utility or District'!$L$9:$L11),IF(partner_type="builder",SUM(Builder!L$9:L11),0))</f>
        <v>0</v>
      </c>
      <c r="K44">
        <f>IF(AND(partner_type="Utility/District",Introduction!$C$17=Homes_calc!K$34),SUM('Utility or District'!$L$9:$L11),IF(partner_type="builder",SUM(Builder!M$9:M11),0))</f>
        <v>0</v>
      </c>
      <c r="L44">
        <f>IF(AND(partner_type="Utility/District",Introduction!$C$17=Homes_calc!L$34),SUM('Utility or District'!$L$9:$L11),IF(partner_type="builder",SUM(Builder!N$9:N11),0))</f>
        <v>0</v>
      </c>
      <c r="M44">
        <f>IF(AND(partner_type="Utility/District",Introduction!$C$17=Homes_calc!M$34),SUM('Utility or District'!$L$9:$L11),IF(partner_type="builder",SUM(Builder!O$9:O11),0))</f>
        <v>0</v>
      </c>
      <c r="N44">
        <f>IF(AND(partner_type="Utility/District",Introduction!$C$17=Homes_calc!N$34),SUM('Utility or District'!$L$9:$L11),IF(partner_type="builder",SUM(Builder!P$9:P11),0))</f>
        <v>0</v>
      </c>
      <c r="O44">
        <f>IF(AND(partner_type="Utility/District",Introduction!$C$17=Homes_calc!O$34),SUM('Utility or District'!$L$9:$L11),IF(partner_type="builder",SUM(Builder!Q$9:Q11),0))</f>
        <v>0</v>
      </c>
      <c r="P44">
        <f>IF(AND(partner_type="Utility/District",Introduction!$C$17=Homes_calc!P$34),SUM('Utility or District'!$L$9:$L11),IF(partner_type="builder",SUM(Builder!R$9:R11),0))</f>
        <v>0</v>
      </c>
      <c r="Q44">
        <f>IF(AND(partner_type="Utility/District",Introduction!$C$17=Homes_calc!Q$34),SUM('Utility or District'!$L$9:$L11),IF(partner_type="builder",SUM(Builder!S$9:S11),0))</f>
        <v>0</v>
      </c>
      <c r="R44">
        <f>IF(AND(partner_type="Utility/District",Introduction!$C$17=Homes_calc!R$34),SUM('Utility or District'!$L$9:$L11),IF(partner_type="builder",SUM(Builder!T$9:T11),0))</f>
        <v>0</v>
      </c>
      <c r="S44">
        <f>IF(AND(partner_type="Utility/District",Introduction!$C$17=Homes_calc!S$34),SUM('Utility or District'!$L$9:$L11),IF(partner_type="builder",SUM(Builder!U$9:U11),0))</f>
        <v>0</v>
      </c>
      <c r="T44">
        <f>IF(AND(partner_type="Utility/District",Introduction!$C$17=Homes_calc!T$34),SUM('Utility or District'!$L$9:$L11),IF(partner_type="builder",SUM(Builder!V$9:V11),0))</f>
        <v>0</v>
      </c>
      <c r="U44">
        <f>IF(AND(partner_type="Utility/District",Introduction!$C$17=Homes_calc!U$34),SUM('Utility or District'!$L$9:$L11),IF(partner_type="builder",SUM(Builder!W$9:W11),0))</f>
        <v>0</v>
      </c>
      <c r="V44">
        <f>IF(AND(partner_type="Utility/District",Introduction!$C$17=Homes_calc!V$34),SUM('Utility or District'!$L$9:$L11),IF(partner_type="builder",SUM(Builder!X$9:X11),0))</f>
        <v>0</v>
      </c>
      <c r="W44">
        <f>IF(AND(partner_type="Utility/District",Introduction!$C$17=Homes_calc!W$34),SUM('Utility or District'!$L$9:$L11),IF(partner_type="builder",SUM(Builder!Y$9:Y11),0))</f>
        <v>0</v>
      </c>
      <c r="X44">
        <f>IF(AND(partner_type="Utility/District",Introduction!$C$17=Homes_calc!X$34),SUM('Utility or District'!$L$9:$L11),IF(partner_type="builder",SUM(Builder!Z$9:Z11),0))</f>
        <v>0</v>
      </c>
      <c r="Y44">
        <f>IF(AND(partner_type="Utility/District",Introduction!$C$17=Homes_calc!Y$34),SUM('Utility or District'!$L$9:$L11),IF(partner_type="builder",SUM(Builder!AA$9:AA11),0))</f>
        <v>0</v>
      </c>
      <c r="Z44">
        <f>IF(AND(partner_type="Utility/District",Introduction!$C$17=Homes_calc!Z$34),SUM('Utility or District'!$L$9:$L11),IF(partner_type="builder",SUM(Builder!AB$9:AB11),0))</f>
        <v>0</v>
      </c>
      <c r="AA44">
        <f>IF(AND(partner_type="Utility/District",Introduction!$C$17=Homes_calc!AA$34),SUM('Utility or District'!$L$9:$L11),IF(partner_type="builder",SUM(Builder!AC$9:AC11),0))</f>
        <v>0</v>
      </c>
      <c r="AB44">
        <f>IF(AND(partner_type="Utility/District",Introduction!$C$17=Homes_calc!AB$34),SUM('Utility or District'!$L$9:$L11),IF(partner_type="builder",SUM(Builder!AD$9:AD11),0))</f>
        <v>0</v>
      </c>
      <c r="AC44">
        <f>IF(AND(partner_type="Utility/District",Introduction!$C$17=Homes_calc!AC$34),SUM('Utility or District'!$L$9:$L11),IF(partner_type="builder",SUM(Builder!AE$9:AE11),0))</f>
        <v>0</v>
      </c>
      <c r="AD44">
        <f>IF(AND(partner_type="Utility/District",Introduction!$C$17=Homes_calc!AD$34),SUM('Utility or District'!$L$9:$L11),IF(partner_type="builder",SUM(Builder!AF$9:AF11),0))</f>
        <v>0</v>
      </c>
      <c r="AE44">
        <f>IF(AND(partner_type="Utility/District",Introduction!$C$17=Homes_calc!AE$34),SUM('Utility or District'!$L$9:$L11),IF(partner_type="builder",SUM(Builder!AG$9:AG11),0))</f>
        <v>0</v>
      </c>
      <c r="AF44">
        <f>IF(AND(partner_type="Utility/District",Introduction!$C$17=Homes_calc!AF$34),SUM('Utility or District'!$L$9:$L11),IF(partner_type="builder",SUM(Builder!AH$9:AH11),0))</f>
        <v>0</v>
      </c>
      <c r="AG44">
        <f>IF(AND(partner_type="Utility/District",Introduction!$C$17=Homes_calc!AG$34),SUM('Utility or District'!$L$9:$L11),IF(partner_type="builder",SUM(Builder!AI$9:AI11),0))</f>
        <v>0</v>
      </c>
      <c r="AH44">
        <f>IF(AND(partner_type="Utility/District",Introduction!$C$17=Homes_calc!AH$34),SUM('Utility or District'!$L$9:$L11),IF(partner_type="builder",SUM(Builder!AJ$9:AJ11),0))</f>
        <v>0</v>
      </c>
      <c r="AI44">
        <f>IF(AND(partner_type="Utility/District",Introduction!$C$17=Homes_calc!AI$34),SUM('Utility or District'!$L$9:$L11),IF(partner_type="builder",SUM(Builder!AK$9:AK11),0))</f>
        <v>0</v>
      </c>
      <c r="AJ44">
        <f>IF(AND(partner_type="Utility/District",Introduction!$C$17=Homes_calc!AJ$34),SUM('Utility or District'!$L$9:$L11),IF(partner_type="builder",SUM(Builder!AL$9:AL11),0))</f>
        <v>0</v>
      </c>
      <c r="AK44">
        <f>IF(AND(partner_type="Utility/District",Introduction!$C$17=Homes_calc!AK$34),SUM('Utility or District'!$L$9:$L11),IF(partner_type="builder",SUM(Builder!AM$9:AM11),0))</f>
        <v>0</v>
      </c>
      <c r="AL44">
        <f>IF(AND(partner_type="Utility/District",Introduction!$C$17=Homes_calc!AL$34),SUM('Utility or District'!$L$9:$L11),IF(partner_type="builder",SUM(Builder!AN$9:AN11),0))</f>
        <v>0</v>
      </c>
      <c r="AM44">
        <f>IF(AND(partner_type="Utility/District",Introduction!$C$17=Homes_calc!AM$34),SUM('Utility or District'!$L$9:$L11),IF(partner_type="builder",SUM(Builder!AO$9:AO11),0))</f>
        <v>0</v>
      </c>
      <c r="AN44">
        <f>IF(AND(partner_type="Utility/District",Introduction!$C$17=Homes_calc!AN$34),SUM('Utility or District'!$L$9:$L11),IF(partner_type="builder",SUM(Builder!AP$9:AP11),0))</f>
        <v>0</v>
      </c>
      <c r="AO44">
        <f>IF(AND(partner_type="Utility/District",Introduction!$C$17=Homes_calc!AO$34),SUM('Utility or District'!$L$9:$L11),IF(partner_type="builder",SUM(Builder!AQ$9:AQ11),0))</f>
        <v>0</v>
      </c>
      <c r="AP44">
        <f>IF(AND(partner_type="Utility/District",Introduction!$C$17=Homes_calc!AP$34),SUM('Utility or District'!$L$9:$L11),IF(partner_type="builder",SUM(Builder!AR$9:AR11),0))</f>
        <v>0</v>
      </c>
      <c r="AQ44">
        <f>IF(AND(partner_type="Utility/District",Introduction!$C$17=Homes_calc!AQ$34),SUM('Utility or District'!$L$9:$L11),IF(partner_type="builder",SUM(Builder!AS$9:AS11),0))</f>
        <v>0</v>
      </c>
      <c r="AR44">
        <f>IF(AND(partner_type="Utility/District",Introduction!$C$17=Homes_calc!AR$34),SUM('Utility or District'!$L$9:$L11),IF(partner_type="builder",SUM(Builder!AT$9:AT11),0))</f>
        <v>0</v>
      </c>
      <c r="AS44">
        <f>IF(AND(partner_type="Utility/District",Introduction!$C$17=Homes_calc!AS$34),SUM('Utility or District'!$L$9:$L11),IF(partner_type="builder",SUM(Builder!AU$9:AU11),0))</f>
        <v>0</v>
      </c>
      <c r="AT44">
        <f>IF(AND(partner_type="Utility/District",Introduction!$C$17=Homes_calc!AT$34),SUM('Utility or District'!$L$9:$L11),IF(partner_type="builder",SUM(Builder!AV$9:AV11),0))</f>
        <v>0</v>
      </c>
      <c r="AU44">
        <f>IF(AND(partner_type="Utility/District",Introduction!$C$17=Homes_calc!AU$34),SUM('Utility or District'!$L$9:$L11),IF(partner_type="builder",SUM(Builder!AW$9:AW11),0))</f>
        <v>0</v>
      </c>
      <c r="AV44">
        <f>IF(AND(partner_type="Utility/District",Introduction!$C$17=Homes_calc!AV$34),SUM('Utility or District'!$L$9:$L11),IF(partner_type="builder",SUM(Builder!AX$9:AX11),0))</f>
        <v>0</v>
      </c>
      <c r="AW44">
        <f>IF(AND(partner_type="Utility/District",Introduction!$C$17=Homes_calc!AW$34),SUM('Utility or District'!$L$9:$L11),IF(partner_type="builder",SUM(Builder!AY$9:AY11),0))</f>
        <v>0</v>
      </c>
      <c r="AX44">
        <f>IF(AND(partner_type="Utility/District",Introduction!$C$17=Homes_calc!AX$34),SUM('Utility or District'!$L$9:$L11),IF(partner_type="builder",SUM(Builder!AZ$9:AZ11),0))</f>
        <v>0</v>
      </c>
      <c r="AY44">
        <f>IF(AND(partner_type="Utility/District",Introduction!$C$17=Homes_calc!AY$34),SUM('Utility or District'!$L$9:$L11),IF(partner_type="builder",SUM(Builder!BA$9:BA11),0))</f>
        <v>0</v>
      </c>
      <c r="AZ44">
        <f>IF(AND(partner_type="Utility/District",Introduction!$C$17=Homes_calc!AZ$34),SUM('Utility or District'!$L$9:$L11),IF(partner_type="builder",SUM(Builder!BB$9:BB11),0))</f>
        <v>0</v>
      </c>
      <c r="BA44">
        <f>IF(AND(partner_type="Utility/District",Introduction!$C$17=Homes_calc!BA$34),SUM('Utility or District'!$L$9:$L11),IF(partner_type="builder",SUM(Builder!BC$9:BC11),0))</f>
        <v>0</v>
      </c>
    </row>
    <row r="45" spans="1:53">
      <c r="B45" s="226">
        <v>2012</v>
      </c>
      <c r="C45">
        <f>IF(AND(partner_type="Utility/District",Introduction!$C$17=Homes_calc!C$34),SUM('Utility or District'!$L$9:$L12),IF(partner_type="builder",SUM(Builder!E$9:E12),0))</f>
        <v>0</v>
      </c>
      <c r="D45">
        <f>IF(AND(partner_type="Utility/District",Introduction!$C$17=Homes_calc!D$34),SUM('Utility or District'!$L$9:$L12),IF(partner_type="builder",SUM(Builder!F$9:F12),0))</f>
        <v>0</v>
      </c>
      <c r="E45">
        <f>IF(AND(partner_type="Utility/District",Introduction!$C$17=Homes_calc!E$34),SUM('Utility or District'!$L$9:$L12),IF(partner_type="builder",SUM(Builder!G$9:G12),0))</f>
        <v>0</v>
      </c>
      <c r="F45">
        <f>IF(AND(partner_type="Utility/District",Introduction!$C$17=Homes_calc!F$34),SUM('Utility or District'!$L$9:$L12),IF(partner_type="builder",SUM(Builder!H$9:H12),0))</f>
        <v>0</v>
      </c>
      <c r="G45">
        <f>IF(AND(partner_type="Utility/District",Introduction!$C$17=Homes_calc!G$34),SUM('Utility or District'!$L$9:$L12),IF(partner_type="builder",SUM(Builder!I$9:I12),0))</f>
        <v>0</v>
      </c>
      <c r="H45">
        <f>IF(AND(partner_type="Utility/District",Introduction!$C$17=Homes_calc!H$34),SUM('Utility or District'!$L$9:$L12),IF(partner_type="builder",SUM(Builder!J$9:J12),0))</f>
        <v>0</v>
      </c>
      <c r="I45">
        <f>IF(AND(partner_type="Utility/District",Introduction!$C$17=Homes_calc!I$34),SUM('Utility or District'!$L$9:$L12),IF(partner_type="builder",SUM(Builder!K$9:K12),0))</f>
        <v>0</v>
      </c>
      <c r="J45">
        <f>IF(AND(partner_type="Utility/District",Introduction!$C$17=Homes_calc!J$34),SUM('Utility or District'!$L$9:$L12),IF(partner_type="builder",SUM(Builder!L$9:L12),0))</f>
        <v>0</v>
      </c>
      <c r="K45">
        <f>IF(AND(partner_type="Utility/District",Introduction!$C$17=Homes_calc!K$34),SUM('Utility or District'!$L$9:$L12),IF(partner_type="builder",SUM(Builder!M$9:M12),0))</f>
        <v>0</v>
      </c>
      <c r="L45">
        <f>IF(AND(partner_type="Utility/District",Introduction!$C$17=Homes_calc!L$34),SUM('Utility or District'!$L$9:$L12),IF(partner_type="builder",SUM(Builder!N$9:N12),0))</f>
        <v>0</v>
      </c>
      <c r="M45">
        <f>IF(AND(partner_type="Utility/District",Introduction!$C$17=Homes_calc!M$34),SUM('Utility or District'!$L$9:$L12),IF(partner_type="builder",SUM(Builder!O$9:O12),0))</f>
        <v>0</v>
      </c>
      <c r="N45">
        <f>IF(AND(partner_type="Utility/District",Introduction!$C$17=Homes_calc!N$34),SUM('Utility or District'!$L$9:$L12),IF(partner_type="builder",SUM(Builder!P$9:P12),0))</f>
        <v>0</v>
      </c>
      <c r="O45">
        <f>IF(AND(partner_type="Utility/District",Introduction!$C$17=Homes_calc!O$34),SUM('Utility or District'!$L$9:$L12),IF(partner_type="builder",SUM(Builder!Q$9:Q12),0))</f>
        <v>0</v>
      </c>
      <c r="P45">
        <f>IF(AND(partner_type="Utility/District",Introduction!$C$17=Homes_calc!P$34),SUM('Utility or District'!$L$9:$L12),IF(partner_type="builder",SUM(Builder!R$9:R12),0))</f>
        <v>0</v>
      </c>
      <c r="Q45">
        <f>IF(AND(partner_type="Utility/District",Introduction!$C$17=Homes_calc!Q$34),SUM('Utility or District'!$L$9:$L12),IF(partner_type="builder",SUM(Builder!S$9:S12),0))</f>
        <v>0</v>
      </c>
      <c r="R45">
        <f>IF(AND(partner_type="Utility/District",Introduction!$C$17=Homes_calc!R$34),SUM('Utility or District'!$L$9:$L12),IF(partner_type="builder",SUM(Builder!T$9:T12),0))</f>
        <v>0</v>
      </c>
      <c r="S45">
        <f>IF(AND(partner_type="Utility/District",Introduction!$C$17=Homes_calc!S$34),SUM('Utility or District'!$L$9:$L12),IF(partner_type="builder",SUM(Builder!U$9:U12),0))</f>
        <v>0</v>
      </c>
      <c r="T45">
        <f>IF(AND(partner_type="Utility/District",Introduction!$C$17=Homes_calc!T$34),SUM('Utility or District'!$L$9:$L12),IF(partner_type="builder",SUM(Builder!V$9:V12),0))</f>
        <v>0</v>
      </c>
      <c r="U45">
        <f>IF(AND(partner_type="Utility/District",Introduction!$C$17=Homes_calc!U$34),SUM('Utility or District'!$L$9:$L12),IF(partner_type="builder",SUM(Builder!W$9:W12),0))</f>
        <v>0</v>
      </c>
      <c r="V45">
        <f>IF(AND(partner_type="Utility/District",Introduction!$C$17=Homes_calc!V$34),SUM('Utility or District'!$L$9:$L12),IF(partner_type="builder",SUM(Builder!X$9:X12),0))</f>
        <v>0</v>
      </c>
      <c r="W45">
        <f>IF(AND(partner_type="Utility/District",Introduction!$C$17=Homes_calc!W$34),SUM('Utility or District'!$L$9:$L12),IF(partner_type="builder",SUM(Builder!Y$9:Y12),0))</f>
        <v>0</v>
      </c>
      <c r="X45">
        <f>IF(AND(partner_type="Utility/District",Introduction!$C$17=Homes_calc!X$34),SUM('Utility or District'!$L$9:$L12),IF(partner_type="builder",SUM(Builder!Z$9:Z12),0))</f>
        <v>0</v>
      </c>
      <c r="Y45">
        <f>IF(AND(partner_type="Utility/District",Introduction!$C$17=Homes_calc!Y$34),SUM('Utility or District'!$L$9:$L12),IF(partner_type="builder",SUM(Builder!AA$9:AA12),0))</f>
        <v>0</v>
      </c>
      <c r="Z45">
        <f>IF(AND(partner_type="Utility/District",Introduction!$C$17=Homes_calc!Z$34),SUM('Utility or District'!$L$9:$L12),IF(partner_type="builder",SUM(Builder!AB$9:AB12),0))</f>
        <v>0</v>
      </c>
      <c r="AA45">
        <f>IF(AND(partner_type="Utility/District",Introduction!$C$17=Homes_calc!AA$34),SUM('Utility or District'!$L$9:$L12),IF(partner_type="builder",SUM(Builder!AC$9:AC12),0))</f>
        <v>0</v>
      </c>
      <c r="AB45">
        <f>IF(AND(partner_type="Utility/District",Introduction!$C$17=Homes_calc!AB$34),SUM('Utility or District'!$L$9:$L12),IF(partner_type="builder",SUM(Builder!AD$9:AD12),0))</f>
        <v>0</v>
      </c>
      <c r="AC45">
        <f>IF(AND(partner_type="Utility/District",Introduction!$C$17=Homes_calc!AC$34),SUM('Utility or District'!$L$9:$L12),IF(partner_type="builder",SUM(Builder!AE$9:AE12),0))</f>
        <v>0</v>
      </c>
      <c r="AD45">
        <f>IF(AND(partner_type="Utility/District",Introduction!$C$17=Homes_calc!AD$34),SUM('Utility or District'!$L$9:$L12),IF(partner_type="builder",SUM(Builder!AF$9:AF12),0))</f>
        <v>0</v>
      </c>
      <c r="AE45">
        <f>IF(AND(partner_type="Utility/District",Introduction!$C$17=Homes_calc!AE$34),SUM('Utility or District'!$L$9:$L12),IF(partner_type="builder",SUM(Builder!AG$9:AG12),0))</f>
        <v>0</v>
      </c>
      <c r="AF45">
        <f>IF(AND(partner_type="Utility/District",Introduction!$C$17=Homes_calc!AF$34),SUM('Utility or District'!$L$9:$L12),IF(partner_type="builder",SUM(Builder!AH$9:AH12),0))</f>
        <v>0</v>
      </c>
      <c r="AG45">
        <f>IF(AND(partner_type="Utility/District",Introduction!$C$17=Homes_calc!AG$34),SUM('Utility or District'!$L$9:$L12),IF(partner_type="builder",SUM(Builder!AI$9:AI12),0))</f>
        <v>0</v>
      </c>
      <c r="AH45">
        <f>IF(AND(partner_type="Utility/District",Introduction!$C$17=Homes_calc!AH$34),SUM('Utility or District'!$L$9:$L12),IF(partner_type="builder",SUM(Builder!AJ$9:AJ12),0))</f>
        <v>0</v>
      </c>
      <c r="AI45">
        <f>IF(AND(partner_type="Utility/District",Introduction!$C$17=Homes_calc!AI$34),SUM('Utility or District'!$L$9:$L12),IF(partner_type="builder",SUM(Builder!AK$9:AK12),0))</f>
        <v>0</v>
      </c>
      <c r="AJ45">
        <f>IF(AND(partner_type="Utility/District",Introduction!$C$17=Homes_calc!AJ$34),SUM('Utility or District'!$L$9:$L12),IF(partner_type="builder",SUM(Builder!AL$9:AL12),0))</f>
        <v>0</v>
      </c>
      <c r="AK45">
        <f>IF(AND(partner_type="Utility/District",Introduction!$C$17=Homes_calc!AK$34),SUM('Utility or District'!$L$9:$L12),IF(partner_type="builder",SUM(Builder!AM$9:AM12),0))</f>
        <v>0</v>
      </c>
      <c r="AL45">
        <f>IF(AND(partner_type="Utility/District",Introduction!$C$17=Homes_calc!AL$34),SUM('Utility or District'!$L$9:$L12),IF(partner_type="builder",SUM(Builder!AN$9:AN12),0))</f>
        <v>0</v>
      </c>
      <c r="AM45">
        <f>IF(AND(partner_type="Utility/District",Introduction!$C$17=Homes_calc!AM$34),SUM('Utility or District'!$L$9:$L12),IF(partner_type="builder",SUM(Builder!AO$9:AO12),0))</f>
        <v>0</v>
      </c>
      <c r="AN45">
        <f>IF(AND(partner_type="Utility/District",Introduction!$C$17=Homes_calc!AN$34),SUM('Utility or District'!$L$9:$L12),IF(partner_type="builder",SUM(Builder!AP$9:AP12),0))</f>
        <v>0</v>
      </c>
      <c r="AO45">
        <f>IF(AND(partner_type="Utility/District",Introduction!$C$17=Homes_calc!AO$34),SUM('Utility or District'!$L$9:$L12),IF(partner_type="builder",SUM(Builder!AQ$9:AQ12),0))</f>
        <v>0</v>
      </c>
      <c r="AP45">
        <f>IF(AND(partner_type="Utility/District",Introduction!$C$17=Homes_calc!AP$34),SUM('Utility or District'!$L$9:$L12),IF(partner_type="builder",SUM(Builder!AR$9:AR12),0))</f>
        <v>0</v>
      </c>
      <c r="AQ45">
        <f>IF(AND(partner_type="Utility/District",Introduction!$C$17=Homes_calc!AQ$34),SUM('Utility or District'!$L$9:$L12),IF(partner_type="builder",SUM(Builder!AS$9:AS12),0))</f>
        <v>0</v>
      </c>
      <c r="AR45">
        <f>IF(AND(partner_type="Utility/District",Introduction!$C$17=Homes_calc!AR$34),SUM('Utility or District'!$L$9:$L12),IF(partner_type="builder",SUM(Builder!AT$9:AT12),0))</f>
        <v>0</v>
      </c>
      <c r="AS45">
        <f>IF(AND(partner_type="Utility/District",Introduction!$C$17=Homes_calc!AS$34),SUM('Utility or District'!$L$9:$L12),IF(partner_type="builder",SUM(Builder!AU$9:AU12),0))</f>
        <v>0</v>
      </c>
      <c r="AT45">
        <f>IF(AND(partner_type="Utility/District",Introduction!$C$17=Homes_calc!AT$34),SUM('Utility or District'!$L$9:$L12),IF(partner_type="builder",SUM(Builder!AV$9:AV12),0))</f>
        <v>0</v>
      </c>
      <c r="AU45">
        <f>IF(AND(partner_type="Utility/District",Introduction!$C$17=Homes_calc!AU$34),SUM('Utility or District'!$L$9:$L12),IF(partner_type="builder",SUM(Builder!AW$9:AW12),0))</f>
        <v>0</v>
      </c>
      <c r="AV45">
        <f>IF(AND(partner_type="Utility/District",Introduction!$C$17=Homes_calc!AV$34),SUM('Utility or District'!$L$9:$L12),IF(partner_type="builder",SUM(Builder!AX$9:AX12),0))</f>
        <v>0</v>
      </c>
      <c r="AW45">
        <f>IF(AND(partner_type="Utility/District",Introduction!$C$17=Homes_calc!AW$34),SUM('Utility or District'!$L$9:$L12),IF(partner_type="builder",SUM(Builder!AY$9:AY12),0))</f>
        <v>0</v>
      </c>
      <c r="AX45">
        <f>IF(AND(partner_type="Utility/District",Introduction!$C$17=Homes_calc!AX$34),SUM('Utility or District'!$L$9:$L12),IF(partner_type="builder",SUM(Builder!AZ$9:AZ12),0))</f>
        <v>0</v>
      </c>
      <c r="AY45">
        <f>IF(AND(partner_type="Utility/District",Introduction!$C$17=Homes_calc!AY$34),SUM('Utility or District'!$L$9:$L12),IF(partner_type="builder",SUM(Builder!BA$9:BA12),0))</f>
        <v>0</v>
      </c>
      <c r="AZ45">
        <f>IF(AND(partner_type="Utility/District",Introduction!$C$17=Homes_calc!AZ$34),SUM('Utility or District'!$L$9:$L12),IF(partner_type="builder",SUM(Builder!BB$9:BB12),0))</f>
        <v>0</v>
      </c>
      <c r="BA45">
        <f>IF(AND(partner_type="Utility/District",Introduction!$C$17=Homes_calc!BA$34),SUM('Utility or District'!$L$9:$L12),IF(partner_type="builder",SUM(Builder!BC$9:BC12),0))</f>
        <v>0</v>
      </c>
    </row>
    <row r="46" spans="1:53">
      <c r="B46" s="228">
        <v>2013</v>
      </c>
      <c r="C46">
        <f>IF(AND(partner_type="Utility/District",Introduction!$C$17=Homes_calc!C$34),SUM('Utility or District'!$L$9:$L13),IF(partner_type="builder",SUM(Builder!E$9:E13),0))</f>
        <v>0</v>
      </c>
      <c r="D46">
        <f>IF(AND(partner_type="Utility/District",Introduction!$C$17=Homes_calc!D$34),SUM('Utility or District'!$L$9:$L13),IF(partner_type="builder",SUM(Builder!F$9:F13),0))</f>
        <v>0</v>
      </c>
      <c r="E46">
        <f>IF(AND(partner_type="Utility/District",Introduction!$C$17=Homes_calc!E$34),SUM('Utility or District'!$L$9:$L13),IF(partner_type="builder",SUM(Builder!G$9:G13),0))</f>
        <v>0</v>
      </c>
      <c r="F46">
        <f>IF(AND(partner_type="Utility/District",Introduction!$C$17=Homes_calc!F$34),SUM('Utility or District'!$L$9:$L13),IF(partner_type="builder",SUM(Builder!H$9:H13),0))</f>
        <v>0</v>
      </c>
      <c r="G46">
        <f>IF(AND(partner_type="Utility/District",Introduction!$C$17=Homes_calc!G$34),SUM('Utility or District'!$L$9:$L13),IF(partner_type="builder",SUM(Builder!I$9:I13),0))</f>
        <v>0</v>
      </c>
      <c r="H46">
        <f>IF(AND(partner_type="Utility/District",Introduction!$C$17=Homes_calc!H$34),SUM('Utility or District'!$L$9:$L13),IF(partner_type="builder",SUM(Builder!J$9:J13),0))</f>
        <v>0</v>
      </c>
      <c r="I46">
        <f>IF(AND(partner_type="Utility/District",Introduction!$C$17=Homes_calc!I$34),SUM('Utility or District'!$L$9:$L13),IF(partner_type="builder",SUM(Builder!K$9:K13),0))</f>
        <v>0</v>
      </c>
      <c r="J46">
        <f>IF(AND(partner_type="Utility/District",Introduction!$C$17=Homes_calc!J$34),SUM('Utility or District'!$L$9:$L13),IF(partner_type="builder",SUM(Builder!L$9:L13),0))</f>
        <v>0</v>
      </c>
      <c r="K46">
        <f>IF(AND(partner_type="Utility/District",Introduction!$C$17=Homes_calc!K$34),SUM('Utility or District'!$L$9:$L13),IF(partner_type="builder",SUM(Builder!M$9:M13),0))</f>
        <v>0</v>
      </c>
      <c r="L46">
        <f>IF(AND(partner_type="Utility/District",Introduction!$C$17=Homes_calc!L$34),SUM('Utility or District'!$L$9:$L13),IF(partner_type="builder",SUM(Builder!N$9:N13),0))</f>
        <v>0</v>
      </c>
      <c r="M46">
        <f>IF(AND(partner_type="Utility/District",Introduction!$C$17=Homes_calc!M$34),SUM('Utility or District'!$L$9:$L13),IF(partner_type="builder",SUM(Builder!O$9:O13),0))</f>
        <v>0</v>
      </c>
      <c r="N46">
        <f>IF(AND(partner_type="Utility/District",Introduction!$C$17=Homes_calc!N$34),SUM('Utility or District'!$L$9:$L13),IF(partner_type="builder",SUM(Builder!P$9:P13),0))</f>
        <v>0</v>
      </c>
      <c r="O46">
        <f>IF(AND(partner_type="Utility/District",Introduction!$C$17=Homes_calc!O$34),SUM('Utility or District'!$L$9:$L13),IF(partner_type="builder",SUM(Builder!Q$9:Q13),0))</f>
        <v>0</v>
      </c>
      <c r="P46">
        <f>IF(AND(partner_type="Utility/District",Introduction!$C$17=Homes_calc!P$34),SUM('Utility or District'!$L$9:$L13),IF(partner_type="builder",SUM(Builder!R$9:R13),0))</f>
        <v>0</v>
      </c>
      <c r="Q46">
        <f>IF(AND(partner_type="Utility/District",Introduction!$C$17=Homes_calc!Q$34),SUM('Utility or District'!$L$9:$L13),IF(partner_type="builder",SUM(Builder!S$9:S13),0))</f>
        <v>0</v>
      </c>
      <c r="R46">
        <f>IF(AND(partner_type="Utility/District",Introduction!$C$17=Homes_calc!R$34),SUM('Utility or District'!$L$9:$L13),IF(partner_type="builder",SUM(Builder!T$9:T13),0))</f>
        <v>0</v>
      </c>
      <c r="S46">
        <f>IF(AND(partner_type="Utility/District",Introduction!$C$17=Homes_calc!S$34),SUM('Utility or District'!$L$9:$L13),IF(partner_type="builder",SUM(Builder!U$9:U13),0))</f>
        <v>0</v>
      </c>
      <c r="T46">
        <f>IF(AND(partner_type="Utility/District",Introduction!$C$17=Homes_calc!T$34),SUM('Utility or District'!$L$9:$L13),IF(partner_type="builder",SUM(Builder!V$9:V13),0))</f>
        <v>0</v>
      </c>
      <c r="U46">
        <f>IF(AND(partner_type="Utility/District",Introduction!$C$17=Homes_calc!U$34),SUM('Utility or District'!$L$9:$L13),IF(partner_type="builder",SUM(Builder!W$9:W13),0))</f>
        <v>0</v>
      </c>
      <c r="V46">
        <f>IF(AND(partner_type="Utility/District",Introduction!$C$17=Homes_calc!V$34),SUM('Utility or District'!$L$9:$L13),IF(partner_type="builder",SUM(Builder!X$9:X13),0))</f>
        <v>0</v>
      </c>
      <c r="W46">
        <f>IF(AND(partner_type="Utility/District",Introduction!$C$17=Homes_calc!W$34),SUM('Utility or District'!$L$9:$L13),IF(partner_type="builder",SUM(Builder!Y$9:Y13),0))</f>
        <v>0</v>
      </c>
      <c r="X46">
        <f>IF(AND(partner_type="Utility/District",Introduction!$C$17=Homes_calc!X$34),SUM('Utility or District'!$L$9:$L13),IF(partner_type="builder",SUM(Builder!Z$9:Z13),0))</f>
        <v>0</v>
      </c>
      <c r="Y46">
        <f>IF(AND(partner_type="Utility/District",Introduction!$C$17=Homes_calc!Y$34),SUM('Utility or District'!$L$9:$L13),IF(partner_type="builder",SUM(Builder!AA$9:AA13),0))</f>
        <v>0</v>
      </c>
      <c r="Z46">
        <f>IF(AND(partner_type="Utility/District",Introduction!$C$17=Homes_calc!Z$34),SUM('Utility or District'!$L$9:$L13),IF(partner_type="builder",SUM(Builder!AB$9:AB13),0))</f>
        <v>0</v>
      </c>
      <c r="AA46">
        <f>IF(AND(partner_type="Utility/District",Introduction!$C$17=Homes_calc!AA$34),SUM('Utility or District'!$L$9:$L13),IF(partner_type="builder",SUM(Builder!AC$9:AC13),0))</f>
        <v>0</v>
      </c>
      <c r="AB46">
        <f>IF(AND(partner_type="Utility/District",Introduction!$C$17=Homes_calc!AB$34),SUM('Utility or District'!$L$9:$L13),IF(partner_type="builder",SUM(Builder!AD$9:AD13),0))</f>
        <v>0</v>
      </c>
      <c r="AC46">
        <f>IF(AND(partner_type="Utility/District",Introduction!$C$17=Homes_calc!AC$34),SUM('Utility or District'!$L$9:$L13),IF(partner_type="builder",SUM(Builder!AE$9:AE13),0))</f>
        <v>0</v>
      </c>
      <c r="AD46">
        <f>IF(AND(partner_type="Utility/District",Introduction!$C$17=Homes_calc!AD$34),SUM('Utility or District'!$L$9:$L13),IF(partner_type="builder",SUM(Builder!AF$9:AF13),0))</f>
        <v>0</v>
      </c>
      <c r="AE46">
        <f>IF(AND(partner_type="Utility/District",Introduction!$C$17=Homes_calc!AE$34),SUM('Utility or District'!$L$9:$L13),IF(partner_type="builder",SUM(Builder!AG$9:AG13),0))</f>
        <v>0</v>
      </c>
      <c r="AF46">
        <f>IF(AND(partner_type="Utility/District",Introduction!$C$17=Homes_calc!AF$34),SUM('Utility or District'!$L$9:$L13),IF(partner_type="builder",SUM(Builder!AH$9:AH13),0))</f>
        <v>0</v>
      </c>
      <c r="AG46">
        <f>IF(AND(partner_type="Utility/District",Introduction!$C$17=Homes_calc!AG$34),SUM('Utility or District'!$L$9:$L13),IF(partner_type="builder",SUM(Builder!AI$9:AI13),0))</f>
        <v>0</v>
      </c>
      <c r="AH46">
        <f>IF(AND(partner_type="Utility/District",Introduction!$C$17=Homes_calc!AH$34),SUM('Utility or District'!$L$9:$L13),IF(partner_type="builder",SUM(Builder!AJ$9:AJ13),0))</f>
        <v>0</v>
      </c>
      <c r="AI46">
        <f>IF(AND(partner_type="Utility/District",Introduction!$C$17=Homes_calc!AI$34),SUM('Utility or District'!$L$9:$L13),IF(partner_type="builder",SUM(Builder!AK$9:AK13),0))</f>
        <v>0</v>
      </c>
      <c r="AJ46">
        <f>IF(AND(partner_type="Utility/District",Introduction!$C$17=Homes_calc!AJ$34),SUM('Utility or District'!$L$9:$L13),IF(partner_type="builder",SUM(Builder!AL$9:AL13),0))</f>
        <v>0</v>
      </c>
      <c r="AK46">
        <f>IF(AND(partner_type="Utility/District",Introduction!$C$17=Homes_calc!AK$34),SUM('Utility or District'!$L$9:$L13),IF(partner_type="builder",SUM(Builder!AM$9:AM13),0))</f>
        <v>0</v>
      </c>
      <c r="AL46">
        <f>IF(AND(partner_type="Utility/District",Introduction!$C$17=Homes_calc!AL$34),SUM('Utility or District'!$L$9:$L13),IF(partner_type="builder",SUM(Builder!AN$9:AN13),0))</f>
        <v>0</v>
      </c>
      <c r="AM46">
        <f>IF(AND(partner_type="Utility/District",Introduction!$C$17=Homes_calc!AM$34),SUM('Utility or District'!$L$9:$L13),IF(partner_type="builder",SUM(Builder!AO$9:AO13),0))</f>
        <v>0</v>
      </c>
      <c r="AN46">
        <f>IF(AND(partner_type="Utility/District",Introduction!$C$17=Homes_calc!AN$34),SUM('Utility or District'!$L$9:$L13),IF(partner_type="builder",SUM(Builder!AP$9:AP13),0))</f>
        <v>0</v>
      </c>
      <c r="AO46">
        <f>IF(AND(partner_type="Utility/District",Introduction!$C$17=Homes_calc!AO$34),SUM('Utility or District'!$L$9:$L13),IF(partner_type="builder",SUM(Builder!AQ$9:AQ13),0))</f>
        <v>0</v>
      </c>
      <c r="AP46">
        <f>IF(AND(partner_type="Utility/District",Introduction!$C$17=Homes_calc!AP$34),SUM('Utility or District'!$L$9:$L13),IF(partner_type="builder",SUM(Builder!AR$9:AR13),0))</f>
        <v>0</v>
      </c>
      <c r="AQ46">
        <f>IF(AND(partner_type="Utility/District",Introduction!$C$17=Homes_calc!AQ$34),SUM('Utility or District'!$L$9:$L13),IF(partner_type="builder",SUM(Builder!AS$9:AS13),0))</f>
        <v>0</v>
      </c>
      <c r="AR46">
        <f>IF(AND(partner_type="Utility/District",Introduction!$C$17=Homes_calc!AR$34),SUM('Utility or District'!$L$9:$L13),IF(partner_type="builder",SUM(Builder!AT$9:AT13),0))</f>
        <v>0</v>
      </c>
      <c r="AS46">
        <f>IF(AND(partner_type="Utility/District",Introduction!$C$17=Homes_calc!AS$34),SUM('Utility or District'!$L$9:$L13),IF(partner_type="builder",SUM(Builder!AU$9:AU13),0))</f>
        <v>0</v>
      </c>
      <c r="AT46">
        <f>IF(AND(partner_type="Utility/District",Introduction!$C$17=Homes_calc!AT$34),SUM('Utility or District'!$L$9:$L13),IF(partner_type="builder",SUM(Builder!AV$9:AV13),0))</f>
        <v>0</v>
      </c>
      <c r="AU46">
        <f>IF(AND(partner_type="Utility/District",Introduction!$C$17=Homes_calc!AU$34),SUM('Utility or District'!$L$9:$L13),IF(partner_type="builder",SUM(Builder!AW$9:AW13),0))</f>
        <v>0</v>
      </c>
      <c r="AV46">
        <f>IF(AND(partner_type="Utility/District",Introduction!$C$17=Homes_calc!AV$34),SUM('Utility or District'!$L$9:$L13),IF(partner_type="builder",SUM(Builder!AX$9:AX13),0))</f>
        <v>0</v>
      </c>
      <c r="AW46">
        <f>IF(AND(partner_type="Utility/District",Introduction!$C$17=Homes_calc!AW$34),SUM('Utility or District'!$L$9:$L13),IF(partner_type="builder",SUM(Builder!AY$9:AY13),0))</f>
        <v>0</v>
      </c>
      <c r="AX46">
        <f>IF(AND(partner_type="Utility/District",Introduction!$C$17=Homes_calc!AX$34),SUM('Utility or District'!$L$9:$L13),IF(partner_type="builder",SUM(Builder!AZ$9:AZ13),0))</f>
        <v>0</v>
      </c>
      <c r="AY46">
        <f>IF(AND(partner_type="Utility/District",Introduction!$C$17=Homes_calc!AY$34),SUM('Utility or District'!$L$9:$L13),IF(partner_type="builder",SUM(Builder!BA$9:BA13),0))</f>
        <v>0</v>
      </c>
      <c r="AZ46">
        <f>IF(AND(partner_type="Utility/District",Introduction!$C$17=Homes_calc!AZ$34),SUM('Utility or District'!$L$9:$L13),IF(partner_type="builder",SUM(Builder!BB$9:BB13),0))</f>
        <v>0</v>
      </c>
      <c r="BA46">
        <f>IF(AND(partner_type="Utility/District",Introduction!$C$17=Homes_calc!BA$34),SUM('Utility or District'!$L$9:$L13),IF(partner_type="builder",SUM(Builder!BC$9:BC13),0))</f>
        <v>0</v>
      </c>
    </row>
    <row r="47" spans="1:53">
      <c r="B47" s="226">
        <v>2014</v>
      </c>
      <c r="C47">
        <f>IF(AND(partner_type="Utility/District",Introduction!$C$17=Homes_calc!C$34),SUM('Utility or District'!$L$9:$L14),IF(partner_type="builder",SUM(Builder!E$9:E14),0))</f>
        <v>0</v>
      </c>
      <c r="D47">
        <f>IF(AND(partner_type="Utility/District",Introduction!$C$17=Homes_calc!D$34),SUM('Utility or District'!$L$9:$L14),IF(partner_type="builder",SUM(Builder!F$9:F14),0))</f>
        <v>0</v>
      </c>
      <c r="E47">
        <f>IF(AND(partner_type="Utility/District",Introduction!$C$17=Homes_calc!E$34),SUM('Utility or District'!$L$9:$L14),IF(partner_type="builder",SUM(Builder!G$9:G14),0))</f>
        <v>0</v>
      </c>
      <c r="F47">
        <f>IF(AND(partner_type="Utility/District",Introduction!$C$17=Homes_calc!F$34),SUM('Utility or District'!$L$9:$L14),IF(partner_type="builder",SUM(Builder!H$9:H14),0))</f>
        <v>0</v>
      </c>
      <c r="G47">
        <f>IF(AND(partner_type="Utility/District",Introduction!$C$17=Homes_calc!G$34),SUM('Utility or District'!$L$9:$L14),IF(partner_type="builder",SUM(Builder!I$9:I14),0))</f>
        <v>0</v>
      </c>
      <c r="H47">
        <f>IF(AND(partner_type="Utility/District",Introduction!$C$17=Homes_calc!H$34),SUM('Utility or District'!$L$9:$L14),IF(partner_type="builder",SUM(Builder!J$9:J14),0))</f>
        <v>0</v>
      </c>
      <c r="I47">
        <f>IF(AND(partner_type="Utility/District",Introduction!$C$17=Homes_calc!I$34),SUM('Utility or District'!$L$9:$L14),IF(partner_type="builder",SUM(Builder!K$9:K14),0))</f>
        <v>0</v>
      </c>
      <c r="J47">
        <f>IF(AND(partner_type="Utility/District",Introduction!$C$17=Homes_calc!J$34),SUM('Utility or District'!$L$9:$L14),IF(partner_type="builder",SUM(Builder!L$9:L14),0))</f>
        <v>0</v>
      </c>
      <c r="K47">
        <f>IF(AND(partner_type="Utility/District",Introduction!$C$17=Homes_calc!K$34),SUM('Utility or District'!$L$9:$L14),IF(partner_type="builder",SUM(Builder!M$9:M14),0))</f>
        <v>0</v>
      </c>
      <c r="L47">
        <f>IF(AND(partner_type="Utility/District",Introduction!$C$17=Homes_calc!L$34),SUM('Utility or District'!$L$9:$L14),IF(partner_type="builder",SUM(Builder!N$9:N14),0))</f>
        <v>0</v>
      </c>
      <c r="M47">
        <f>IF(AND(partner_type="Utility/District",Introduction!$C$17=Homes_calc!M$34),SUM('Utility or District'!$L$9:$L14),IF(partner_type="builder",SUM(Builder!O$9:O14),0))</f>
        <v>0</v>
      </c>
      <c r="N47">
        <f>IF(AND(partner_type="Utility/District",Introduction!$C$17=Homes_calc!N$34),SUM('Utility or District'!$L$9:$L14),IF(partner_type="builder",SUM(Builder!P$9:P14),0))</f>
        <v>0</v>
      </c>
      <c r="O47">
        <f>IF(AND(partner_type="Utility/District",Introduction!$C$17=Homes_calc!O$34),SUM('Utility or District'!$L$9:$L14),IF(partner_type="builder",SUM(Builder!Q$9:Q14),0))</f>
        <v>0</v>
      </c>
      <c r="P47">
        <f>IF(AND(partner_type="Utility/District",Introduction!$C$17=Homes_calc!P$34),SUM('Utility or District'!$L$9:$L14),IF(partner_type="builder",SUM(Builder!R$9:R14),0))</f>
        <v>0</v>
      </c>
      <c r="Q47">
        <f>IF(AND(partner_type="Utility/District",Introduction!$C$17=Homes_calc!Q$34),SUM('Utility or District'!$L$9:$L14),IF(partner_type="builder",SUM(Builder!S$9:S14),0))</f>
        <v>0</v>
      </c>
      <c r="R47">
        <f>IF(AND(partner_type="Utility/District",Introduction!$C$17=Homes_calc!R$34),SUM('Utility or District'!$L$9:$L14),IF(partner_type="builder",SUM(Builder!T$9:T14),0))</f>
        <v>0</v>
      </c>
      <c r="S47">
        <f>IF(AND(partner_type="Utility/District",Introduction!$C$17=Homes_calc!S$34),SUM('Utility or District'!$L$9:$L14),IF(partner_type="builder",SUM(Builder!U$9:U14),0))</f>
        <v>0</v>
      </c>
      <c r="T47">
        <f>IF(AND(partner_type="Utility/District",Introduction!$C$17=Homes_calc!T$34),SUM('Utility or District'!$L$9:$L14),IF(partner_type="builder",SUM(Builder!V$9:V14),0))</f>
        <v>0</v>
      </c>
      <c r="U47">
        <f>IF(AND(partner_type="Utility/District",Introduction!$C$17=Homes_calc!U$34),SUM('Utility or District'!$L$9:$L14),IF(partner_type="builder",SUM(Builder!W$9:W14),0))</f>
        <v>0</v>
      </c>
      <c r="V47">
        <f>IF(AND(partner_type="Utility/District",Introduction!$C$17=Homes_calc!V$34),SUM('Utility or District'!$L$9:$L14),IF(partner_type="builder",SUM(Builder!X$9:X14),0))</f>
        <v>0</v>
      </c>
      <c r="W47">
        <f>IF(AND(partner_type="Utility/District",Introduction!$C$17=Homes_calc!W$34),SUM('Utility or District'!$L$9:$L14),IF(partner_type="builder",SUM(Builder!Y$9:Y14),0))</f>
        <v>0</v>
      </c>
      <c r="X47">
        <f>IF(AND(partner_type="Utility/District",Introduction!$C$17=Homes_calc!X$34),SUM('Utility or District'!$L$9:$L14),IF(partner_type="builder",SUM(Builder!Z$9:Z14),0))</f>
        <v>0</v>
      </c>
      <c r="Y47">
        <f>IF(AND(partner_type="Utility/District",Introduction!$C$17=Homes_calc!Y$34),SUM('Utility or District'!$L$9:$L14),IF(partner_type="builder",SUM(Builder!AA$9:AA14),0))</f>
        <v>0</v>
      </c>
      <c r="Z47">
        <f>IF(AND(partner_type="Utility/District",Introduction!$C$17=Homes_calc!Z$34),SUM('Utility or District'!$L$9:$L14),IF(partner_type="builder",SUM(Builder!AB$9:AB14),0))</f>
        <v>0</v>
      </c>
      <c r="AA47">
        <f>IF(AND(partner_type="Utility/District",Introduction!$C$17=Homes_calc!AA$34),SUM('Utility or District'!$L$9:$L14),IF(partner_type="builder",SUM(Builder!AC$9:AC14),0))</f>
        <v>0</v>
      </c>
      <c r="AB47">
        <f>IF(AND(partner_type="Utility/District",Introduction!$C$17=Homes_calc!AB$34),SUM('Utility or District'!$L$9:$L14),IF(partner_type="builder",SUM(Builder!AD$9:AD14),0))</f>
        <v>0</v>
      </c>
      <c r="AC47">
        <f>IF(AND(partner_type="Utility/District",Introduction!$C$17=Homes_calc!AC$34),SUM('Utility or District'!$L$9:$L14),IF(partner_type="builder",SUM(Builder!AE$9:AE14),0))</f>
        <v>0</v>
      </c>
      <c r="AD47">
        <f>IF(AND(partner_type="Utility/District",Introduction!$C$17=Homes_calc!AD$34),SUM('Utility or District'!$L$9:$L14),IF(partner_type="builder",SUM(Builder!AF$9:AF14),0))</f>
        <v>0</v>
      </c>
      <c r="AE47">
        <f>IF(AND(partner_type="Utility/District",Introduction!$C$17=Homes_calc!AE$34),SUM('Utility or District'!$L$9:$L14),IF(partner_type="builder",SUM(Builder!AG$9:AG14),0))</f>
        <v>0</v>
      </c>
      <c r="AF47">
        <f>IF(AND(partner_type="Utility/District",Introduction!$C$17=Homes_calc!AF$34),SUM('Utility or District'!$L$9:$L14),IF(partner_type="builder",SUM(Builder!AH$9:AH14),0))</f>
        <v>0</v>
      </c>
      <c r="AG47">
        <f>IF(AND(partner_type="Utility/District",Introduction!$C$17=Homes_calc!AG$34),SUM('Utility or District'!$L$9:$L14),IF(partner_type="builder",SUM(Builder!AI$9:AI14),0))</f>
        <v>0</v>
      </c>
      <c r="AH47">
        <f>IF(AND(partner_type="Utility/District",Introduction!$C$17=Homes_calc!AH$34),SUM('Utility or District'!$L$9:$L14),IF(partner_type="builder",SUM(Builder!AJ$9:AJ14),0))</f>
        <v>0</v>
      </c>
      <c r="AI47">
        <f>IF(AND(partner_type="Utility/District",Introduction!$C$17=Homes_calc!AI$34),SUM('Utility or District'!$L$9:$L14),IF(partner_type="builder",SUM(Builder!AK$9:AK14),0))</f>
        <v>0</v>
      </c>
      <c r="AJ47">
        <f>IF(AND(partner_type="Utility/District",Introduction!$C$17=Homes_calc!AJ$34),SUM('Utility or District'!$L$9:$L14),IF(partner_type="builder",SUM(Builder!AL$9:AL14),0))</f>
        <v>0</v>
      </c>
      <c r="AK47">
        <f>IF(AND(partner_type="Utility/District",Introduction!$C$17=Homes_calc!AK$34),SUM('Utility or District'!$L$9:$L14),IF(partner_type="builder",SUM(Builder!AM$9:AM14),0))</f>
        <v>0</v>
      </c>
      <c r="AL47">
        <f>IF(AND(partner_type="Utility/District",Introduction!$C$17=Homes_calc!AL$34),SUM('Utility or District'!$L$9:$L14),IF(partner_type="builder",SUM(Builder!AN$9:AN14),0))</f>
        <v>0</v>
      </c>
      <c r="AM47">
        <f>IF(AND(partner_type="Utility/District",Introduction!$C$17=Homes_calc!AM$34),SUM('Utility or District'!$L$9:$L14),IF(partner_type="builder",SUM(Builder!AO$9:AO14),0))</f>
        <v>0</v>
      </c>
      <c r="AN47">
        <f>IF(AND(partner_type="Utility/District",Introduction!$C$17=Homes_calc!AN$34),SUM('Utility or District'!$L$9:$L14),IF(partner_type="builder",SUM(Builder!AP$9:AP14),0))</f>
        <v>0</v>
      </c>
      <c r="AO47">
        <f>IF(AND(partner_type="Utility/District",Introduction!$C$17=Homes_calc!AO$34),SUM('Utility or District'!$L$9:$L14),IF(partner_type="builder",SUM(Builder!AQ$9:AQ14),0))</f>
        <v>0</v>
      </c>
      <c r="AP47">
        <f>IF(AND(partner_type="Utility/District",Introduction!$C$17=Homes_calc!AP$34),SUM('Utility or District'!$L$9:$L14),IF(partner_type="builder",SUM(Builder!AR$9:AR14),0))</f>
        <v>0</v>
      </c>
      <c r="AQ47">
        <f>IF(AND(partner_type="Utility/District",Introduction!$C$17=Homes_calc!AQ$34),SUM('Utility or District'!$L$9:$L14),IF(partner_type="builder",SUM(Builder!AS$9:AS14),0))</f>
        <v>0</v>
      </c>
      <c r="AR47">
        <f>IF(AND(partner_type="Utility/District",Introduction!$C$17=Homes_calc!AR$34),SUM('Utility or District'!$L$9:$L14),IF(partner_type="builder",SUM(Builder!AT$9:AT14),0))</f>
        <v>0</v>
      </c>
      <c r="AS47">
        <f>IF(AND(partner_type="Utility/District",Introduction!$C$17=Homes_calc!AS$34),SUM('Utility or District'!$L$9:$L14),IF(partner_type="builder",SUM(Builder!AU$9:AU14),0))</f>
        <v>0</v>
      </c>
      <c r="AT47">
        <f>IF(AND(partner_type="Utility/District",Introduction!$C$17=Homes_calc!AT$34),SUM('Utility or District'!$L$9:$L14),IF(partner_type="builder",SUM(Builder!AV$9:AV14),0))</f>
        <v>0</v>
      </c>
      <c r="AU47">
        <f>IF(AND(partner_type="Utility/District",Introduction!$C$17=Homes_calc!AU$34),SUM('Utility or District'!$L$9:$L14),IF(partner_type="builder",SUM(Builder!AW$9:AW14),0))</f>
        <v>0</v>
      </c>
      <c r="AV47">
        <f>IF(AND(partner_type="Utility/District",Introduction!$C$17=Homes_calc!AV$34),SUM('Utility or District'!$L$9:$L14),IF(partner_type="builder",SUM(Builder!AX$9:AX14),0))</f>
        <v>0</v>
      </c>
      <c r="AW47">
        <f>IF(AND(partner_type="Utility/District",Introduction!$C$17=Homes_calc!AW$34),SUM('Utility or District'!$L$9:$L14),IF(partner_type="builder",SUM(Builder!AY$9:AY14),0))</f>
        <v>0</v>
      </c>
      <c r="AX47">
        <f>IF(AND(partner_type="Utility/District",Introduction!$C$17=Homes_calc!AX$34),SUM('Utility or District'!$L$9:$L14),IF(partner_type="builder",SUM(Builder!AZ$9:AZ14),0))</f>
        <v>0</v>
      </c>
      <c r="AY47">
        <f>IF(AND(partner_type="Utility/District",Introduction!$C$17=Homes_calc!AY$34),SUM('Utility or District'!$L$9:$L14),IF(partner_type="builder",SUM(Builder!BA$9:BA14),0))</f>
        <v>0</v>
      </c>
      <c r="AZ47">
        <f>IF(AND(partner_type="Utility/District",Introduction!$C$17=Homes_calc!AZ$34),SUM('Utility or District'!$L$9:$L14),IF(partner_type="builder",SUM(Builder!BB$9:BB14),0))</f>
        <v>0</v>
      </c>
      <c r="BA47">
        <f>IF(AND(partner_type="Utility/District",Introduction!$C$17=Homes_calc!BA$34),SUM('Utility or District'!$L$9:$L14),IF(partner_type="builder",SUM(Builder!BC$9:BC14),0))</f>
        <v>0</v>
      </c>
    </row>
    <row r="48" spans="1:53">
      <c r="B48" s="228">
        <v>2015</v>
      </c>
      <c r="C48">
        <f>IF(AND(partner_type="Utility/District",Introduction!$C$17=Homes_calc!C$34),SUM('Utility or District'!$L$9:$L15),IF(partner_type="builder",SUM(Builder!E$9:E15),0))</f>
        <v>0</v>
      </c>
      <c r="D48">
        <f>IF(AND(partner_type="Utility/District",Introduction!$C$17=Homes_calc!D$34),SUM('Utility or District'!$L$9:$L15),IF(partner_type="builder",SUM(Builder!F$9:F15),0))</f>
        <v>0</v>
      </c>
      <c r="E48">
        <f>IF(AND(partner_type="Utility/District",Introduction!$C$17=Homes_calc!E$34),SUM('Utility or District'!$L$9:$L15),IF(partner_type="builder",SUM(Builder!G$9:G15),0))</f>
        <v>0</v>
      </c>
      <c r="F48">
        <f>IF(AND(partner_type="Utility/District",Introduction!$C$17=Homes_calc!F$34),SUM('Utility or District'!$L$9:$L15),IF(partner_type="builder",SUM(Builder!H$9:H15),0))</f>
        <v>0</v>
      </c>
      <c r="G48">
        <f>IF(AND(partner_type="Utility/District",Introduction!$C$17=Homes_calc!G$34),SUM('Utility or District'!$L$9:$L15),IF(partner_type="builder",SUM(Builder!I$9:I15),0))</f>
        <v>0</v>
      </c>
      <c r="H48">
        <f>IF(AND(partner_type="Utility/District",Introduction!$C$17=Homes_calc!H$34),SUM('Utility or District'!$L$9:$L15),IF(partner_type="builder",SUM(Builder!J$9:J15),0))</f>
        <v>0</v>
      </c>
      <c r="I48">
        <f>IF(AND(partner_type="Utility/District",Introduction!$C$17=Homes_calc!I$34),SUM('Utility or District'!$L$9:$L15),IF(partner_type="builder",SUM(Builder!K$9:K15),0))</f>
        <v>0</v>
      </c>
      <c r="J48">
        <f>IF(AND(partner_type="Utility/District",Introduction!$C$17=Homes_calc!J$34),SUM('Utility or District'!$L$9:$L15),IF(partner_type="builder",SUM(Builder!L$9:L15),0))</f>
        <v>0</v>
      </c>
      <c r="K48">
        <f>IF(AND(partner_type="Utility/District",Introduction!$C$17=Homes_calc!K$34),SUM('Utility or District'!$L$9:$L15),IF(partner_type="builder",SUM(Builder!M$9:M15),0))</f>
        <v>0</v>
      </c>
      <c r="L48">
        <f>IF(AND(partner_type="Utility/District",Introduction!$C$17=Homes_calc!L$34),SUM('Utility or District'!$L$9:$L15),IF(partner_type="builder",SUM(Builder!N$9:N15),0))</f>
        <v>0</v>
      </c>
      <c r="M48">
        <f>IF(AND(partner_type="Utility/District",Introduction!$C$17=Homes_calc!M$34),SUM('Utility or District'!$L$9:$L15),IF(partner_type="builder",SUM(Builder!O$9:O15),0))</f>
        <v>0</v>
      </c>
      <c r="N48">
        <f>IF(AND(partner_type="Utility/District",Introduction!$C$17=Homes_calc!N$34),SUM('Utility or District'!$L$9:$L15),IF(partner_type="builder",SUM(Builder!P$9:P15),0))</f>
        <v>0</v>
      </c>
      <c r="O48">
        <f>IF(AND(partner_type="Utility/District",Introduction!$C$17=Homes_calc!O$34),SUM('Utility or District'!$L$9:$L15),IF(partner_type="builder",SUM(Builder!Q$9:Q15),0))</f>
        <v>0</v>
      </c>
      <c r="P48">
        <f>IF(AND(partner_type="Utility/District",Introduction!$C$17=Homes_calc!P$34),SUM('Utility or District'!$L$9:$L15),IF(partner_type="builder",SUM(Builder!R$9:R15),0))</f>
        <v>0</v>
      </c>
      <c r="Q48">
        <f>IF(AND(partner_type="Utility/District",Introduction!$C$17=Homes_calc!Q$34),SUM('Utility or District'!$L$9:$L15),IF(partner_type="builder",SUM(Builder!S$9:S15),0))</f>
        <v>0</v>
      </c>
      <c r="R48">
        <f>IF(AND(partner_type="Utility/District",Introduction!$C$17=Homes_calc!R$34),SUM('Utility or District'!$L$9:$L15),IF(partner_type="builder",SUM(Builder!T$9:T15),0))</f>
        <v>0</v>
      </c>
      <c r="S48">
        <f>IF(AND(partner_type="Utility/District",Introduction!$C$17=Homes_calc!S$34),SUM('Utility or District'!$L$9:$L15),IF(partner_type="builder",SUM(Builder!U$9:U15),0))</f>
        <v>0</v>
      </c>
      <c r="T48">
        <f>IF(AND(partner_type="Utility/District",Introduction!$C$17=Homes_calc!T$34),SUM('Utility or District'!$L$9:$L15),IF(partner_type="builder",SUM(Builder!V$9:V15),0))</f>
        <v>0</v>
      </c>
      <c r="U48">
        <f>IF(AND(partner_type="Utility/District",Introduction!$C$17=Homes_calc!U$34),SUM('Utility or District'!$L$9:$L15),IF(partner_type="builder",SUM(Builder!W$9:W15),0))</f>
        <v>0</v>
      </c>
      <c r="V48">
        <f>IF(AND(partner_type="Utility/District",Introduction!$C$17=Homes_calc!V$34),SUM('Utility or District'!$L$9:$L15),IF(partner_type="builder",SUM(Builder!X$9:X15),0))</f>
        <v>0</v>
      </c>
      <c r="W48">
        <f>IF(AND(partner_type="Utility/District",Introduction!$C$17=Homes_calc!W$34),SUM('Utility or District'!$L$9:$L15),IF(partner_type="builder",SUM(Builder!Y$9:Y15),0))</f>
        <v>0</v>
      </c>
      <c r="X48">
        <f>IF(AND(partner_type="Utility/District",Introduction!$C$17=Homes_calc!X$34),SUM('Utility or District'!$L$9:$L15),IF(partner_type="builder",SUM(Builder!Z$9:Z15),0))</f>
        <v>0</v>
      </c>
      <c r="Y48">
        <f>IF(AND(partner_type="Utility/District",Introduction!$C$17=Homes_calc!Y$34),SUM('Utility or District'!$L$9:$L15),IF(partner_type="builder",SUM(Builder!AA$9:AA15),0))</f>
        <v>0</v>
      </c>
      <c r="Z48">
        <f>IF(AND(partner_type="Utility/District",Introduction!$C$17=Homes_calc!Z$34),SUM('Utility or District'!$L$9:$L15),IF(partner_type="builder",SUM(Builder!AB$9:AB15),0))</f>
        <v>0</v>
      </c>
      <c r="AA48">
        <f>IF(AND(partner_type="Utility/District",Introduction!$C$17=Homes_calc!AA$34),SUM('Utility or District'!$L$9:$L15),IF(partner_type="builder",SUM(Builder!AC$9:AC15),0))</f>
        <v>0</v>
      </c>
      <c r="AB48">
        <f>IF(AND(partner_type="Utility/District",Introduction!$C$17=Homes_calc!AB$34),SUM('Utility or District'!$L$9:$L15),IF(partner_type="builder",SUM(Builder!AD$9:AD15),0))</f>
        <v>0</v>
      </c>
      <c r="AC48">
        <f>IF(AND(partner_type="Utility/District",Introduction!$C$17=Homes_calc!AC$34),SUM('Utility or District'!$L$9:$L15),IF(partner_type="builder",SUM(Builder!AE$9:AE15),0))</f>
        <v>0</v>
      </c>
      <c r="AD48">
        <f>IF(AND(partner_type="Utility/District",Introduction!$C$17=Homes_calc!AD$34),SUM('Utility or District'!$L$9:$L15),IF(partner_type="builder",SUM(Builder!AF$9:AF15),0))</f>
        <v>0</v>
      </c>
      <c r="AE48">
        <f>IF(AND(partner_type="Utility/District",Introduction!$C$17=Homes_calc!AE$34),SUM('Utility or District'!$L$9:$L15),IF(partner_type="builder",SUM(Builder!AG$9:AG15),0))</f>
        <v>0</v>
      </c>
      <c r="AF48">
        <f>IF(AND(partner_type="Utility/District",Introduction!$C$17=Homes_calc!AF$34),SUM('Utility or District'!$L$9:$L15),IF(partner_type="builder",SUM(Builder!AH$9:AH15),0))</f>
        <v>0</v>
      </c>
      <c r="AG48">
        <f>IF(AND(partner_type="Utility/District",Introduction!$C$17=Homes_calc!AG$34),SUM('Utility or District'!$L$9:$L15),IF(partner_type="builder",SUM(Builder!AI$9:AI15),0))</f>
        <v>0</v>
      </c>
      <c r="AH48">
        <f>IF(AND(partner_type="Utility/District",Introduction!$C$17=Homes_calc!AH$34),SUM('Utility or District'!$L$9:$L15),IF(partner_type="builder",SUM(Builder!AJ$9:AJ15),0))</f>
        <v>0</v>
      </c>
      <c r="AI48">
        <f>IF(AND(partner_type="Utility/District",Introduction!$C$17=Homes_calc!AI$34),SUM('Utility or District'!$L$9:$L15),IF(partner_type="builder",SUM(Builder!AK$9:AK15),0))</f>
        <v>0</v>
      </c>
      <c r="AJ48">
        <f>IF(AND(partner_type="Utility/District",Introduction!$C$17=Homes_calc!AJ$34),SUM('Utility or District'!$L$9:$L15),IF(partner_type="builder",SUM(Builder!AL$9:AL15),0))</f>
        <v>0</v>
      </c>
      <c r="AK48">
        <f>IF(AND(partner_type="Utility/District",Introduction!$C$17=Homes_calc!AK$34),SUM('Utility or District'!$L$9:$L15),IF(partner_type="builder",SUM(Builder!AM$9:AM15),0))</f>
        <v>0</v>
      </c>
      <c r="AL48">
        <f>IF(AND(partner_type="Utility/District",Introduction!$C$17=Homes_calc!AL$34),SUM('Utility or District'!$L$9:$L15),IF(partner_type="builder",SUM(Builder!AN$9:AN15),0))</f>
        <v>0</v>
      </c>
      <c r="AM48">
        <f>IF(AND(partner_type="Utility/District",Introduction!$C$17=Homes_calc!AM$34),SUM('Utility or District'!$L$9:$L15),IF(partner_type="builder",SUM(Builder!AO$9:AO15),0))</f>
        <v>0</v>
      </c>
      <c r="AN48">
        <f>IF(AND(partner_type="Utility/District",Introduction!$C$17=Homes_calc!AN$34),SUM('Utility or District'!$L$9:$L15),IF(partner_type="builder",SUM(Builder!AP$9:AP15),0))</f>
        <v>0</v>
      </c>
      <c r="AO48">
        <f>IF(AND(partner_type="Utility/District",Introduction!$C$17=Homes_calc!AO$34),SUM('Utility or District'!$L$9:$L15),IF(partner_type="builder",SUM(Builder!AQ$9:AQ15),0))</f>
        <v>0</v>
      </c>
      <c r="AP48">
        <f>IF(AND(partner_type="Utility/District",Introduction!$C$17=Homes_calc!AP$34),SUM('Utility or District'!$L$9:$L15),IF(partner_type="builder",SUM(Builder!AR$9:AR15),0))</f>
        <v>0</v>
      </c>
      <c r="AQ48">
        <f>IF(AND(partner_type="Utility/District",Introduction!$C$17=Homes_calc!AQ$34),SUM('Utility or District'!$L$9:$L15),IF(partner_type="builder",SUM(Builder!AS$9:AS15),0))</f>
        <v>0</v>
      </c>
      <c r="AR48">
        <f>IF(AND(partner_type="Utility/District",Introduction!$C$17=Homes_calc!AR$34),SUM('Utility or District'!$L$9:$L15),IF(partner_type="builder",SUM(Builder!AT$9:AT15),0))</f>
        <v>0</v>
      </c>
      <c r="AS48">
        <f>IF(AND(partner_type="Utility/District",Introduction!$C$17=Homes_calc!AS$34),SUM('Utility or District'!$L$9:$L15),IF(partner_type="builder",SUM(Builder!AU$9:AU15),0))</f>
        <v>0</v>
      </c>
      <c r="AT48">
        <f>IF(AND(partner_type="Utility/District",Introduction!$C$17=Homes_calc!AT$34),SUM('Utility or District'!$L$9:$L15),IF(partner_type="builder",SUM(Builder!AV$9:AV15),0))</f>
        <v>0</v>
      </c>
      <c r="AU48">
        <f>IF(AND(partner_type="Utility/District",Introduction!$C$17=Homes_calc!AU$34),SUM('Utility or District'!$L$9:$L15),IF(partner_type="builder",SUM(Builder!AW$9:AW15),0))</f>
        <v>0</v>
      </c>
      <c r="AV48">
        <f>IF(AND(partner_type="Utility/District",Introduction!$C$17=Homes_calc!AV$34),SUM('Utility or District'!$L$9:$L15),IF(partner_type="builder",SUM(Builder!AX$9:AX15),0))</f>
        <v>0</v>
      </c>
      <c r="AW48">
        <f>IF(AND(partner_type="Utility/District",Introduction!$C$17=Homes_calc!AW$34),SUM('Utility or District'!$L$9:$L15),IF(partner_type="builder",SUM(Builder!AY$9:AY15),0))</f>
        <v>0</v>
      </c>
      <c r="AX48">
        <f>IF(AND(partner_type="Utility/District",Introduction!$C$17=Homes_calc!AX$34),SUM('Utility or District'!$L$9:$L15),IF(partner_type="builder",SUM(Builder!AZ$9:AZ15),0))</f>
        <v>0</v>
      </c>
      <c r="AY48">
        <f>IF(AND(partner_type="Utility/District",Introduction!$C$17=Homes_calc!AY$34),SUM('Utility or District'!$L$9:$L15),IF(partner_type="builder",SUM(Builder!BA$9:BA15),0))</f>
        <v>0</v>
      </c>
      <c r="AZ48">
        <f>IF(AND(partner_type="Utility/District",Introduction!$C$17=Homes_calc!AZ$34),SUM('Utility or District'!$L$9:$L15),IF(partner_type="builder",SUM(Builder!BB$9:BB15),0))</f>
        <v>0</v>
      </c>
      <c r="BA48">
        <f>IF(AND(partner_type="Utility/District",Introduction!$C$17=Homes_calc!BA$34),SUM('Utility or District'!$L$9:$L15),IF(partner_type="builder",SUM(Builder!BC$9:BC15),0))</f>
        <v>0</v>
      </c>
    </row>
    <row r="49" spans="2:53">
      <c r="B49" s="226">
        <v>2016</v>
      </c>
      <c r="C49">
        <f>IF(AND(partner_type="Utility/District",Introduction!$C$17=Homes_calc!C$34),SUM('Utility or District'!$L$9:$L16),IF(partner_type="builder",SUM(Builder!E$9:E16),0))</f>
        <v>0</v>
      </c>
      <c r="D49">
        <f>IF(AND(partner_type="Utility/District",Introduction!$C$17=Homes_calc!D$34),SUM('Utility or District'!$L$9:$L16),IF(partner_type="builder",SUM(Builder!F$9:F16),0))</f>
        <v>0</v>
      </c>
      <c r="E49">
        <f>IF(AND(partner_type="Utility/District",Introduction!$C$17=Homes_calc!E$34),SUM('Utility or District'!$L$9:$L16),IF(partner_type="builder",SUM(Builder!G$9:G16),0))</f>
        <v>0</v>
      </c>
      <c r="F49">
        <f>IF(AND(partner_type="Utility/District",Introduction!$C$17=Homes_calc!F$34),SUM('Utility or District'!$L$9:$L16),IF(partner_type="builder",SUM(Builder!H$9:H16),0))</f>
        <v>0</v>
      </c>
      <c r="G49">
        <f>IF(AND(partner_type="Utility/District",Introduction!$C$17=Homes_calc!G$34),SUM('Utility or District'!$L$9:$L16),IF(partner_type="builder",SUM(Builder!I$9:I16),0))</f>
        <v>0</v>
      </c>
      <c r="H49">
        <f>IF(AND(partner_type="Utility/District",Introduction!$C$17=Homes_calc!H$34),SUM('Utility or District'!$L$9:$L16),IF(partner_type="builder",SUM(Builder!J$9:J16),0))</f>
        <v>0</v>
      </c>
      <c r="I49">
        <f>IF(AND(partner_type="Utility/District",Introduction!$C$17=Homes_calc!I$34),SUM('Utility or District'!$L$9:$L16),IF(partner_type="builder",SUM(Builder!K$9:K16),0))</f>
        <v>0</v>
      </c>
      <c r="J49">
        <f>IF(AND(partner_type="Utility/District",Introduction!$C$17=Homes_calc!J$34),SUM('Utility or District'!$L$9:$L16),IF(partner_type="builder",SUM(Builder!L$9:L16),0))</f>
        <v>0</v>
      </c>
      <c r="K49">
        <f>IF(AND(partner_type="Utility/District",Introduction!$C$17=Homes_calc!K$34),SUM('Utility or District'!$L$9:$L16),IF(partner_type="builder",SUM(Builder!M$9:M16),0))</f>
        <v>0</v>
      </c>
      <c r="L49">
        <f>IF(AND(partner_type="Utility/District",Introduction!$C$17=Homes_calc!L$34),SUM('Utility or District'!$L$9:$L16),IF(partner_type="builder",SUM(Builder!N$9:N16),0))</f>
        <v>0</v>
      </c>
      <c r="M49">
        <f>IF(AND(partner_type="Utility/District",Introduction!$C$17=Homes_calc!M$34),SUM('Utility or District'!$L$9:$L16),IF(partner_type="builder",SUM(Builder!O$9:O16),0))</f>
        <v>0</v>
      </c>
      <c r="N49">
        <f>IF(AND(partner_type="Utility/District",Introduction!$C$17=Homes_calc!N$34),SUM('Utility or District'!$L$9:$L16),IF(partner_type="builder",SUM(Builder!P$9:P16),0))</f>
        <v>0</v>
      </c>
      <c r="O49">
        <f>IF(AND(partner_type="Utility/District",Introduction!$C$17=Homes_calc!O$34),SUM('Utility or District'!$L$9:$L16),IF(partner_type="builder",SUM(Builder!Q$9:Q16),0))</f>
        <v>0</v>
      </c>
      <c r="P49">
        <f>IF(AND(partner_type="Utility/District",Introduction!$C$17=Homes_calc!P$34),SUM('Utility or District'!$L$9:$L16),IF(partner_type="builder",SUM(Builder!R$9:R16),0))</f>
        <v>0</v>
      </c>
      <c r="Q49">
        <f>IF(AND(partner_type="Utility/District",Introduction!$C$17=Homes_calc!Q$34),SUM('Utility or District'!$L$9:$L16),IF(partner_type="builder",SUM(Builder!S$9:S16),0))</f>
        <v>0</v>
      </c>
      <c r="R49">
        <f>IF(AND(partner_type="Utility/District",Introduction!$C$17=Homes_calc!R$34),SUM('Utility or District'!$L$9:$L16),IF(partner_type="builder",SUM(Builder!T$9:T16),0))</f>
        <v>0</v>
      </c>
      <c r="S49">
        <f>IF(AND(partner_type="Utility/District",Introduction!$C$17=Homes_calc!S$34),SUM('Utility or District'!$L$9:$L16),IF(partner_type="builder",SUM(Builder!U$9:U16),0))</f>
        <v>0</v>
      </c>
      <c r="T49">
        <f>IF(AND(partner_type="Utility/District",Introduction!$C$17=Homes_calc!T$34),SUM('Utility or District'!$L$9:$L16),IF(partner_type="builder",SUM(Builder!V$9:V16),0))</f>
        <v>0</v>
      </c>
      <c r="U49">
        <f>IF(AND(partner_type="Utility/District",Introduction!$C$17=Homes_calc!U$34),SUM('Utility or District'!$L$9:$L16),IF(partner_type="builder",SUM(Builder!W$9:W16),0))</f>
        <v>0</v>
      </c>
      <c r="V49">
        <f>IF(AND(partner_type="Utility/District",Introduction!$C$17=Homes_calc!V$34),SUM('Utility or District'!$L$9:$L16),IF(partner_type="builder",SUM(Builder!X$9:X16),0))</f>
        <v>0</v>
      </c>
      <c r="W49">
        <f>IF(AND(partner_type="Utility/District",Introduction!$C$17=Homes_calc!W$34),SUM('Utility or District'!$L$9:$L16),IF(partner_type="builder",SUM(Builder!Y$9:Y16),0))</f>
        <v>0</v>
      </c>
      <c r="X49">
        <f>IF(AND(partner_type="Utility/District",Introduction!$C$17=Homes_calc!X$34),SUM('Utility or District'!$L$9:$L16),IF(partner_type="builder",SUM(Builder!Z$9:Z16),0))</f>
        <v>0</v>
      </c>
      <c r="Y49">
        <f>IF(AND(partner_type="Utility/District",Introduction!$C$17=Homes_calc!Y$34),SUM('Utility or District'!$L$9:$L16),IF(partner_type="builder",SUM(Builder!AA$9:AA16),0))</f>
        <v>0</v>
      </c>
      <c r="Z49">
        <f>IF(AND(partner_type="Utility/District",Introduction!$C$17=Homes_calc!Z$34),SUM('Utility or District'!$L$9:$L16),IF(partner_type="builder",SUM(Builder!AB$9:AB16),0))</f>
        <v>0</v>
      </c>
      <c r="AA49">
        <f>IF(AND(partner_type="Utility/District",Introduction!$C$17=Homes_calc!AA$34),SUM('Utility or District'!$L$9:$L16),IF(partner_type="builder",SUM(Builder!AC$9:AC16),0))</f>
        <v>0</v>
      </c>
      <c r="AB49">
        <f>IF(AND(partner_type="Utility/District",Introduction!$C$17=Homes_calc!AB$34),SUM('Utility or District'!$L$9:$L16),IF(partner_type="builder",SUM(Builder!AD$9:AD16),0))</f>
        <v>0</v>
      </c>
      <c r="AC49">
        <f>IF(AND(partner_type="Utility/District",Introduction!$C$17=Homes_calc!AC$34),SUM('Utility or District'!$L$9:$L16),IF(partner_type="builder",SUM(Builder!AE$9:AE16),0))</f>
        <v>0</v>
      </c>
      <c r="AD49">
        <f>IF(AND(partner_type="Utility/District",Introduction!$C$17=Homes_calc!AD$34),SUM('Utility or District'!$L$9:$L16),IF(partner_type="builder",SUM(Builder!AF$9:AF16),0))</f>
        <v>0</v>
      </c>
      <c r="AE49">
        <f>IF(AND(partner_type="Utility/District",Introduction!$C$17=Homes_calc!AE$34),SUM('Utility or District'!$L$9:$L16),IF(partner_type="builder",SUM(Builder!AG$9:AG16),0))</f>
        <v>0</v>
      </c>
      <c r="AF49">
        <f>IF(AND(partner_type="Utility/District",Introduction!$C$17=Homes_calc!AF$34),SUM('Utility or District'!$L$9:$L16),IF(partner_type="builder",SUM(Builder!AH$9:AH16),0))</f>
        <v>0</v>
      </c>
      <c r="AG49">
        <f>IF(AND(partner_type="Utility/District",Introduction!$C$17=Homes_calc!AG$34),SUM('Utility or District'!$L$9:$L16),IF(partner_type="builder",SUM(Builder!AI$9:AI16),0))</f>
        <v>0</v>
      </c>
      <c r="AH49">
        <f>IF(AND(partner_type="Utility/District",Introduction!$C$17=Homes_calc!AH$34),SUM('Utility or District'!$L$9:$L16),IF(partner_type="builder",SUM(Builder!AJ$9:AJ16),0))</f>
        <v>0</v>
      </c>
      <c r="AI49">
        <f>IF(AND(partner_type="Utility/District",Introduction!$C$17=Homes_calc!AI$34),SUM('Utility or District'!$L$9:$L16),IF(partner_type="builder",SUM(Builder!AK$9:AK16),0))</f>
        <v>0</v>
      </c>
      <c r="AJ49">
        <f>IF(AND(partner_type="Utility/District",Introduction!$C$17=Homes_calc!AJ$34),SUM('Utility or District'!$L$9:$L16),IF(partner_type="builder",SUM(Builder!AL$9:AL16),0))</f>
        <v>0</v>
      </c>
      <c r="AK49">
        <f>IF(AND(partner_type="Utility/District",Introduction!$C$17=Homes_calc!AK$34),SUM('Utility or District'!$L$9:$L16),IF(partner_type="builder",SUM(Builder!AM$9:AM16),0))</f>
        <v>0</v>
      </c>
      <c r="AL49">
        <f>IF(AND(partner_type="Utility/District",Introduction!$C$17=Homes_calc!AL$34),SUM('Utility or District'!$L$9:$L16),IF(partner_type="builder",SUM(Builder!AN$9:AN16),0))</f>
        <v>0</v>
      </c>
      <c r="AM49">
        <f>IF(AND(partner_type="Utility/District",Introduction!$C$17=Homes_calc!AM$34),SUM('Utility or District'!$L$9:$L16),IF(partner_type="builder",SUM(Builder!AO$9:AO16),0))</f>
        <v>0</v>
      </c>
      <c r="AN49">
        <f>IF(AND(partner_type="Utility/District",Introduction!$C$17=Homes_calc!AN$34),SUM('Utility or District'!$L$9:$L16),IF(partner_type="builder",SUM(Builder!AP$9:AP16),0))</f>
        <v>0</v>
      </c>
      <c r="AO49">
        <f>IF(AND(partner_type="Utility/District",Introduction!$C$17=Homes_calc!AO$34),SUM('Utility or District'!$L$9:$L16),IF(partner_type="builder",SUM(Builder!AQ$9:AQ16),0))</f>
        <v>0</v>
      </c>
      <c r="AP49">
        <f>IF(AND(partner_type="Utility/District",Introduction!$C$17=Homes_calc!AP$34),SUM('Utility or District'!$L$9:$L16),IF(partner_type="builder",SUM(Builder!AR$9:AR16),0))</f>
        <v>0</v>
      </c>
      <c r="AQ49">
        <f>IF(AND(partner_type="Utility/District",Introduction!$C$17=Homes_calc!AQ$34),SUM('Utility or District'!$L$9:$L16),IF(partner_type="builder",SUM(Builder!AS$9:AS16),0))</f>
        <v>0</v>
      </c>
      <c r="AR49">
        <f>IF(AND(partner_type="Utility/District",Introduction!$C$17=Homes_calc!AR$34),SUM('Utility or District'!$L$9:$L16),IF(partner_type="builder",SUM(Builder!AT$9:AT16),0))</f>
        <v>0</v>
      </c>
      <c r="AS49">
        <f>IF(AND(partner_type="Utility/District",Introduction!$C$17=Homes_calc!AS$34),SUM('Utility or District'!$L$9:$L16),IF(partner_type="builder",SUM(Builder!AU$9:AU16),0))</f>
        <v>0</v>
      </c>
      <c r="AT49">
        <f>IF(AND(partner_type="Utility/District",Introduction!$C$17=Homes_calc!AT$34),SUM('Utility or District'!$L$9:$L16),IF(partner_type="builder",SUM(Builder!AV$9:AV16),0))</f>
        <v>0</v>
      </c>
      <c r="AU49">
        <f>IF(AND(partner_type="Utility/District",Introduction!$C$17=Homes_calc!AU$34),SUM('Utility or District'!$L$9:$L16),IF(partner_type="builder",SUM(Builder!AW$9:AW16),0))</f>
        <v>0</v>
      </c>
      <c r="AV49">
        <f>IF(AND(partner_type="Utility/District",Introduction!$C$17=Homes_calc!AV$34),SUM('Utility or District'!$L$9:$L16),IF(partner_type="builder",SUM(Builder!AX$9:AX16),0))</f>
        <v>0</v>
      </c>
      <c r="AW49">
        <f>IF(AND(partner_type="Utility/District",Introduction!$C$17=Homes_calc!AW$34),SUM('Utility or District'!$L$9:$L16),IF(partner_type="builder",SUM(Builder!AY$9:AY16),0))</f>
        <v>0</v>
      </c>
      <c r="AX49">
        <f>IF(AND(partner_type="Utility/District",Introduction!$C$17=Homes_calc!AX$34),SUM('Utility or District'!$L$9:$L16),IF(partner_type="builder",SUM(Builder!AZ$9:AZ16),0))</f>
        <v>0</v>
      </c>
      <c r="AY49">
        <f>IF(AND(partner_type="Utility/District",Introduction!$C$17=Homes_calc!AY$34),SUM('Utility or District'!$L$9:$L16),IF(partner_type="builder",SUM(Builder!BA$9:BA16),0))</f>
        <v>0</v>
      </c>
      <c r="AZ49">
        <f>IF(AND(partner_type="Utility/District",Introduction!$C$17=Homes_calc!AZ$34),SUM('Utility or District'!$L$9:$L16),IF(partner_type="builder",SUM(Builder!BB$9:BB16),0))</f>
        <v>0</v>
      </c>
      <c r="BA49">
        <f>IF(AND(partner_type="Utility/District",Introduction!$C$17=Homes_calc!BA$34),SUM('Utility or District'!$L$9:$L16),IF(partner_type="builder",SUM(Builder!BC$9:BC16),0))</f>
        <v>0</v>
      </c>
    </row>
    <row r="50" spans="2:53">
      <c r="B50" s="228">
        <v>2017</v>
      </c>
      <c r="C50">
        <f>IF(AND(partner_type="Utility/District",Introduction!$C$17=Homes_calc!C$34),SUM('Utility or District'!$L$9:$L17),IF(partner_type="builder",SUM(Builder!E$9:E17),0))</f>
        <v>0</v>
      </c>
      <c r="D50">
        <f>IF(AND(partner_type="Utility/District",Introduction!$C$17=Homes_calc!D$34),SUM('Utility or District'!$L$9:$L17),IF(partner_type="builder",SUM(Builder!F$9:F17),0))</f>
        <v>0</v>
      </c>
      <c r="E50">
        <f>IF(AND(partner_type="Utility/District",Introduction!$C$17=Homes_calc!E$34),SUM('Utility or District'!$L$9:$L17),IF(partner_type="builder",SUM(Builder!G$9:G17),0))</f>
        <v>0</v>
      </c>
      <c r="F50">
        <f>IF(AND(partner_type="Utility/District",Introduction!$C$17=Homes_calc!F$34),SUM('Utility or District'!$L$9:$L17),IF(partner_type="builder",SUM(Builder!H$9:H17),0))</f>
        <v>0</v>
      </c>
      <c r="G50">
        <f>IF(AND(partner_type="Utility/District",Introduction!$C$17=Homes_calc!G$34),SUM('Utility or District'!$L$9:$L17),IF(partner_type="builder",SUM(Builder!I$9:I17),0))</f>
        <v>0</v>
      </c>
      <c r="H50">
        <f>IF(AND(partner_type="Utility/District",Introduction!$C$17=Homes_calc!H$34),SUM('Utility or District'!$L$9:$L17),IF(partner_type="builder",SUM(Builder!J$9:J17),0))</f>
        <v>0</v>
      </c>
      <c r="I50">
        <f>IF(AND(partner_type="Utility/District",Introduction!$C$17=Homes_calc!I$34),SUM('Utility or District'!$L$9:$L17),IF(partner_type="builder",SUM(Builder!K$9:K17),0))</f>
        <v>0</v>
      </c>
      <c r="J50">
        <f>IF(AND(partner_type="Utility/District",Introduction!$C$17=Homes_calc!J$34),SUM('Utility or District'!$L$9:$L17),IF(partner_type="builder",SUM(Builder!L$9:L17),0))</f>
        <v>0</v>
      </c>
      <c r="K50">
        <f>IF(AND(partner_type="Utility/District",Introduction!$C$17=Homes_calc!K$34),SUM('Utility or District'!$L$9:$L17),IF(partner_type="builder",SUM(Builder!M$9:M17),0))</f>
        <v>0</v>
      </c>
      <c r="L50">
        <f>IF(AND(partner_type="Utility/District",Introduction!$C$17=Homes_calc!L$34),SUM('Utility or District'!$L$9:$L17),IF(partner_type="builder",SUM(Builder!N$9:N17),0))</f>
        <v>0</v>
      </c>
      <c r="M50">
        <f>IF(AND(partner_type="Utility/District",Introduction!$C$17=Homes_calc!M$34),SUM('Utility or District'!$L$9:$L17),IF(partner_type="builder",SUM(Builder!O$9:O17),0))</f>
        <v>0</v>
      </c>
      <c r="N50">
        <f>IF(AND(partner_type="Utility/District",Introduction!$C$17=Homes_calc!N$34),SUM('Utility or District'!$L$9:$L17),IF(partner_type="builder",SUM(Builder!P$9:P17),0))</f>
        <v>0</v>
      </c>
      <c r="O50">
        <f>IF(AND(partner_type="Utility/District",Introduction!$C$17=Homes_calc!O$34),SUM('Utility or District'!$L$9:$L17),IF(partner_type="builder",SUM(Builder!Q$9:Q17),0))</f>
        <v>0</v>
      </c>
      <c r="P50">
        <f>IF(AND(partner_type="Utility/District",Introduction!$C$17=Homes_calc!P$34),SUM('Utility or District'!$L$9:$L17),IF(partner_type="builder",SUM(Builder!R$9:R17),0))</f>
        <v>0</v>
      </c>
      <c r="Q50">
        <f>IF(AND(partner_type="Utility/District",Introduction!$C$17=Homes_calc!Q$34),SUM('Utility or District'!$L$9:$L17),IF(partner_type="builder",SUM(Builder!S$9:S17),0))</f>
        <v>0</v>
      </c>
      <c r="R50">
        <f>IF(AND(partner_type="Utility/District",Introduction!$C$17=Homes_calc!R$34),SUM('Utility or District'!$L$9:$L17),IF(partner_type="builder",SUM(Builder!T$9:T17),0))</f>
        <v>0</v>
      </c>
      <c r="S50">
        <f>IF(AND(partner_type="Utility/District",Introduction!$C$17=Homes_calc!S$34),SUM('Utility or District'!$L$9:$L17),IF(partner_type="builder",SUM(Builder!U$9:U17),0))</f>
        <v>0</v>
      </c>
      <c r="T50">
        <f>IF(AND(partner_type="Utility/District",Introduction!$C$17=Homes_calc!T$34),SUM('Utility or District'!$L$9:$L17),IF(partner_type="builder",SUM(Builder!V$9:V17),0))</f>
        <v>0</v>
      </c>
      <c r="U50">
        <f>IF(AND(partner_type="Utility/District",Introduction!$C$17=Homes_calc!U$34),SUM('Utility or District'!$L$9:$L17),IF(partner_type="builder",SUM(Builder!W$9:W17),0))</f>
        <v>0</v>
      </c>
      <c r="V50">
        <f>IF(AND(partner_type="Utility/District",Introduction!$C$17=Homes_calc!V$34),SUM('Utility or District'!$L$9:$L17),IF(partner_type="builder",SUM(Builder!X$9:X17),0))</f>
        <v>0</v>
      </c>
      <c r="W50">
        <f>IF(AND(partner_type="Utility/District",Introduction!$C$17=Homes_calc!W$34),SUM('Utility or District'!$L$9:$L17),IF(partner_type="builder",SUM(Builder!Y$9:Y17),0))</f>
        <v>0</v>
      </c>
      <c r="X50">
        <f>IF(AND(partner_type="Utility/District",Introduction!$C$17=Homes_calc!X$34),SUM('Utility or District'!$L$9:$L17),IF(partner_type="builder",SUM(Builder!Z$9:Z17),0))</f>
        <v>0</v>
      </c>
      <c r="Y50">
        <f>IF(AND(partner_type="Utility/District",Introduction!$C$17=Homes_calc!Y$34),SUM('Utility or District'!$L$9:$L17),IF(partner_type="builder",SUM(Builder!AA$9:AA17),0))</f>
        <v>0</v>
      </c>
      <c r="Z50">
        <f>IF(AND(partner_type="Utility/District",Introduction!$C$17=Homes_calc!Z$34),SUM('Utility or District'!$L$9:$L17),IF(partner_type="builder",SUM(Builder!AB$9:AB17),0))</f>
        <v>0</v>
      </c>
      <c r="AA50">
        <f>IF(AND(partner_type="Utility/District",Introduction!$C$17=Homes_calc!AA$34),SUM('Utility or District'!$L$9:$L17),IF(partner_type="builder",SUM(Builder!AC$9:AC17),0))</f>
        <v>0</v>
      </c>
      <c r="AB50">
        <f>IF(AND(partner_type="Utility/District",Introduction!$C$17=Homes_calc!AB$34),SUM('Utility or District'!$L$9:$L17),IF(partner_type="builder",SUM(Builder!AD$9:AD17),0))</f>
        <v>0</v>
      </c>
      <c r="AC50">
        <f>IF(AND(partner_type="Utility/District",Introduction!$C$17=Homes_calc!AC$34),SUM('Utility or District'!$L$9:$L17),IF(partner_type="builder",SUM(Builder!AE$9:AE17),0))</f>
        <v>0</v>
      </c>
      <c r="AD50">
        <f>IF(AND(partner_type="Utility/District",Introduction!$C$17=Homes_calc!AD$34),SUM('Utility or District'!$L$9:$L17),IF(partner_type="builder",SUM(Builder!AF$9:AF17),0))</f>
        <v>0</v>
      </c>
      <c r="AE50">
        <f>IF(AND(partner_type="Utility/District",Introduction!$C$17=Homes_calc!AE$34),SUM('Utility or District'!$L$9:$L17),IF(partner_type="builder",SUM(Builder!AG$9:AG17),0))</f>
        <v>0</v>
      </c>
      <c r="AF50">
        <f>IF(AND(partner_type="Utility/District",Introduction!$C$17=Homes_calc!AF$34),SUM('Utility or District'!$L$9:$L17),IF(partner_type="builder",SUM(Builder!AH$9:AH17),0))</f>
        <v>0</v>
      </c>
      <c r="AG50">
        <f>IF(AND(partner_type="Utility/District",Introduction!$C$17=Homes_calc!AG$34),SUM('Utility or District'!$L$9:$L17),IF(partner_type="builder",SUM(Builder!AI$9:AI17),0))</f>
        <v>0</v>
      </c>
      <c r="AH50">
        <f>IF(AND(partner_type="Utility/District",Introduction!$C$17=Homes_calc!AH$34),SUM('Utility or District'!$L$9:$L17),IF(partner_type="builder",SUM(Builder!AJ$9:AJ17),0))</f>
        <v>0</v>
      </c>
      <c r="AI50">
        <f>IF(AND(partner_type="Utility/District",Introduction!$C$17=Homes_calc!AI$34),SUM('Utility or District'!$L$9:$L17),IF(partner_type="builder",SUM(Builder!AK$9:AK17),0))</f>
        <v>0</v>
      </c>
      <c r="AJ50">
        <f>IF(AND(partner_type="Utility/District",Introduction!$C$17=Homes_calc!AJ$34),SUM('Utility or District'!$L$9:$L17),IF(partner_type="builder",SUM(Builder!AL$9:AL17),0))</f>
        <v>0</v>
      </c>
      <c r="AK50">
        <f>IF(AND(partner_type="Utility/District",Introduction!$C$17=Homes_calc!AK$34),SUM('Utility or District'!$L$9:$L17),IF(partner_type="builder",SUM(Builder!AM$9:AM17),0))</f>
        <v>0</v>
      </c>
      <c r="AL50">
        <f>IF(AND(partner_type="Utility/District",Introduction!$C$17=Homes_calc!AL$34),SUM('Utility or District'!$L$9:$L17),IF(partner_type="builder",SUM(Builder!AN$9:AN17),0))</f>
        <v>0</v>
      </c>
      <c r="AM50">
        <f>IF(AND(partner_type="Utility/District",Introduction!$C$17=Homes_calc!AM$34),SUM('Utility or District'!$L$9:$L17),IF(partner_type="builder",SUM(Builder!AO$9:AO17),0))</f>
        <v>0</v>
      </c>
      <c r="AN50">
        <f>IF(AND(partner_type="Utility/District",Introduction!$C$17=Homes_calc!AN$34),SUM('Utility or District'!$L$9:$L17),IF(partner_type="builder",SUM(Builder!AP$9:AP17),0))</f>
        <v>0</v>
      </c>
      <c r="AO50">
        <f>IF(AND(partner_type="Utility/District",Introduction!$C$17=Homes_calc!AO$34),SUM('Utility or District'!$L$9:$L17),IF(partner_type="builder",SUM(Builder!AQ$9:AQ17),0))</f>
        <v>0</v>
      </c>
      <c r="AP50">
        <f>IF(AND(partner_type="Utility/District",Introduction!$C$17=Homes_calc!AP$34),SUM('Utility or District'!$L$9:$L17),IF(partner_type="builder",SUM(Builder!AR$9:AR17),0))</f>
        <v>0</v>
      </c>
      <c r="AQ50">
        <f>IF(AND(partner_type="Utility/District",Introduction!$C$17=Homes_calc!AQ$34),SUM('Utility or District'!$L$9:$L17),IF(partner_type="builder",SUM(Builder!AS$9:AS17),0))</f>
        <v>0</v>
      </c>
      <c r="AR50">
        <f>IF(AND(partner_type="Utility/District",Introduction!$C$17=Homes_calc!AR$34),SUM('Utility or District'!$L$9:$L17),IF(partner_type="builder",SUM(Builder!AT$9:AT17),0))</f>
        <v>0</v>
      </c>
      <c r="AS50">
        <f>IF(AND(partner_type="Utility/District",Introduction!$C$17=Homes_calc!AS$34),SUM('Utility or District'!$L$9:$L17),IF(partner_type="builder",SUM(Builder!AU$9:AU17),0))</f>
        <v>0</v>
      </c>
      <c r="AT50">
        <f>IF(AND(partner_type="Utility/District",Introduction!$C$17=Homes_calc!AT$34),SUM('Utility or District'!$L$9:$L17),IF(partner_type="builder",SUM(Builder!AV$9:AV17),0))</f>
        <v>0</v>
      </c>
      <c r="AU50">
        <f>IF(AND(partner_type="Utility/District",Introduction!$C$17=Homes_calc!AU$34),SUM('Utility or District'!$L$9:$L17),IF(partner_type="builder",SUM(Builder!AW$9:AW17),0))</f>
        <v>0</v>
      </c>
      <c r="AV50">
        <f>IF(AND(partner_type="Utility/District",Introduction!$C$17=Homes_calc!AV$34),SUM('Utility or District'!$L$9:$L17),IF(partner_type="builder",SUM(Builder!AX$9:AX17),0))</f>
        <v>0</v>
      </c>
      <c r="AW50">
        <f>IF(AND(partner_type="Utility/District",Introduction!$C$17=Homes_calc!AW$34),SUM('Utility or District'!$L$9:$L17),IF(partner_type="builder",SUM(Builder!AY$9:AY17),0))</f>
        <v>0</v>
      </c>
      <c r="AX50">
        <f>IF(AND(partner_type="Utility/District",Introduction!$C$17=Homes_calc!AX$34),SUM('Utility or District'!$L$9:$L17),IF(partner_type="builder",SUM(Builder!AZ$9:AZ17),0))</f>
        <v>0</v>
      </c>
      <c r="AY50">
        <f>IF(AND(partner_type="Utility/District",Introduction!$C$17=Homes_calc!AY$34),SUM('Utility or District'!$L$9:$L17),IF(partner_type="builder",SUM(Builder!BA$9:BA17),0))</f>
        <v>0</v>
      </c>
      <c r="AZ50">
        <f>IF(AND(partner_type="Utility/District",Introduction!$C$17=Homes_calc!AZ$34),SUM('Utility or District'!$L$9:$L17),IF(partner_type="builder",SUM(Builder!BB$9:BB17),0))</f>
        <v>0</v>
      </c>
      <c r="BA50">
        <f>IF(AND(partner_type="Utility/District",Introduction!$C$17=Homes_calc!BA$34),SUM('Utility or District'!$L$9:$L17),IF(partner_type="builder",SUM(Builder!BC$9:BC17),0))</f>
        <v>0</v>
      </c>
    </row>
    <row r="51" spans="2:53">
      <c r="B51" s="226">
        <v>2018</v>
      </c>
      <c r="C51">
        <f>IF(AND(partner_type="Utility/District",Introduction!$C$17=Homes_calc!C$34),SUM('Utility or District'!$L$9:$L18),IF(partner_type="builder",SUM(Builder!E$9:E18),0))</f>
        <v>0</v>
      </c>
      <c r="D51">
        <f>IF(AND(partner_type="Utility/District",Introduction!$C$17=Homes_calc!D$34),SUM('Utility or District'!$L$9:$L18),IF(partner_type="builder",SUM(Builder!F$9:F18),0))</f>
        <v>0</v>
      </c>
      <c r="E51">
        <f>IF(AND(partner_type="Utility/District",Introduction!$C$17=Homes_calc!E$34),SUM('Utility or District'!$L$9:$L18),IF(partner_type="builder",SUM(Builder!G$9:G18),0))</f>
        <v>0</v>
      </c>
      <c r="F51">
        <f>IF(AND(partner_type="Utility/District",Introduction!$C$17=Homes_calc!F$34),SUM('Utility or District'!$L$9:$L18),IF(partner_type="builder",SUM(Builder!H$9:H18),0))</f>
        <v>0</v>
      </c>
      <c r="G51">
        <f>IF(AND(partner_type="Utility/District",Introduction!$C$17=Homes_calc!G$34),SUM('Utility or District'!$L$9:$L18),IF(partner_type="builder",SUM(Builder!I$9:I18),0))</f>
        <v>0</v>
      </c>
      <c r="H51">
        <f>IF(AND(partner_type="Utility/District",Introduction!$C$17=Homes_calc!H$34),SUM('Utility or District'!$L$9:$L18),IF(partner_type="builder",SUM(Builder!J$9:J18),0))</f>
        <v>0</v>
      </c>
      <c r="I51">
        <f>IF(AND(partner_type="Utility/District",Introduction!$C$17=Homes_calc!I$34),SUM('Utility or District'!$L$9:$L18),IF(partner_type="builder",SUM(Builder!K$9:K18),0))</f>
        <v>0</v>
      </c>
      <c r="J51">
        <f>IF(AND(partner_type="Utility/District",Introduction!$C$17=Homes_calc!J$34),SUM('Utility or District'!$L$9:$L18),IF(partner_type="builder",SUM(Builder!L$9:L18),0))</f>
        <v>0</v>
      </c>
      <c r="K51">
        <f>IF(AND(partner_type="Utility/District",Introduction!$C$17=Homes_calc!K$34),SUM('Utility or District'!$L$9:$L18),IF(partner_type="builder",SUM(Builder!M$9:M18),0))</f>
        <v>0</v>
      </c>
      <c r="L51">
        <f>IF(AND(partner_type="Utility/District",Introduction!$C$17=Homes_calc!L$34),SUM('Utility or District'!$L$9:$L18),IF(partner_type="builder",SUM(Builder!N$9:N18),0))</f>
        <v>0</v>
      </c>
      <c r="M51">
        <f>IF(AND(partner_type="Utility/District",Introduction!$C$17=Homes_calc!M$34),SUM('Utility or District'!$L$9:$L18),IF(partner_type="builder",SUM(Builder!O$9:O18),0))</f>
        <v>0</v>
      </c>
      <c r="N51">
        <f>IF(AND(partner_type="Utility/District",Introduction!$C$17=Homes_calc!N$34),SUM('Utility or District'!$L$9:$L18),IF(partner_type="builder",SUM(Builder!P$9:P18),0))</f>
        <v>0</v>
      </c>
      <c r="O51">
        <f>IF(AND(partner_type="Utility/District",Introduction!$C$17=Homes_calc!O$34),SUM('Utility or District'!$L$9:$L18),IF(partner_type="builder",SUM(Builder!Q$9:Q18),0))</f>
        <v>0</v>
      </c>
      <c r="P51">
        <f>IF(AND(partner_type="Utility/District",Introduction!$C$17=Homes_calc!P$34),SUM('Utility or District'!$L$9:$L18),IF(partner_type="builder",SUM(Builder!R$9:R18),0))</f>
        <v>0</v>
      </c>
      <c r="Q51">
        <f>IF(AND(partner_type="Utility/District",Introduction!$C$17=Homes_calc!Q$34),SUM('Utility or District'!$L$9:$L18),IF(partner_type="builder",SUM(Builder!S$9:S18),0))</f>
        <v>0</v>
      </c>
      <c r="R51">
        <f>IF(AND(partner_type="Utility/District",Introduction!$C$17=Homes_calc!R$34),SUM('Utility or District'!$L$9:$L18),IF(partner_type="builder",SUM(Builder!T$9:T18),0))</f>
        <v>0</v>
      </c>
      <c r="S51">
        <f>IF(AND(partner_type="Utility/District",Introduction!$C$17=Homes_calc!S$34),SUM('Utility or District'!$L$9:$L18),IF(partner_type="builder",SUM(Builder!U$9:U18),0))</f>
        <v>0</v>
      </c>
      <c r="T51">
        <f>IF(AND(partner_type="Utility/District",Introduction!$C$17=Homes_calc!T$34),SUM('Utility or District'!$L$9:$L18),IF(partner_type="builder",SUM(Builder!V$9:V18),0))</f>
        <v>0</v>
      </c>
      <c r="U51">
        <f>IF(AND(partner_type="Utility/District",Introduction!$C$17=Homes_calc!U$34),SUM('Utility or District'!$L$9:$L18),IF(partner_type="builder",SUM(Builder!W$9:W18),0))</f>
        <v>0</v>
      </c>
      <c r="V51">
        <f>IF(AND(partner_type="Utility/District",Introduction!$C$17=Homes_calc!V$34),SUM('Utility or District'!$L$9:$L18),IF(partner_type="builder",SUM(Builder!X$9:X18),0))</f>
        <v>0</v>
      </c>
      <c r="W51">
        <f>IF(AND(partner_type="Utility/District",Introduction!$C$17=Homes_calc!W$34),SUM('Utility or District'!$L$9:$L18),IF(partner_type="builder",SUM(Builder!Y$9:Y18),0))</f>
        <v>0</v>
      </c>
      <c r="X51">
        <f>IF(AND(partner_type="Utility/District",Introduction!$C$17=Homes_calc!X$34),SUM('Utility or District'!$L$9:$L18),IF(partner_type="builder",SUM(Builder!Z$9:Z18),0))</f>
        <v>0</v>
      </c>
      <c r="Y51">
        <f>IF(AND(partner_type="Utility/District",Introduction!$C$17=Homes_calc!Y$34),SUM('Utility or District'!$L$9:$L18),IF(partner_type="builder",SUM(Builder!AA$9:AA18),0))</f>
        <v>0</v>
      </c>
      <c r="Z51">
        <f>IF(AND(partner_type="Utility/District",Introduction!$C$17=Homes_calc!Z$34),SUM('Utility or District'!$L$9:$L18),IF(partner_type="builder",SUM(Builder!AB$9:AB18),0))</f>
        <v>0</v>
      </c>
      <c r="AA51">
        <f>IF(AND(partner_type="Utility/District",Introduction!$C$17=Homes_calc!AA$34),SUM('Utility or District'!$L$9:$L18),IF(partner_type="builder",SUM(Builder!AC$9:AC18),0))</f>
        <v>0</v>
      </c>
      <c r="AB51">
        <f>IF(AND(partner_type="Utility/District",Introduction!$C$17=Homes_calc!AB$34),SUM('Utility or District'!$L$9:$L18),IF(partner_type="builder",SUM(Builder!AD$9:AD18),0))</f>
        <v>0</v>
      </c>
      <c r="AC51">
        <f>IF(AND(partner_type="Utility/District",Introduction!$C$17=Homes_calc!AC$34),SUM('Utility or District'!$L$9:$L18),IF(partner_type="builder",SUM(Builder!AE$9:AE18),0))</f>
        <v>0</v>
      </c>
      <c r="AD51">
        <f>IF(AND(partner_type="Utility/District",Introduction!$C$17=Homes_calc!AD$34),SUM('Utility or District'!$L$9:$L18),IF(partner_type="builder",SUM(Builder!AF$9:AF18),0))</f>
        <v>0</v>
      </c>
      <c r="AE51">
        <f>IF(AND(partner_type="Utility/District",Introduction!$C$17=Homes_calc!AE$34),SUM('Utility or District'!$L$9:$L18),IF(partner_type="builder",SUM(Builder!AG$9:AG18),0))</f>
        <v>0</v>
      </c>
      <c r="AF51">
        <f>IF(AND(partner_type="Utility/District",Introduction!$C$17=Homes_calc!AF$34),SUM('Utility or District'!$L$9:$L18),IF(partner_type="builder",SUM(Builder!AH$9:AH18),0))</f>
        <v>0</v>
      </c>
      <c r="AG51">
        <f>IF(AND(partner_type="Utility/District",Introduction!$C$17=Homes_calc!AG$34),SUM('Utility or District'!$L$9:$L18),IF(partner_type="builder",SUM(Builder!AI$9:AI18),0))</f>
        <v>0</v>
      </c>
      <c r="AH51">
        <f>IF(AND(partner_type="Utility/District",Introduction!$C$17=Homes_calc!AH$34),SUM('Utility or District'!$L$9:$L18),IF(partner_type="builder",SUM(Builder!AJ$9:AJ18),0))</f>
        <v>0</v>
      </c>
      <c r="AI51">
        <f>IF(AND(partner_type="Utility/District",Introduction!$C$17=Homes_calc!AI$34),SUM('Utility or District'!$L$9:$L18),IF(partner_type="builder",SUM(Builder!AK$9:AK18),0))</f>
        <v>0</v>
      </c>
      <c r="AJ51">
        <f>IF(AND(partner_type="Utility/District",Introduction!$C$17=Homes_calc!AJ$34),SUM('Utility or District'!$L$9:$L18),IF(partner_type="builder",SUM(Builder!AL$9:AL18),0))</f>
        <v>0</v>
      </c>
      <c r="AK51">
        <f>IF(AND(partner_type="Utility/District",Introduction!$C$17=Homes_calc!AK$34),SUM('Utility or District'!$L$9:$L18),IF(partner_type="builder",SUM(Builder!AM$9:AM18),0))</f>
        <v>0</v>
      </c>
      <c r="AL51">
        <f>IF(AND(partner_type="Utility/District",Introduction!$C$17=Homes_calc!AL$34),SUM('Utility or District'!$L$9:$L18),IF(partner_type="builder",SUM(Builder!AN$9:AN18),0))</f>
        <v>0</v>
      </c>
      <c r="AM51">
        <f>IF(AND(partner_type="Utility/District",Introduction!$C$17=Homes_calc!AM$34),SUM('Utility or District'!$L$9:$L18),IF(partner_type="builder",SUM(Builder!AO$9:AO18),0))</f>
        <v>0</v>
      </c>
      <c r="AN51">
        <f>IF(AND(partner_type="Utility/District",Introduction!$C$17=Homes_calc!AN$34),SUM('Utility or District'!$L$9:$L18),IF(partner_type="builder",SUM(Builder!AP$9:AP18),0))</f>
        <v>0</v>
      </c>
      <c r="AO51">
        <f>IF(AND(partner_type="Utility/District",Introduction!$C$17=Homes_calc!AO$34),SUM('Utility or District'!$L$9:$L18),IF(partner_type="builder",SUM(Builder!AQ$9:AQ18),0))</f>
        <v>0</v>
      </c>
      <c r="AP51">
        <f>IF(AND(partner_type="Utility/District",Introduction!$C$17=Homes_calc!AP$34),SUM('Utility or District'!$L$9:$L18),IF(partner_type="builder",SUM(Builder!AR$9:AR18),0))</f>
        <v>0</v>
      </c>
      <c r="AQ51">
        <f>IF(AND(partner_type="Utility/District",Introduction!$C$17=Homes_calc!AQ$34),SUM('Utility or District'!$L$9:$L18),IF(partner_type="builder",SUM(Builder!AS$9:AS18),0))</f>
        <v>0</v>
      </c>
      <c r="AR51">
        <f>IF(AND(partner_type="Utility/District",Introduction!$C$17=Homes_calc!AR$34),SUM('Utility or District'!$L$9:$L18),IF(partner_type="builder",SUM(Builder!AT$9:AT18),0))</f>
        <v>0</v>
      </c>
      <c r="AS51">
        <f>IF(AND(partner_type="Utility/District",Introduction!$C$17=Homes_calc!AS$34),SUM('Utility or District'!$L$9:$L18),IF(partner_type="builder",SUM(Builder!AU$9:AU18),0))</f>
        <v>0</v>
      </c>
      <c r="AT51">
        <f>IF(AND(partner_type="Utility/District",Introduction!$C$17=Homes_calc!AT$34),SUM('Utility or District'!$L$9:$L18),IF(partner_type="builder",SUM(Builder!AV$9:AV18),0))</f>
        <v>0</v>
      </c>
      <c r="AU51">
        <f>IF(AND(partner_type="Utility/District",Introduction!$C$17=Homes_calc!AU$34),SUM('Utility or District'!$L$9:$L18),IF(partner_type="builder",SUM(Builder!AW$9:AW18),0))</f>
        <v>0</v>
      </c>
      <c r="AV51">
        <f>IF(AND(partner_type="Utility/District",Introduction!$C$17=Homes_calc!AV$34),SUM('Utility or District'!$L$9:$L18),IF(partner_type="builder",SUM(Builder!AX$9:AX18),0))</f>
        <v>0</v>
      </c>
      <c r="AW51">
        <f>IF(AND(partner_type="Utility/District",Introduction!$C$17=Homes_calc!AW$34),SUM('Utility or District'!$L$9:$L18),IF(partner_type="builder",SUM(Builder!AY$9:AY18),0))</f>
        <v>0</v>
      </c>
      <c r="AX51">
        <f>IF(AND(partner_type="Utility/District",Introduction!$C$17=Homes_calc!AX$34),SUM('Utility or District'!$L$9:$L18),IF(partner_type="builder",SUM(Builder!AZ$9:AZ18),0))</f>
        <v>0</v>
      </c>
      <c r="AY51">
        <f>IF(AND(partner_type="Utility/District",Introduction!$C$17=Homes_calc!AY$34),SUM('Utility or District'!$L$9:$L18),IF(partner_type="builder",SUM(Builder!BA$9:BA18),0))</f>
        <v>0</v>
      </c>
      <c r="AZ51">
        <f>IF(AND(partner_type="Utility/District",Introduction!$C$17=Homes_calc!AZ$34),SUM('Utility or District'!$L$9:$L18),IF(partner_type="builder",SUM(Builder!BB$9:BB18),0))</f>
        <v>0</v>
      </c>
      <c r="BA51">
        <f>IF(AND(partner_type="Utility/District",Introduction!$C$17=Homes_calc!BA$34),SUM('Utility or District'!$L$9:$L18),IF(partner_type="builder",SUM(Builder!BC$9:BC18),0))</f>
        <v>0</v>
      </c>
    </row>
    <row r="52" spans="2:53">
      <c r="B52" s="228">
        <v>2019</v>
      </c>
      <c r="C52">
        <f>IF(AND(partner_type="Utility/District",Introduction!$C$17=Homes_calc!C$34),SUM('Utility or District'!$L$9:$L19),IF(partner_type="builder",SUM(Builder!E$9:E19),0))</f>
        <v>0</v>
      </c>
      <c r="D52">
        <f>IF(AND(partner_type="Utility/District",Introduction!$C$17=Homes_calc!D$34),SUM('Utility or District'!$L$9:$L19),IF(partner_type="builder",SUM(Builder!F$9:F19),0))</f>
        <v>0</v>
      </c>
      <c r="E52">
        <f>IF(AND(partner_type="Utility/District",Introduction!$C$17=Homes_calc!E$34),SUM('Utility or District'!$L$9:$L19),IF(partner_type="builder",SUM(Builder!G$9:G19),0))</f>
        <v>0</v>
      </c>
      <c r="F52">
        <f>IF(AND(partner_type="Utility/District",Introduction!$C$17=Homes_calc!F$34),SUM('Utility or District'!$L$9:$L19),IF(partner_type="builder",SUM(Builder!H$9:H19),0))</f>
        <v>0</v>
      </c>
      <c r="G52">
        <f>IF(AND(partner_type="Utility/District",Introduction!$C$17=Homes_calc!G$34),SUM('Utility or District'!$L$9:$L19),IF(partner_type="builder",SUM(Builder!I$9:I19),0))</f>
        <v>0</v>
      </c>
      <c r="H52">
        <f>IF(AND(partner_type="Utility/District",Introduction!$C$17=Homes_calc!H$34),SUM('Utility or District'!$L$9:$L19),IF(partner_type="builder",SUM(Builder!J$9:J19),0))</f>
        <v>0</v>
      </c>
      <c r="I52">
        <f>IF(AND(partner_type="Utility/District",Introduction!$C$17=Homes_calc!I$34),SUM('Utility or District'!$L$9:$L19),IF(partner_type="builder",SUM(Builder!K$9:K19),0))</f>
        <v>0</v>
      </c>
      <c r="J52">
        <f>IF(AND(partner_type="Utility/District",Introduction!$C$17=Homes_calc!J$34),SUM('Utility or District'!$L$9:$L19),IF(partner_type="builder",SUM(Builder!L$9:L19),0))</f>
        <v>0</v>
      </c>
      <c r="K52">
        <f>IF(AND(partner_type="Utility/District",Introduction!$C$17=Homes_calc!K$34),SUM('Utility or District'!$L$9:$L19),IF(partner_type="builder",SUM(Builder!M$9:M19),0))</f>
        <v>0</v>
      </c>
      <c r="L52">
        <f>IF(AND(partner_type="Utility/District",Introduction!$C$17=Homes_calc!L$34),SUM('Utility or District'!$L$9:$L19),IF(partner_type="builder",SUM(Builder!N$9:N19),0))</f>
        <v>0</v>
      </c>
      <c r="M52">
        <f>IF(AND(partner_type="Utility/District",Introduction!$C$17=Homes_calc!M$34),SUM('Utility or District'!$L$9:$L19),IF(partner_type="builder",SUM(Builder!O$9:O19),0))</f>
        <v>0</v>
      </c>
      <c r="N52">
        <f>IF(AND(partner_type="Utility/District",Introduction!$C$17=Homes_calc!N$34),SUM('Utility or District'!$L$9:$L19),IF(partner_type="builder",SUM(Builder!P$9:P19),0))</f>
        <v>0</v>
      </c>
      <c r="O52">
        <f>IF(AND(partner_type="Utility/District",Introduction!$C$17=Homes_calc!O$34),SUM('Utility or District'!$L$9:$L19),IF(partner_type="builder",SUM(Builder!Q$9:Q19),0))</f>
        <v>0</v>
      </c>
      <c r="P52">
        <f>IF(AND(partner_type="Utility/District",Introduction!$C$17=Homes_calc!P$34),SUM('Utility or District'!$L$9:$L19),IF(partner_type="builder",SUM(Builder!R$9:R19),0))</f>
        <v>0</v>
      </c>
      <c r="Q52">
        <f>IF(AND(partner_type="Utility/District",Introduction!$C$17=Homes_calc!Q$34),SUM('Utility or District'!$L$9:$L19),IF(partner_type="builder",SUM(Builder!S$9:S19),0))</f>
        <v>0</v>
      </c>
      <c r="R52">
        <f>IF(AND(partner_type="Utility/District",Introduction!$C$17=Homes_calc!R$34),SUM('Utility or District'!$L$9:$L19),IF(partner_type="builder",SUM(Builder!T$9:T19),0))</f>
        <v>0</v>
      </c>
      <c r="S52">
        <f>IF(AND(partner_type="Utility/District",Introduction!$C$17=Homes_calc!S$34),SUM('Utility or District'!$L$9:$L19),IF(partner_type="builder",SUM(Builder!U$9:U19),0))</f>
        <v>0</v>
      </c>
      <c r="T52">
        <f>IF(AND(partner_type="Utility/District",Introduction!$C$17=Homes_calc!T$34),SUM('Utility or District'!$L$9:$L19),IF(partner_type="builder",SUM(Builder!V$9:V19),0))</f>
        <v>0</v>
      </c>
      <c r="U52">
        <f>IF(AND(partner_type="Utility/District",Introduction!$C$17=Homes_calc!U$34),SUM('Utility or District'!$L$9:$L19),IF(partner_type="builder",SUM(Builder!W$9:W19),0))</f>
        <v>0</v>
      </c>
      <c r="V52">
        <f>IF(AND(partner_type="Utility/District",Introduction!$C$17=Homes_calc!V$34),SUM('Utility or District'!$L$9:$L19),IF(partner_type="builder",SUM(Builder!X$9:X19),0))</f>
        <v>0</v>
      </c>
      <c r="W52">
        <f>IF(AND(partner_type="Utility/District",Introduction!$C$17=Homes_calc!W$34),SUM('Utility or District'!$L$9:$L19),IF(partner_type="builder",SUM(Builder!Y$9:Y19),0))</f>
        <v>0</v>
      </c>
      <c r="X52">
        <f>IF(AND(partner_type="Utility/District",Introduction!$C$17=Homes_calc!X$34),SUM('Utility or District'!$L$9:$L19),IF(partner_type="builder",SUM(Builder!Z$9:Z19),0))</f>
        <v>0</v>
      </c>
      <c r="Y52">
        <f>IF(AND(partner_type="Utility/District",Introduction!$C$17=Homes_calc!Y$34),SUM('Utility or District'!$L$9:$L19),IF(partner_type="builder",SUM(Builder!AA$9:AA19),0))</f>
        <v>0</v>
      </c>
      <c r="Z52">
        <f>IF(AND(partner_type="Utility/District",Introduction!$C$17=Homes_calc!Z$34),SUM('Utility or District'!$L$9:$L19),IF(partner_type="builder",SUM(Builder!AB$9:AB19),0))</f>
        <v>0</v>
      </c>
      <c r="AA52">
        <f>IF(AND(partner_type="Utility/District",Introduction!$C$17=Homes_calc!AA$34),SUM('Utility or District'!$L$9:$L19),IF(partner_type="builder",SUM(Builder!AC$9:AC19),0))</f>
        <v>0</v>
      </c>
      <c r="AB52">
        <f>IF(AND(partner_type="Utility/District",Introduction!$C$17=Homes_calc!AB$34),SUM('Utility or District'!$L$9:$L19),IF(partner_type="builder",SUM(Builder!AD$9:AD19),0))</f>
        <v>0</v>
      </c>
      <c r="AC52">
        <f>IF(AND(partner_type="Utility/District",Introduction!$C$17=Homes_calc!AC$34),SUM('Utility or District'!$L$9:$L19),IF(partner_type="builder",SUM(Builder!AE$9:AE19),0))</f>
        <v>0</v>
      </c>
      <c r="AD52">
        <f>IF(AND(partner_type="Utility/District",Introduction!$C$17=Homes_calc!AD$34),SUM('Utility or District'!$L$9:$L19),IF(partner_type="builder",SUM(Builder!AF$9:AF19),0))</f>
        <v>0</v>
      </c>
      <c r="AE52">
        <f>IF(AND(partner_type="Utility/District",Introduction!$C$17=Homes_calc!AE$34),SUM('Utility or District'!$L$9:$L19),IF(partner_type="builder",SUM(Builder!AG$9:AG19),0))</f>
        <v>0</v>
      </c>
      <c r="AF52">
        <f>IF(AND(partner_type="Utility/District",Introduction!$C$17=Homes_calc!AF$34),SUM('Utility or District'!$L$9:$L19),IF(partner_type="builder",SUM(Builder!AH$9:AH19),0))</f>
        <v>0</v>
      </c>
      <c r="AG52">
        <f>IF(AND(partner_type="Utility/District",Introduction!$C$17=Homes_calc!AG$34),SUM('Utility or District'!$L$9:$L19),IF(partner_type="builder",SUM(Builder!AI$9:AI19),0))</f>
        <v>0</v>
      </c>
      <c r="AH52">
        <f>IF(AND(partner_type="Utility/District",Introduction!$C$17=Homes_calc!AH$34),SUM('Utility or District'!$L$9:$L19),IF(partner_type="builder",SUM(Builder!AJ$9:AJ19),0))</f>
        <v>0</v>
      </c>
      <c r="AI52">
        <f>IF(AND(partner_type="Utility/District",Introduction!$C$17=Homes_calc!AI$34),SUM('Utility or District'!$L$9:$L19),IF(partner_type="builder",SUM(Builder!AK$9:AK19),0))</f>
        <v>0</v>
      </c>
      <c r="AJ52">
        <f>IF(AND(partner_type="Utility/District",Introduction!$C$17=Homes_calc!AJ$34),SUM('Utility or District'!$L$9:$L19),IF(partner_type="builder",SUM(Builder!AL$9:AL19),0))</f>
        <v>0</v>
      </c>
      <c r="AK52">
        <f>IF(AND(partner_type="Utility/District",Introduction!$C$17=Homes_calc!AK$34),SUM('Utility or District'!$L$9:$L19),IF(partner_type="builder",SUM(Builder!AM$9:AM19),0))</f>
        <v>0</v>
      </c>
      <c r="AL52">
        <f>IF(AND(partner_type="Utility/District",Introduction!$C$17=Homes_calc!AL$34),SUM('Utility or District'!$L$9:$L19),IF(partner_type="builder",SUM(Builder!AN$9:AN19),0))</f>
        <v>0</v>
      </c>
      <c r="AM52">
        <f>IF(AND(partner_type="Utility/District",Introduction!$C$17=Homes_calc!AM$34),SUM('Utility or District'!$L$9:$L19),IF(partner_type="builder",SUM(Builder!AO$9:AO19),0))</f>
        <v>0</v>
      </c>
      <c r="AN52">
        <f>IF(AND(partner_type="Utility/District",Introduction!$C$17=Homes_calc!AN$34),SUM('Utility or District'!$L$9:$L19),IF(partner_type="builder",SUM(Builder!AP$9:AP19),0))</f>
        <v>0</v>
      </c>
      <c r="AO52">
        <f>IF(AND(partner_type="Utility/District",Introduction!$C$17=Homes_calc!AO$34),SUM('Utility or District'!$L$9:$L19),IF(partner_type="builder",SUM(Builder!AQ$9:AQ19),0))</f>
        <v>0</v>
      </c>
      <c r="AP52">
        <f>IF(AND(partner_type="Utility/District",Introduction!$C$17=Homes_calc!AP$34),SUM('Utility or District'!$L$9:$L19),IF(partner_type="builder",SUM(Builder!AR$9:AR19),0))</f>
        <v>0</v>
      </c>
      <c r="AQ52">
        <f>IF(AND(partner_type="Utility/District",Introduction!$C$17=Homes_calc!AQ$34),SUM('Utility or District'!$L$9:$L19),IF(partner_type="builder",SUM(Builder!AS$9:AS19),0))</f>
        <v>0</v>
      </c>
      <c r="AR52">
        <f>IF(AND(partner_type="Utility/District",Introduction!$C$17=Homes_calc!AR$34),SUM('Utility or District'!$L$9:$L19),IF(partner_type="builder",SUM(Builder!AT$9:AT19),0))</f>
        <v>0</v>
      </c>
      <c r="AS52">
        <f>IF(AND(partner_type="Utility/District",Introduction!$C$17=Homes_calc!AS$34),SUM('Utility or District'!$L$9:$L19),IF(partner_type="builder",SUM(Builder!AU$9:AU19),0))</f>
        <v>0</v>
      </c>
      <c r="AT52">
        <f>IF(AND(partner_type="Utility/District",Introduction!$C$17=Homes_calc!AT$34),SUM('Utility or District'!$L$9:$L19),IF(partner_type="builder",SUM(Builder!AV$9:AV19),0))</f>
        <v>0</v>
      </c>
      <c r="AU52">
        <f>IF(AND(partner_type="Utility/District",Introduction!$C$17=Homes_calc!AU$34),SUM('Utility or District'!$L$9:$L19),IF(partner_type="builder",SUM(Builder!AW$9:AW19),0))</f>
        <v>0</v>
      </c>
      <c r="AV52">
        <f>IF(AND(partner_type="Utility/District",Introduction!$C$17=Homes_calc!AV$34),SUM('Utility or District'!$L$9:$L19),IF(partner_type="builder",SUM(Builder!AX$9:AX19),0))</f>
        <v>0</v>
      </c>
      <c r="AW52">
        <f>IF(AND(partner_type="Utility/District",Introduction!$C$17=Homes_calc!AW$34),SUM('Utility or District'!$L$9:$L19),IF(partner_type="builder",SUM(Builder!AY$9:AY19),0))</f>
        <v>0</v>
      </c>
      <c r="AX52">
        <f>IF(AND(partner_type="Utility/District",Introduction!$C$17=Homes_calc!AX$34),SUM('Utility or District'!$L$9:$L19),IF(partner_type="builder",SUM(Builder!AZ$9:AZ19),0))</f>
        <v>0</v>
      </c>
      <c r="AY52">
        <f>IF(AND(partner_type="Utility/District",Introduction!$C$17=Homes_calc!AY$34),SUM('Utility or District'!$L$9:$L19),IF(partner_type="builder",SUM(Builder!BA$9:BA19),0))</f>
        <v>0</v>
      </c>
      <c r="AZ52">
        <f>IF(AND(partner_type="Utility/District",Introduction!$C$17=Homes_calc!AZ$34),SUM('Utility or District'!$L$9:$L19),IF(partner_type="builder",SUM(Builder!BB$9:BB19),0))</f>
        <v>0</v>
      </c>
      <c r="BA52">
        <f>IF(AND(partner_type="Utility/District",Introduction!$C$17=Homes_calc!BA$34),SUM('Utility or District'!$L$9:$L19),IF(partner_type="builder",SUM(Builder!BC$9:BC19),0))</f>
        <v>0</v>
      </c>
    </row>
    <row r="53" spans="2:53">
      <c r="B53" s="226">
        <v>2020</v>
      </c>
      <c r="C53">
        <f>IF(AND(partner_type="Utility/District",Introduction!$C$17=Homes_calc!C$34),SUM('Utility or District'!$L$9:$L20),IF(partner_type="builder",SUM(Builder!E$9:E20),0))</f>
        <v>0</v>
      </c>
      <c r="D53">
        <f>IF(AND(partner_type="Utility/District",Introduction!$C$17=Homes_calc!D$34),SUM('Utility or District'!$L$9:$L20),IF(partner_type="builder",SUM(Builder!F$9:F20),0))</f>
        <v>0</v>
      </c>
      <c r="E53">
        <f>IF(AND(partner_type="Utility/District",Introduction!$C$17=Homes_calc!E$34),SUM('Utility or District'!$L$9:$L20),IF(partner_type="builder",SUM(Builder!G$9:G20),0))</f>
        <v>0</v>
      </c>
      <c r="F53">
        <f>IF(AND(partner_type="Utility/District",Introduction!$C$17=Homes_calc!F$34),SUM('Utility or District'!$L$9:$L20),IF(partner_type="builder",SUM(Builder!H$9:H20),0))</f>
        <v>0</v>
      </c>
      <c r="G53">
        <f>IF(AND(partner_type="Utility/District",Introduction!$C$17=Homes_calc!G$34),SUM('Utility or District'!$L$9:$L20),IF(partner_type="builder",SUM(Builder!I$9:I20),0))</f>
        <v>0</v>
      </c>
      <c r="H53">
        <f>IF(AND(partner_type="Utility/District",Introduction!$C$17=Homes_calc!H$34),SUM('Utility or District'!$L$9:$L20),IF(partner_type="builder",SUM(Builder!J$9:J20),0))</f>
        <v>0</v>
      </c>
      <c r="I53">
        <f>IF(AND(partner_type="Utility/District",Introduction!$C$17=Homes_calc!I$34),SUM('Utility or District'!$L$9:$L20),IF(partner_type="builder",SUM(Builder!K$9:K20),0))</f>
        <v>0</v>
      </c>
      <c r="J53">
        <f>IF(AND(partner_type="Utility/District",Introduction!$C$17=Homes_calc!J$34),SUM('Utility or District'!$L$9:$L20),IF(partner_type="builder",SUM(Builder!L$9:L20),0))</f>
        <v>0</v>
      </c>
      <c r="K53">
        <f>IF(AND(partner_type="Utility/District",Introduction!$C$17=Homes_calc!K$34),SUM('Utility or District'!$L$9:$L20),IF(partner_type="builder",SUM(Builder!M$9:M20),0))</f>
        <v>0</v>
      </c>
      <c r="L53">
        <f>IF(AND(partner_type="Utility/District",Introduction!$C$17=Homes_calc!L$34),SUM('Utility or District'!$L$9:$L20),IF(partner_type="builder",SUM(Builder!N$9:N20),0))</f>
        <v>0</v>
      </c>
      <c r="M53">
        <f>IF(AND(partner_type="Utility/District",Introduction!$C$17=Homes_calc!M$34),SUM('Utility or District'!$L$9:$L20),IF(partner_type="builder",SUM(Builder!O$9:O20),0))</f>
        <v>0</v>
      </c>
      <c r="N53">
        <f>IF(AND(partner_type="Utility/District",Introduction!$C$17=Homes_calc!N$34),SUM('Utility or District'!$L$9:$L20),IF(partner_type="builder",SUM(Builder!P$9:P20),0))</f>
        <v>0</v>
      </c>
      <c r="O53">
        <f>IF(AND(partner_type="Utility/District",Introduction!$C$17=Homes_calc!O$34),SUM('Utility or District'!$L$9:$L20),IF(partner_type="builder",SUM(Builder!Q$9:Q20),0))</f>
        <v>0</v>
      </c>
      <c r="P53">
        <f>IF(AND(partner_type="Utility/District",Introduction!$C$17=Homes_calc!P$34),SUM('Utility or District'!$L$9:$L20),IF(partner_type="builder",SUM(Builder!R$9:R20),0))</f>
        <v>0</v>
      </c>
      <c r="Q53">
        <f>IF(AND(partner_type="Utility/District",Introduction!$C$17=Homes_calc!Q$34),SUM('Utility or District'!$L$9:$L20),IF(partner_type="builder",SUM(Builder!S$9:S20),0))</f>
        <v>0</v>
      </c>
      <c r="R53">
        <f>IF(AND(partner_type="Utility/District",Introduction!$C$17=Homes_calc!R$34),SUM('Utility or District'!$L$9:$L20),IF(partner_type="builder",SUM(Builder!T$9:T20),0))</f>
        <v>0</v>
      </c>
      <c r="S53">
        <f>IF(AND(partner_type="Utility/District",Introduction!$C$17=Homes_calc!S$34),SUM('Utility or District'!$L$9:$L20),IF(partner_type="builder",SUM(Builder!U$9:U20),0))</f>
        <v>0</v>
      </c>
      <c r="T53">
        <f>IF(AND(partner_type="Utility/District",Introduction!$C$17=Homes_calc!T$34),SUM('Utility or District'!$L$9:$L20),IF(partner_type="builder",SUM(Builder!V$9:V20),0))</f>
        <v>0</v>
      </c>
      <c r="U53">
        <f>IF(AND(partner_type="Utility/District",Introduction!$C$17=Homes_calc!U$34),SUM('Utility or District'!$L$9:$L20),IF(partner_type="builder",SUM(Builder!W$9:W20),0))</f>
        <v>0</v>
      </c>
      <c r="V53">
        <f>IF(AND(partner_type="Utility/District",Introduction!$C$17=Homes_calc!V$34),SUM('Utility or District'!$L$9:$L20),IF(partner_type="builder",SUM(Builder!X$9:X20),0))</f>
        <v>0</v>
      </c>
      <c r="W53">
        <f>IF(AND(partner_type="Utility/District",Introduction!$C$17=Homes_calc!W$34),SUM('Utility or District'!$L$9:$L20),IF(partner_type="builder",SUM(Builder!Y$9:Y20),0))</f>
        <v>0</v>
      </c>
      <c r="X53">
        <f>IF(AND(partner_type="Utility/District",Introduction!$C$17=Homes_calc!X$34),SUM('Utility or District'!$L$9:$L20),IF(partner_type="builder",SUM(Builder!Z$9:Z20),0))</f>
        <v>0</v>
      </c>
      <c r="Y53">
        <f>IF(AND(partner_type="Utility/District",Introduction!$C$17=Homes_calc!Y$34),SUM('Utility or District'!$L$9:$L20),IF(partner_type="builder",SUM(Builder!AA$9:AA20),0))</f>
        <v>0</v>
      </c>
      <c r="Z53">
        <f>IF(AND(partner_type="Utility/District",Introduction!$C$17=Homes_calc!Z$34),SUM('Utility or District'!$L$9:$L20),IF(partner_type="builder",SUM(Builder!AB$9:AB20),0))</f>
        <v>0</v>
      </c>
      <c r="AA53">
        <f>IF(AND(partner_type="Utility/District",Introduction!$C$17=Homes_calc!AA$34),SUM('Utility or District'!$L$9:$L20),IF(partner_type="builder",SUM(Builder!AC$9:AC20),0))</f>
        <v>0</v>
      </c>
      <c r="AB53">
        <f>IF(AND(partner_type="Utility/District",Introduction!$C$17=Homes_calc!AB$34),SUM('Utility or District'!$L$9:$L20),IF(partner_type="builder",SUM(Builder!AD$9:AD20),0))</f>
        <v>0</v>
      </c>
      <c r="AC53">
        <f>IF(AND(partner_type="Utility/District",Introduction!$C$17=Homes_calc!AC$34),SUM('Utility or District'!$L$9:$L20),IF(partner_type="builder",SUM(Builder!AE$9:AE20),0))</f>
        <v>0</v>
      </c>
      <c r="AD53">
        <f>IF(AND(partner_type="Utility/District",Introduction!$C$17=Homes_calc!AD$34),SUM('Utility or District'!$L$9:$L20),IF(partner_type="builder",SUM(Builder!AF$9:AF20),0))</f>
        <v>0</v>
      </c>
      <c r="AE53">
        <f>IF(AND(partner_type="Utility/District",Introduction!$C$17=Homes_calc!AE$34),SUM('Utility or District'!$L$9:$L20),IF(partner_type="builder",SUM(Builder!AG$9:AG20),0))</f>
        <v>0</v>
      </c>
      <c r="AF53">
        <f>IF(AND(partner_type="Utility/District",Introduction!$C$17=Homes_calc!AF$34),SUM('Utility or District'!$L$9:$L20),IF(partner_type="builder",SUM(Builder!AH$9:AH20),0))</f>
        <v>0</v>
      </c>
      <c r="AG53">
        <f>IF(AND(partner_type="Utility/District",Introduction!$C$17=Homes_calc!AG$34),SUM('Utility or District'!$L$9:$L20),IF(partner_type="builder",SUM(Builder!AI$9:AI20),0))</f>
        <v>0</v>
      </c>
      <c r="AH53">
        <f>IF(AND(partner_type="Utility/District",Introduction!$C$17=Homes_calc!AH$34),SUM('Utility or District'!$L$9:$L20),IF(partner_type="builder",SUM(Builder!AJ$9:AJ20),0))</f>
        <v>0</v>
      </c>
      <c r="AI53">
        <f>IF(AND(partner_type="Utility/District",Introduction!$C$17=Homes_calc!AI$34),SUM('Utility or District'!$L$9:$L20),IF(partner_type="builder",SUM(Builder!AK$9:AK20),0))</f>
        <v>0</v>
      </c>
      <c r="AJ53">
        <f>IF(AND(partner_type="Utility/District",Introduction!$C$17=Homes_calc!AJ$34),SUM('Utility or District'!$L$9:$L20),IF(partner_type="builder",SUM(Builder!AL$9:AL20),0))</f>
        <v>0</v>
      </c>
      <c r="AK53">
        <f>IF(AND(partner_type="Utility/District",Introduction!$C$17=Homes_calc!AK$34),SUM('Utility or District'!$L$9:$L20),IF(partner_type="builder",SUM(Builder!AM$9:AM20),0))</f>
        <v>0</v>
      </c>
      <c r="AL53">
        <f>IF(AND(partner_type="Utility/District",Introduction!$C$17=Homes_calc!AL$34),SUM('Utility or District'!$L$9:$L20),IF(partner_type="builder",SUM(Builder!AN$9:AN20),0))</f>
        <v>0</v>
      </c>
      <c r="AM53">
        <f>IF(AND(partner_type="Utility/District",Introduction!$C$17=Homes_calc!AM$34),SUM('Utility or District'!$L$9:$L20),IF(partner_type="builder",SUM(Builder!AO$9:AO20),0))</f>
        <v>0</v>
      </c>
      <c r="AN53">
        <f>IF(AND(partner_type="Utility/District",Introduction!$C$17=Homes_calc!AN$34),SUM('Utility or District'!$L$9:$L20),IF(partner_type="builder",SUM(Builder!AP$9:AP20),0))</f>
        <v>0</v>
      </c>
      <c r="AO53">
        <f>IF(AND(partner_type="Utility/District",Introduction!$C$17=Homes_calc!AO$34),SUM('Utility or District'!$L$9:$L20),IF(partner_type="builder",SUM(Builder!AQ$9:AQ20),0))</f>
        <v>0</v>
      </c>
      <c r="AP53">
        <f>IF(AND(partner_type="Utility/District",Introduction!$C$17=Homes_calc!AP$34),SUM('Utility or District'!$L$9:$L20),IF(partner_type="builder",SUM(Builder!AR$9:AR20),0))</f>
        <v>0</v>
      </c>
      <c r="AQ53">
        <f>IF(AND(partner_type="Utility/District",Introduction!$C$17=Homes_calc!AQ$34),SUM('Utility or District'!$L$9:$L20),IF(partner_type="builder",SUM(Builder!AS$9:AS20),0))</f>
        <v>0</v>
      </c>
      <c r="AR53">
        <f>IF(AND(partner_type="Utility/District",Introduction!$C$17=Homes_calc!AR$34),SUM('Utility or District'!$L$9:$L20),IF(partner_type="builder",SUM(Builder!AT$9:AT20),0))</f>
        <v>0</v>
      </c>
      <c r="AS53">
        <f>IF(AND(partner_type="Utility/District",Introduction!$C$17=Homes_calc!AS$34),SUM('Utility or District'!$L$9:$L20),IF(partner_type="builder",SUM(Builder!AU$9:AU20),0))</f>
        <v>0</v>
      </c>
      <c r="AT53">
        <f>IF(AND(partner_type="Utility/District",Introduction!$C$17=Homes_calc!AT$34),SUM('Utility or District'!$L$9:$L20),IF(partner_type="builder",SUM(Builder!AV$9:AV20),0))</f>
        <v>0</v>
      </c>
      <c r="AU53">
        <f>IF(AND(partner_type="Utility/District",Introduction!$C$17=Homes_calc!AU$34),SUM('Utility or District'!$L$9:$L20),IF(partner_type="builder",SUM(Builder!AW$9:AW20),0))</f>
        <v>0</v>
      </c>
      <c r="AV53">
        <f>IF(AND(partner_type="Utility/District",Introduction!$C$17=Homes_calc!AV$34),SUM('Utility or District'!$L$9:$L20),IF(partner_type="builder",SUM(Builder!AX$9:AX20),0))</f>
        <v>0</v>
      </c>
      <c r="AW53">
        <f>IF(AND(partner_type="Utility/District",Introduction!$C$17=Homes_calc!AW$34),SUM('Utility or District'!$L$9:$L20),IF(partner_type="builder",SUM(Builder!AY$9:AY20),0))</f>
        <v>0</v>
      </c>
      <c r="AX53">
        <f>IF(AND(partner_type="Utility/District",Introduction!$C$17=Homes_calc!AX$34),SUM('Utility or District'!$L$9:$L20),IF(partner_type="builder",SUM(Builder!AZ$9:AZ20),0))</f>
        <v>0</v>
      </c>
      <c r="AY53">
        <f>IF(AND(partner_type="Utility/District",Introduction!$C$17=Homes_calc!AY$34),SUM('Utility or District'!$L$9:$L20),IF(partner_type="builder",SUM(Builder!BA$9:BA20),0))</f>
        <v>0</v>
      </c>
      <c r="AZ53">
        <f>IF(AND(partner_type="Utility/District",Introduction!$C$17=Homes_calc!AZ$34),SUM('Utility or District'!$L$9:$L20),IF(partner_type="builder",SUM(Builder!BB$9:BB20),0))</f>
        <v>0</v>
      </c>
      <c r="BA53">
        <f>IF(AND(partner_type="Utility/District",Introduction!$C$17=Homes_calc!BA$34),SUM('Utility or District'!$L$9:$L20),IF(partner_type="builder",SUM(Builder!BC$9:BC20),0))</f>
        <v>0</v>
      </c>
    </row>
    <row r="54" spans="2:53">
      <c r="B54" s="228">
        <v>2021</v>
      </c>
      <c r="C54">
        <f>IF(AND(partner_type="Utility/District",Introduction!$C$17=Homes_calc!C$34),SUM('Utility or District'!$L$9:$L21),IF(partner_type="builder",SUM(Builder!E$9:E21),0))</f>
        <v>0</v>
      </c>
      <c r="D54">
        <f>IF(AND(partner_type="Utility/District",Introduction!$C$17=Homes_calc!D$34),SUM('Utility or District'!$L$9:$L21),IF(partner_type="builder",SUM(Builder!F$9:F21),0))</f>
        <v>0</v>
      </c>
      <c r="E54">
        <f>IF(AND(partner_type="Utility/District",Introduction!$C$17=Homes_calc!E$34),SUM('Utility or District'!$L$9:$L21),IF(partner_type="builder",SUM(Builder!G$9:G21),0))</f>
        <v>0</v>
      </c>
      <c r="F54">
        <f>IF(AND(partner_type="Utility/District",Introduction!$C$17=Homes_calc!F$34),SUM('Utility or District'!$L$9:$L21),IF(partner_type="builder",SUM(Builder!H$9:H21),0))</f>
        <v>0</v>
      </c>
      <c r="G54">
        <f>IF(AND(partner_type="Utility/District",Introduction!$C$17=Homes_calc!G$34),SUM('Utility or District'!$L$9:$L21),IF(partner_type="builder",SUM(Builder!I$9:I21),0))</f>
        <v>0</v>
      </c>
      <c r="H54">
        <f>IF(AND(partner_type="Utility/District",Introduction!$C$17=Homes_calc!H$34),SUM('Utility or District'!$L$9:$L21),IF(partner_type="builder",SUM(Builder!J$9:J21),0))</f>
        <v>0</v>
      </c>
      <c r="I54">
        <f>IF(AND(partner_type="Utility/District",Introduction!$C$17=Homes_calc!I$34),SUM('Utility or District'!$L$9:$L21),IF(partner_type="builder",SUM(Builder!K$9:K21),0))</f>
        <v>0</v>
      </c>
      <c r="J54">
        <f>IF(AND(partner_type="Utility/District",Introduction!$C$17=Homes_calc!J$34),SUM('Utility or District'!$L$9:$L21),IF(partner_type="builder",SUM(Builder!L$9:L21),0))</f>
        <v>0</v>
      </c>
      <c r="K54">
        <f>IF(AND(partner_type="Utility/District",Introduction!$C$17=Homes_calc!K$34),SUM('Utility or District'!$L$9:$L21),IF(partner_type="builder",SUM(Builder!M$9:M21),0))</f>
        <v>0</v>
      </c>
      <c r="L54">
        <f>IF(AND(partner_type="Utility/District",Introduction!$C$17=Homes_calc!L$34),SUM('Utility or District'!$L$9:$L21),IF(partner_type="builder",SUM(Builder!N$9:N21),0))</f>
        <v>0</v>
      </c>
      <c r="M54">
        <f>IF(AND(partner_type="Utility/District",Introduction!$C$17=Homes_calc!M$34),SUM('Utility or District'!$L$9:$L21),IF(partner_type="builder",SUM(Builder!O$9:O21),0))</f>
        <v>0</v>
      </c>
      <c r="N54">
        <f>IF(AND(partner_type="Utility/District",Introduction!$C$17=Homes_calc!N$34),SUM('Utility or District'!$L$9:$L21),IF(partner_type="builder",SUM(Builder!P$9:P21),0))</f>
        <v>0</v>
      </c>
      <c r="O54">
        <f>IF(AND(partner_type="Utility/District",Introduction!$C$17=Homes_calc!O$34),SUM('Utility or District'!$L$9:$L21),IF(partner_type="builder",SUM(Builder!Q$9:Q21),0))</f>
        <v>0</v>
      </c>
      <c r="P54">
        <f>IF(AND(partner_type="Utility/District",Introduction!$C$17=Homes_calc!P$34),SUM('Utility or District'!$L$9:$L21),IF(partner_type="builder",SUM(Builder!R$9:R21),0))</f>
        <v>0</v>
      </c>
      <c r="Q54">
        <f>IF(AND(partner_type="Utility/District",Introduction!$C$17=Homes_calc!Q$34),SUM('Utility or District'!$L$9:$L21),IF(partner_type="builder",SUM(Builder!S$9:S21),0))</f>
        <v>0</v>
      </c>
      <c r="R54">
        <f>IF(AND(partner_type="Utility/District",Introduction!$C$17=Homes_calc!R$34),SUM('Utility or District'!$L$9:$L21),IF(partner_type="builder",SUM(Builder!T$9:T21),0))</f>
        <v>0</v>
      </c>
      <c r="S54">
        <f>IF(AND(partner_type="Utility/District",Introduction!$C$17=Homes_calc!S$34),SUM('Utility or District'!$L$9:$L21),IF(partner_type="builder",SUM(Builder!U$9:U21),0))</f>
        <v>0</v>
      </c>
      <c r="T54">
        <f>IF(AND(partner_type="Utility/District",Introduction!$C$17=Homes_calc!T$34),SUM('Utility or District'!$L$9:$L21),IF(partner_type="builder",SUM(Builder!V$9:V21),0))</f>
        <v>0</v>
      </c>
      <c r="U54">
        <f>IF(AND(partner_type="Utility/District",Introduction!$C$17=Homes_calc!U$34),SUM('Utility or District'!$L$9:$L21),IF(partner_type="builder",SUM(Builder!W$9:W21),0))</f>
        <v>0</v>
      </c>
      <c r="V54">
        <f>IF(AND(partner_type="Utility/District",Introduction!$C$17=Homes_calc!V$34),SUM('Utility or District'!$L$9:$L21),IF(partner_type="builder",SUM(Builder!X$9:X21),0))</f>
        <v>0</v>
      </c>
      <c r="W54">
        <f>IF(AND(partner_type="Utility/District",Introduction!$C$17=Homes_calc!W$34),SUM('Utility or District'!$L$9:$L21),IF(partner_type="builder",SUM(Builder!Y$9:Y21),0))</f>
        <v>0</v>
      </c>
      <c r="X54">
        <f>IF(AND(partner_type="Utility/District",Introduction!$C$17=Homes_calc!X$34),SUM('Utility or District'!$L$9:$L21),IF(partner_type="builder",SUM(Builder!Z$9:Z21),0))</f>
        <v>0</v>
      </c>
      <c r="Y54">
        <f>IF(AND(partner_type="Utility/District",Introduction!$C$17=Homes_calc!Y$34),SUM('Utility or District'!$L$9:$L21),IF(partner_type="builder",SUM(Builder!AA$9:AA21),0))</f>
        <v>0</v>
      </c>
      <c r="Z54">
        <f>IF(AND(partner_type="Utility/District",Introduction!$C$17=Homes_calc!Z$34),SUM('Utility or District'!$L$9:$L21),IF(partner_type="builder",SUM(Builder!AB$9:AB21),0))</f>
        <v>0</v>
      </c>
      <c r="AA54">
        <f>IF(AND(partner_type="Utility/District",Introduction!$C$17=Homes_calc!AA$34),SUM('Utility or District'!$L$9:$L21),IF(partner_type="builder",SUM(Builder!AC$9:AC21),0))</f>
        <v>0</v>
      </c>
      <c r="AB54">
        <f>IF(AND(partner_type="Utility/District",Introduction!$C$17=Homes_calc!AB$34),SUM('Utility or District'!$L$9:$L21),IF(partner_type="builder",SUM(Builder!AD$9:AD21),0))</f>
        <v>0</v>
      </c>
      <c r="AC54">
        <f>IF(AND(partner_type="Utility/District",Introduction!$C$17=Homes_calc!AC$34),SUM('Utility or District'!$L$9:$L21),IF(partner_type="builder",SUM(Builder!AE$9:AE21),0))</f>
        <v>0</v>
      </c>
      <c r="AD54">
        <f>IF(AND(partner_type="Utility/District",Introduction!$C$17=Homes_calc!AD$34),SUM('Utility or District'!$L$9:$L21),IF(partner_type="builder",SUM(Builder!AF$9:AF21),0))</f>
        <v>0</v>
      </c>
      <c r="AE54">
        <f>IF(AND(partner_type="Utility/District",Introduction!$C$17=Homes_calc!AE$34),SUM('Utility or District'!$L$9:$L21),IF(partner_type="builder",SUM(Builder!AG$9:AG21),0))</f>
        <v>0</v>
      </c>
      <c r="AF54">
        <f>IF(AND(partner_type="Utility/District",Introduction!$C$17=Homes_calc!AF$34),SUM('Utility or District'!$L$9:$L21),IF(partner_type="builder",SUM(Builder!AH$9:AH21),0))</f>
        <v>0</v>
      </c>
      <c r="AG54">
        <f>IF(AND(partner_type="Utility/District",Introduction!$C$17=Homes_calc!AG$34),SUM('Utility or District'!$L$9:$L21),IF(partner_type="builder",SUM(Builder!AI$9:AI21),0))</f>
        <v>0</v>
      </c>
      <c r="AH54">
        <f>IF(AND(partner_type="Utility/District",Introduction!$C$17=Homes_calc!AH$34),SUM('Utility or District'!$L$9:$L21),IF(partner_type="builder",SUM(Builder!AJ$9:AJ21),0))</f>
        <v>0</v>
      </c>
      <c r="AI54">
        <f>IF(AND(partner_type="Utility/District",Introduction!$C$17=Homes_calc!AI$34),SUM('Utility or District'!$L$9:$L21),IF(partner_type="builder",SUM(Builder!AK$9:AK21),0))</f>
        <v>0</v>
      </c>
      <c r="AJ54">
        <f>IF(AND(partner_type="Utility/District",Introduction!$C$17=Homes_calc!AJ$34),SUM('Utility or District'!$L$9:$L21),IF(partner_type="builder",SUM(Builder!AL$9:AL21),0))</f>
        <v>0</v>
      </c>
      <c r="AK54">
        <f>IF(AND(partner_type="Utility/District",Introduction!$C$17=Homes_calc!AK$34),SUM('Utility or District'!$L$9:$L21),IF(partner_type="builder",SUM(Builder!AM$9:AM21),0))</f>
        <v>0</v>
      </c>
      <c r="AL54">
        <f>IF(AND(partner_type="Utility/District",Introduction!$C$17=Homes_calc!AL$34),SUM('Utility or District'!$L$9:$L21),IF(partner_type="builder",SUM(Builder!AN$9:AN21),0))</f>
        <v>0</v>
      </c>
      <c r="AM54">
        <f>IF(AND(partner_type="Utility/District",Introduction!$C$17=Homes_calc!AM$34),SUM('Utility or District'!$L$9:$L21),IF(partner_type="builder",SUM(Builder!AO$9:AO21),0))</f>
        <v>0</v>
      </c>
      <c r="AN54">
        <f>IF(AND(partner_type="Utility/District",Introduction!$C$17=Homes_calc!AN$34),SUM('Utility or District'!$L$9:$L21),IF(partner_type="builder",SUM(Builder!AP$9:AP21),0))</f>
        <v>0</v>
      </c>
      <c r="AO54">
        <f>IF(AND(partner_type="Utility/District",Introduction!$C$17=Homes_calc!AO$34),SUM('Utility or District'!$L$9:$L21),IF(partner_type="builder",SUM(Builder!AQ$9:AQ21),0))</f>
        <v>0</v>
      </c>
      <c r="AP54">
        <f>IF(AND(partner_type="Utility/District",Introduction!$C$17=Homes_calc!AP$34),SUM('Utility or District'!$L$9:$L21),IF(partner_type="builder",SUM(Builder!AR$9:AR21),0))</f>
        <v>0</v>
      </c>
      <c r="AQ54">
        <f>IF(AND(partner_type="Utility/District",Introduction!$C$17=Homes_calc!AQ$34),SUM('Utility or District'!$L$9:$L21),IF(partner_type="builder",SUM(Builder!AS$9:AS21),0))</f>
        <v>0</v>
      </c>
      <c r="AR54">
        <f>IF(AND(partner_type="Utility/District",Introduction!$C$17=Homes_calc!AR$34),SUM('Utility or District'!$L$9:$L21),IF(partner_type="builder",SUM(Builder!AT$9:AT21),0))</f>
        <v>0</v>
      </c>
      <c r="AS54">
        <f>IF(AND(partner_type="Utility/District",Introduction!$C$17=Homes_calc!AS$34),SUM('Utility or District'!$L$9:$L21),IF(partner_type="builder",SUM(Builder!AU$9:AU21),0))</f>
        <v>0</v>
      </c>
      <c r="AT54">
        <f>IF(AND(partner_type="Utility/District",Introduction!$C$17=Homes_calc!AT$34),SUM('Utility or District'!$L$9:$L21),IF(partner_type="builder",SUM(Builder!AV$9:AV21),0))</f>
        <v>0</v>
      </c>
      <c r="AU54">
        <f>IF(AND(partner_type="Utility/District",Introduction!$C$17=Homes_calc!AU$34),SUM('Utility or District'!$L$9:$L21),IF(partner_type="builder",SUM(Builder!AW$9:AW21),0))</f>
        <v>0</v>
      </c>
      <c r="AV54">
        <f>IF(AND(partner_type="Utility/District",Introduction!$C$17=Homes_calc!AV$34),SUM('Utility or District'!$L$9:$L21),IF(partner_type="builder",SUM(Builder!AX$9:AX21),0))</f>
        <v>0</v>
      </c>
      <c r="AW54">
        <f>IF(AND(partner_type="Utility/District",Introduction!$C$17=Homes_calc!AW$34),SUM('Utility or District'!$L$9:$L21),IF(partner_type="builder",SUM(Builder!AY$9:AY21),0))</f>
        <v>0</v>
      </c>
      <c r="AX54">
        <f>IF(AND(partner_type="Utility/District",Introduction!$C$17=Homes_calc!AX$34),SUM('Utility or District'!$L$9:$L21),IF(partner_type="builder",SUM(Builder!AZ$9:AZ21),0))</f>
        <v>0</v>
      </c>
      <c r="AY54">
        <f>IF(AND(partner_type="Utility/District",Introduction!$C$17=Homes_calc!AY$34),SUM('Utility or District'!$L$9:$L21),IF(partner_type="builder",SUM(Builder!BA$9:BA21),0))</f>
        <v>0</v>
      </c>
      <c r="AZ54">
        <f>IF(AND(partner_type="Utility/District",Introduction!$C$17=Homes_calc!AZ$34),SUM('Utility or District'!$L$9:$L21),IF(partner_type="builder",SUM(Builder!BB$9:BB21),0))</f>
        <v>0</v>
      </c>
      <c r="BA54">
        <f>IF(AND(partner_type="Utility/District",Introduction!$C$17=Homes_calc!BA$34),SUM('Utility or District'!$L$9:$L21),IF(partner_type="builder",SUM(Builder!BC$9:BC21),0))</f>
        <v>0</v>
      </c>
    </row>
    <row r="55" spans="2:53">
      <c r="B55" s="226">
        <v>2022</v>
      </c>
      <c r="C55">
        <f>IF(AND(partner_type="Utility/District",Introduction!$C$17=Homes_calc!C$34),SUM('Utility or District'!$L$9:$L22),IF(partner_type="builder",SUM(Builder!E$9:E22),0))</f>
        <v>0</v>
      </c>
      <c r="D55">
        <f>IF(AND(partner_type="Utility/District",Introduction!$C$17=Homes_calc!D$34),SUM('Utility or District'!$L$9:$L22),IF(partner_type="builder",SUM(Builder!F$9:F22),0))</f>
        <v>0</v>
      </c>
      <c r="E55">
        <f>IF(AND(partner_type="Utility/District",Introduction!$C$17=Homes_calc!E$34),SUM('Utility or District'!$L$9:$L22),IF(partner_type="builder",SUM(Builder!G$9:G22),0))</f>
        <v>0</v>
      </c>
      <c r="F55">
        <f>IF(AND(partner_type="Utility/District",Introduction!$C$17=Homes_calc!F$34),SUM('Utility or District'!$L$9:$L22),IF(partner_type="builder",SUM(Builder!H$9:H22),0))</f>
        <v>0</v>
      </c>
      <c r="G55">
        <f>IF(AND(partner_type="Utility/District",Introduction!$C$17=Homes_calc!G$34),SUM('Utility or District'!$L$9:$L22),IF(partner_type="builder",SUM(Builder!I$9:I22),0))</f>
        <v>0</v>
      </c>
      <c r="H55">
        <f>IF(AND(partner_type="Utility/District",Introduction!$C$17=Homes_calc!H$34),SUM('Utility or District'!$L$9:$L22),IF(partner_type="builder",SUM(Builder!J$9:J22),0))</f>
        <v>0</v>
      </c>
      <c r="I55">
        <f>IF(AND(partner_type="Utility/District",Introduction!$C$17=Homes_calc!I$34),SUM('Utility or District'!$L$9:$L22),IF(partner_type="builder",SUM(Builder!K$9:K22),0))</f>
        <v>0</v>
      </c>
      <c r="J55">
        <f>IF(AND(partner_type="Utility/District",Introduction!$C$17=Homes_calc!J$34),SUM('Utility or District'!$L$9:$L22),IF(partner_type="builder",SUM(Builder!L$9:L22),0))</f>
        <v>0</v>
      </c>
      <c r="K55">
        <f>IF(AND(partner_type="Utility/District",Introduction!$C$17=Homes_calc!K$34),SUM('Utility or District'!$L$9:$L22),IF(partner_type="builder",SUM(Builder!M$9:M22),0))</f>
        <v>0</v>
      </c>
      <c r="L55">
        <f>IF(AND(partner_type="Utility/District",Introduction!$C$17=Homes_calc!L$34),SUM('Utility or District'!$L$9:$L22),IF(partner_type="builder",SUM(Builder!N$9:N22),0))</f>
        <v>0</v>
      </c>
      <c r="M55">
        <f>IF(AND(partner_type="Utility/District",Introduction!$C$17=Homes_calc!M$34),SUM('Utility or District'!$L$9:$L22),IF(partner_type="builder",SUM(Builder!O$9:O22),0))</f>
        <v>0</v>
      </c>
      <c r="N55">
        <f>IF(AND(partner_type="Utility/District",Introduction!$C$17=Homes_calc!N$34),SUM('Utility or District'!$L$9:$L22),IF(partner_type="builder",SUM(Builder!P$9:P22),0))</f>
        <v>0</v>
      </c>
      <c r="O55">
        <f>IF(AND(partner_type="Utility/District",Introduction!$C$17=Homes_calc!O$34),SUM('Utility or District'!$L$9:$L22),IF(partner_type="builder",SUM(Builder!Q$9:Q22),0))</f>
        <v>0</v>
      </c>
      <c r="P55">
        <f>IF(AND(partner_type="Utility/District",Introduction!$C$17=Homes_calc!P$34),SUM('Utility or District'!$L$9:$L22),IF(partner_type="builder",SUM(Builder!R$9:R22),0))</f>
        <v>0</v>
      </c>
      <c r="Q55">
        <f>IF(AND(partner_type="Utility/District",Introduction!$C$17=Homes_calc!Q$34),SUM('Utility or District'!$L$9:$L22),IF(partner_type="builder",SUM(Builder!S$9:S22),0))</f>
        <v>0</v>
      </c>
      <c r="R55">
        <f>IF(AND(partner_type="Utility/District",Introduction!$C$17=Homes_calc!R$34),SUM('Utility or District'!$L$9:$L22),IF(partner_type="builder",SUM(Builder!T$9:T22),0))</f>
        <v>0</v>
      </c>
      <c r="S55">
        <f>IF(AND(partner_type="Utility/District",Introduction!$C$17=Homes_calc!S$34),SUM('Utility or District'!$L$9:$L22),IF(partner_type="builder",SUM(Builder!U$9:U22),0))</f>
        <v>0</v>
      </c>
      <c r="T55">
        <f>IF(AND(partner_type="Utility/District",Introduction!$C$17=Homes_calc!T$34),SUM('Utility or District'!$L$9:$L22),IF(partner_type="builder",SUM(Builder!V$9:V22),0))</f>
        <v>0</v>
      </c>
      <c r="U55">
        <f>IF(AND(partner_type="Utility/District",Introduction!$C$17=Homes_calc!U$34),SUM('Utility or District'!$L$9:$L22),IF(partner_type="builder",SUM(Builder!W$9:W22),0))</f>
        <v>0</v>
      </c>
      <c r="V55">
        <f>IF(AND(partner_type="Utility/District",Introduction!$C$17=Homes_calc!V$34),SUM('Utility or District'!$L$9:$L22),IF(partner_type="builder",SUM(Builder!X$9:X22),0))</f>
        <v>0</v>
      </c>
      <c r="W55">
        <f>IF(AND(partner_type="Utility/District",Introduction!$C$17=Homes_calc!W$34),SUM('Utility or District'!$L$9:$L22),IF(partner_type="builder",SUM(Builder!Y$9:Y22),0))</f>
        <v>0</v>
      </c>
      <c r="X55">
        <f>IF(AND(partner_type="Utility/District",Introduction!$C$17=Homes_calc!X$34),SUM('Utility or District'!$L$9:$L22),IF(partner_type="builder",SUM(Builder!Z$9:Z22),0))</f>
        <v>0</v>
      </c>
      <c r="Y55">
        <f>IF(AND(partner_type="Utility/District",Introduction!$C$17=Homes_calc!Y$34),SUM('Utility or District'!$L$9:$L22),IF(partner_type="builder",SUM(Builder!AA$9:AA22),0))</f>
        <v>0</v>
      </c>
      <c r="Z55">
        <f>IF(AND(partner_type="Utility/District",Introduction!$C$17=Homes_calc!Z$34),SUM('Utility or District'!$L$9:$L22),IF(partner_type="builder",SUM(Builder!AB$9:AB22),0))</f>
        <v>0</v>
      </c>
      <c r="AA55">
        <f>IF(AND(partner_type="Utility/District",Introduction!$C$17=Homes_calc!AA$34),SUM('Utility or District'!$L$9:$L22),IF(partner_type="builder",SUM(Builder!AC$9:AC22),0))</f>
        <v>0</v>
      </c>
      <c r="AB55">
        <f>IF(AND(partner_type="Utility/District",Introduction!$C$17=Homes_calc!AB$34),SUM('Utility or District'!$L$9:$L22),IF(partner_type="builder",SUM(Builder!AD$9:AD22),0))</f>
        <v>0</v>
      </c>
      <c r="AC55">
        <f>IF(AND(partner_type="Utility/District",Introduction!$C$17=Homes_calc!AC$34),SUM('Utility or District'!$L$9:$L22),IF(partner_type="builder",SUM(Builder!AE$9:AE22),0))</f>
        <v>0</v>
      </c>
      <c r="AD55">
        <f>IF(AND(partner_type="Utility/District",Introduction!$C$17=Homes_calc!AD$34),SUM('Utility or District'!$L$9:$L22),IF(partner_type="builder",SUM(Builder!AF$9:AF22),0))</f>
        <v>0</v>
      </c>
      <c r="AE55">
        <f>IF(AND(partner_type="Utility/District",Introduction!$C$17=Homes_calc!AE$34),SUM('Utility or District'!$L$9:$L22),IF(partner_type="builder",SUM(Builder!AG$9:AG22),0))</f>
        <v>0</v>
      </c>
      <c r="AF55">
        <f>IF(AND(partner_type="Utility/District",Introduction!$C$17=Homes_calc!AF$34),SUM('Utility or District'!$L$9:$L22),IF(partner_type="builder",SUM(Builder!AH$9:AH22),0))</f>
        <v>0</v>
      </c>
      <c r="AG55">
        <f>IF(AND(partner_type="Utility/District",Introduction!$C$17=Homes_calc!AG$34),SUM('Utility or District'!$L$9:$L22),IF(partner_type="builder",SUM(Builder!AI$9:AI22),0))</f>
        <v>0</v>
      </c>
      <c r="AH55">
        <f>IF(AND(partner_type="Utility/District",Introduction!$C$17=Homes_calc!AH$34),SUM('Utility or District'!$L$9:$L22),IF(partner_type="builder",SUM(Builder!AJ$9:AJ22),0))</f>
        <v>0</v>
      </c>
      <c r="AI55">
        <f>IF(AND(partner_type="Utility/District",Introduction!$C$17=Homes_calc!AI$34),SUM('Utility or District'!$L$9:$L22),IF(partner_type="builder",SUM(Builder!AK$9:AK22),0))</f>
        <v>0</v>
      </c>
      <c r="AJ55">
        <f>IF(AND(partner_type="Utility/District",Introduction!$C$17=Homes_calc!AJ$34),SUM('Utility or District'!$L$9:$L22),IF(partner_type="builder",SUM(Builder!AL$9:AL22),0))</f>
        <v>0</v>
      </c>
      <c r="AK55">
        <f>IF(AND(partner_type="Utility/District",Introduction!$C$17=Homes_calc!AK$34),SUM('Utility or District'!$L$9:$L22),IF(partner_type="builder",SUM(Builder!AM$9:AM22),0))</f>
        <v>0</v>
      </c>
      <c r="AL55">
        <f>IF(AND(partner_type="Utility/District",Introduction!$C$17=Homes_calc!AL$34),SUM('Utility or District'!$L$9:$L22),IF(partner_type="builder",SUM(Builder!AN$9:AN22),0))</f>
        <v>0</v>
      </c>
      <c r="AM55">
        <f>IF(AND(partner_type="Utility/District",Introduction!$C$17=Homes_calc!AM$34),SUM('Utility or District'!$L$9:$L22),IF(partner_type="builder",SUM(Builder!AO$9:AO22),0))</f>
        <v>0</v>
      </c>
      <c r="AN55">
        <f>IF(AND(partner_type="Utility/District",Introduction!$C$17=Homes_calc!AN$34),SUM('Utility or District'!$L$9:$L22),IF(partner_type="builder",SUM(Builder!AP$9:AP22),0))</f>
        <v>0</v>
      </c>
      <c r="AO55">
        <f>IF(AND(partner_type="Utility/District",Introduction!$C$17=Homes_calc!AO$34),SUM('Utility or District'!$L$9:$L22),IF(partner_type="builder",SUM(Builder!AQ$9:AQ22),0))</f>
        <v>0</v>
      </c>
      <c r="AP55">
        <f>IF(AND(partner_type="Utility/District",Introduction!$C$17=Homes_calc!AP$34),SUM('Utility or District'!$L$9:$L22),IF(partner_type="builder",SUM(Builder!AR$9:AR22),0))</f>
        <v>0</v>
      </c>
      <c r="AQ55">
        <f>IF(AND(partner_type="Utility/District",Introduction!$C$17=Homes_calc!AQ$34),SUM('Utility or District'!$L$9:$L22),IF(partner_type="builder",SUM(Builder!AS$9:AS22),0))</f>
        <v>0</v>
      </c>
      <c r="AR55">
        <f>IF(AND(partner_type="Utility/District",Introduction!$C$17=Homes_calc!AR$34),SUM('Utility or District'!$L$9:$L22),IF(partner_type="builder",SUM(Builder!AT$9:AT22),0))</f>
        <v>0</v>
      </c>
      <c r="AS55">
        <f>IF(AND(partner_type="Utility/District",Introduction!$C$17=Homes_calc!AS$34),SUM('Utility or District'!$L$9:$L22),IF(partner_type="builder",SUM(Builder!AU$9:AU22),0))</f>
        <v>0</v>
      </c>
      <c r="AT55">
        <f>IF(AND(partner_type="Utility/District",Introduction!$C$17=Homes_calc!AT$34),SUM('Utility or District'!$L$9:$L22),IF(partner_type="builder",SUM(Builder!AV$9:AV22),0))</f>
        <v>0</v>
      </c>
      <c r="AU55">
        <f>IF(AND(partner_type="Utility/District",Introduction!$C$17=Homes_calc!AU$34),SUM('Utility or District'!$L$9:$L22),IF(partner_type="builder",SUM(Builder!AW$9:AW22),0))</f>
        <v>0</v>
      </c>
      <c r="AV55">
        <f>IF(AND(partner_type="Utility/District",Introduction!$C$17=Homes_calc!AV$34),SUM('Utility or District'!$L$9:$L22),IF(partner_type="builder",SUM(Builder!AX$9:AX22),0))</f>
        <v>0</v>
      </c>
      <c r="AW55">
        <f>IF(AND(partner_type="Utility/District",Introduction!$C$17=Homes_calc!AW$34),SUM('Utility or District'!$L$9:$L22),IF(partner_type="builder",SUM(Builder!AY$9:AY22),0))</f>
        <v>0</v>
      </c>
      <c r="AX55">
        <f>IF(AND(partner_type="Utility/District",Introduction!$C$17=Homes_calc!AX$34),SUM('Utility or District'!$L$9:$L22),IF(partner_type="builder",SUM(Builder!AZ$9:AZ22),0))</f>
        <v>0</v>
      </c>
      <c r="AY55">
        <f>IF(AND(partner_type="Utility/District",Introduction!$C$17=Homes_calc!AY$34),SUM('Utility or District'!$L$9:$L22),IF(partner_type="builder",SUM(Builder!BA$9:BA22),0))</f>
        <v>0</v>
      </c>
      <c r="AZ55">
        <f>IF(AND(partner_type="Utility/District",Introduction!$C$17=Homes_calc!AZ$34),SUM('Utility or District'!$L$9:$L22),IF(partner_type="builder",SUM(Builder!BB$9:BB22),0))</f>
        <v>0</v>
      </c>
      <c r="BA55">
        <f>IF(AND(partner_type="Utility/District",Introduction!$C$17=Homes_calc!BA$34),SUM('Utility or District'!$L$9:$L22),IF(partner_type="builder",SUM(Builder!BC$9:BC22),0))</f>
        <v>0</v>
      </c>
    </row>
    <row r="56" spans="2:53">
      <c r="B56" s="228">
        <v>2023</v>
      </c>
      <c r="C56">
        <f>IF(AND(partner_type="Utility/District",Introduction!$C$17=Homes_calc!C$34),SUM('Utility or District'!$L$9:$L23),IF(partner_type="builder",SUM(Builder!E$9:E23),0))</f>
        <v>0</v>
      </c>
      <c r="D56">
        <f>IF(AND(partner_type="Utility/District",Introduction!$C$17=Homes_calc!D$34),SUM('Utility or District'!$L$9:$L23),IF(partner_type="builder",SUM(Builder!F$9:F23),0))</f>
        <v>0</v>
      </c>
      <c r="E56">
        <f>IF(AND(partner_type="Utility/District",Introduction!$C$17=Homes_calc!E$34),SUM('Utility or District'!$L$9:$L23),IF(partner_type="builder",SUM(Builder!G$9:G23),0))</f>
        <v>0</v>
      </c>
      <c r="F56">
        <f>IF(AND(partner_type="Utility/District",Introduction!$C$17=Homes_calc!F$34),SUM('Utility or District'!$L$9:$L23),IF(partner_type="builder",SUM(Builder!H$9:H23),0))</f>
        <v>0</v>
      </c>
      <c r="G56">
        <f>IF(AND(partner_type="Utility/District",Introduction!$C$17=Homes_calc!G$34),SUM('Utility or District'!$L$9:$L23),IF(partner_type="builder",SUM(Builder!I$9:I23),0))</f>
        <v>0</v>
      </c>
      <c r="H56">
        <f>IF(AND(partner_type="Utility/District",Introduction!$C$17=Homes_calc!H$34),SUM('Utility or District'!$L$9:$L23),IF(partner_type="builder",SUM(Builder!J$9:J23),0))</f>
        <v>0</v>
      </c>
      <c r="I56">
        <f>IF(AND(partner_type="Utility/District",Introduction!$C$17=Homes_calc!I$34),SUM('Utility or District'!$L$9:$L23),IF(partner_type="builder",SUM(Builder!K$9:K23),0))</f>
        <v>0</v>
      </c>
      <c r="J56">
        <f>IF(AND(partner_type="Utility/District",Introduction!$C$17=Homes_calc!J$34),SUM('Utility or District'!$L$9:$L23),IF(partner_type="builder",SUM(Builder!L$9:L23),0))</f>
        <v>0</v>
      </c>
      <c r="K56">
        <f>IF(AND(partner_type="Utility/District",Introduction!$C$17=Homes_calc!K$34),SUM('Utility or District'!$L$9:$L23),IF(partner_type="builder",SUM(Builder!M$9:M23),0))</f>
        <v>0</v>
      </c>
      <c r="L56">
        <f>IF(AND(partner_type="Utility/District",Introduction!$C$17=Homes_calc!L$34),SUM('Utility or District'!$L$9:$L23),IF(partner_type="builder",SUM(Builder!N$9:N23),0))</f>
        <v>0</v>
      </c>
      <c r="M56">
        <f>IF(AND(partner_type="Utility/District",Introduction!$C$17=Homes_calc!M$34),SUM('Utility or District'!$L$9:$L23),IF(partner_type="builder",SUM(Builder!O$9:O23),0))</f>
        <v>0</v>
      </c>
      <c r="N56">
        <f>IF(AND(partner_type="Utility/District",Introduction!$C$17=Homes_calc!N$34),SUM('Utility or District'!$L$9:$L23),IF(partner_type="builder",SUM(Builder!P$9:P23),0))</f>
        <v>0</v>
      </c>
      <c r="O56">
        <f>IF(AND(partner_type="Utility/District",Introduction!$C$17=Homes_calc!O$34),SUM('Utility or District'!$L$9:$L23),IF(partner_type="builder",SUM(Builder!Q$9:Q23),0))</f>
        <v>0</v>
      </c>
      <c r="P56">
        <f>IF(AND(partner_type="Utility/District",Introduction!$C$17=Homes_calc!P$34),SUM('Utility or District'!$L$9:$L23),IF(partner_type="builder",SUM(Builder!R$9:R23),0))</f>
        <v>0</v>
      </c>
      <c r="Q56">
        <f>IF(AND(partner_type="Utility/District",Introduction!$C$17=Homes_calc!Q$34),SUM('Utility or District'!$L$9:$L23),IF(partner_type="builder",SUM(Builder!S$9:S23),0))</f>
        <v>0</v>
      </c>
      <c r="R56">
        <f>IF(AND(partner_type="Utility/District",Introduction!$C$17=Homes_calc!R$34),SUM('Utility or District'!$L$9:$L23),IF(partner_type="builder",SUM(Builder!T$9:T23),0))</f>
        <v>0</v>
      </c>
      <c r="S56">
        <f>IF(AND(partner_type="Utility/District",Introduction!$C$17=Homes_calc!S$34),SUM('Utility or District'!$L$9:$L23),IF(partner_type="builder",SUM(Builder!U$9:U23),0))</f>
        <v>0</v>
      </c>
      <c r="T56">
        <f>IF(AND(partner_type="Utility/District",Introduction!$C$17=Homes_calc!T$34),SUM('Utility or District'!$L$9:$L23),IF(partner_type="builder",SUM(Builder!V$9:V23),0))</f>
        <v>0</v>
      </c>
      <c r="U56">
        <f>IF(AND(partner_type="Utility/District",Introduction!$C$17=Homes_calc!U$34),SUM('Utility or District'!$L$9:$L23),IF(partner_type="builder",SUM(Builder!W$9:W23),0))</f>
        <v>0</v>
      </c>
      <c r="V56">
        <f>IF(AND(partner_type="Utility/District",Introduction!$C$17=Homes_calc!V$34),SUM('Utility or District'!$L$9:$L23),IF(partner_type="builder",SUM(Builder!X$9:X23),0))</f>
        <v>0</v>
      </c>
      <c r="W56">
        <f>IF(AND(partner_type="Utility/District",Introduction!$C$17=Homes_calc!W$34),SUM('Utility or District'!$L$9:$L23),IF(partner_type="builder",SUM(Builder!Y$9:Y23),0))</f>
        <v>0</v>
      </c>
      <c r="X56">
        <f>IF(AND(partner_type="Utility/District",Introduction!$C$17=Homes_calc!X$34),SUM('Utility or District'!$L$9:$L23),IF(partner_type="builder",SUM(Builder!Z$9:Z23),0))</f>
        <v>0</v>
      </c>
      <c r="Y56">
        <f>IF(AND(partner_type="Utility/District",Introduction!$C$17=Homes_calc!Y$34),SUM('Utility or District'!$L$9:$L23),IF(partner_type="builder",SUM(Builder!AA$9:AA23),0))</f>
        <v>0</v>
      </c>
      <c r="Z56">
        <f>IF(AND(partner_type="Utility/District",Introduction!$C$17=Homes_calc!Z$34),SUM('Utility or District'!$L$9:$L23),IF(partner_type="builder",SUM(Builder!AB$9:AB23),0))</f>
        <v>0</v>
      </c>
      <c r="AA56">
        <f>IF(AND(partner_type="Utility/District",Introduction!$C$17=Homes_calc!AA$34),SUM('Utility or District'!$L$9:$L23),IF(partner_type="builder",SUM(Builder!AC$9:AC23),0))</f>
        <v>0</v>
      </c>
      <c r="AB56">
        <f>IF(AND(partner_type="Utility/District",Introduction!$C$17=Homes_calc!AB$34),SUM('Utility or District'!$L$9:$L23),IF(partner_type="builder",SUM(Builder!AD$9:AD23),0))</f>
        <v>0</v>
      </c>
      <c r="AC56">
        <f>IF(AND(partner_type="Utility/District",Introduction!$C$17=Homes_calc!AC$34),SUM('Utility or District'!$L$9:$L23),IF(partner_type="builder",SUM(Builder!AE$9:AE23),0))</f>
        <v>0</v>
      </c>
      <c r="AD56">
        <f>IF(AND(partner_type="Utility/District",Introduction!$C$17=Homes_calc!AD$34),SUM('Utility or District'!$L$9:$L23),IF(partner_type="builder",SUM(Builder!AF$9:AF23),0))</f>
        <v>0</v>
      </c>
      <c r="AE56">
        <f>IF(AND(partner_type="Utility/District",Introduction!$C$17=Homes_calc!AE$34),SUM('Utility or District'!$L$9:$L23),IF(partner_type="builder",SUM(Builder!AG$9:AG23),0))</f>
        <v>0</v>
      </c>
      <c r="AF56">
        <f>IF(AND(partner_type="Utility/District",Introduction!$C$17=Homes_calc!AF$34),SUM('Utility or District'!$L$9:$L23),IF(partner_type="builder",SUM(Builder!AH$9:AH23),0))</f>
        <v>0</v>
      </c>
      <c r="AG56">
        <f>IF(AND(partner_type="Utility/District",Introduction!$C$17=Homes_calc!AG$34),SUM('Utility or District'!$L$9:$L23),IF(partner_type="builder",SUM(Builder!AI$9:AI23),0))</f>
        <v>0</v>
      </c>
      <c r="AH56">
        <f>IF(AND(partner_type="Utility/District",Introduction!$C$17=Homes_calc!AH$34),SUM('Utility or District'!$L$9:$L23),IF(partner_type="builder",SUM(Builder!AJ$9:AJ23),0))</f>
        <v>0</v>
      </c>
      <c r="AI56">
        <f>IF(AND(partner_type="Utility/District",Introduction!$C$17=Homes_calc!AI$34),SUM('Utility or District'!$L$9:$L23),IF(partner_type="builder",SUM(Builder!AK$9:AK23),0))</f>
        <v>0</v>
      </c>
      <c r="AJ56">
        <f>IF(AND(partner_type="Utility/District",Introduction!$C$17=Homes_calc!AJ$34),SUM('Utility or District'!$L$9:$L23),IF(partner_type="builder",SUM(Builder!AL$9:AL23),0))</f>
        <v>0</v>
      </c>
      <c r="AK56">
        <f>IF(AND(partner_type="Utility/District",Introduction!$C$17=Homes_calc!AK$34),SUM('Utility or District'!$L$9:$L23),IF(partner_type="builder",SUM(Builder!AM$9:AM23),0))</f>
        <v>0</v>
      </c>
      <c r="AL56">
        <f>IF(AND(partner_type="Utility/District",Introduction!$C$17=Homes_calc!AL$34),SUM('Utility or District'!$L$9:$L23),IF(partner_type="builder",SUM(Builder!AN$9:AN23),0))</f>
        <v>0</v>
      </c>
      <c r="AM56">
        <f>IF(AND(partner_type="Utility/District",Introduction!$C$17=Homes_calc!AM$34),SUM('Utility or District'!$L$9:$L23),IF(partner_type="builder",SUM(Builder!AO$9:AO23),0))</f>
        <v>0</v>
      </c>
      <c r="AN56">
        <f>IF(AND(partner_type="Utility/District",Introduction!$C$17=Homes_calc!AN$34),SUM('Utility or District'!$L$9:$L23),IF(partner_type="builder",SUM(Builder!AP$9:AP23),0))</f>
        <v>0</v>
      </c>
      <c r="AO56">
        <f>IF(AND(partner_type="Utility/District",Introduction!$C$17=Homes_calc!AO$34),SUM('Utility or District'!$L$9:$L23),IF(partner_type="builder",SUM(Builder!AQ$9:AQ23),0))</f>
        <v>0</v>
      </c>
      <c r="AP56">
        <f>IF(AND(partner_type="Utility/District",Introduction!$C$17=Homes_calc!AP$34),SUM('Utility or District'!$L$9:$L23),IF(partner_type="builder",SUM(Builder!AR$9:AR23),0))</f>
        <v>0</v>
      </c>
      <c r="AQ56">
        <f>IF(AND(partner_type="Utility/District",Introduction!$C$17=Homes_calc!AQ$34),SUM('Utility or District'!$L$9:$L23),IF(partner_type="builder",SUM(Builder!AS$9:AS23),0))</f>
        <v>0</v>
      </c>
      <c r="AR56">
        <f>IF(AND(partner_type="Utility/District",Introduction!$C$17=Homes_calc!AR$34),SUM('Utility or District'!$L$9:$L23),IF(partner_type="builder",SUM(Builder!AT$9:AT23),0))</f>
        <v>0</v>
      </c>
      <c r="AS56">
        <f>IF(AND(partner_type="Utility/District",Introduction!$C$17=Homes_calc!AS$34),SUM('Utility or District'!$L$9:$L23),IF(partner_type="builder",SUM(Builder!AU$9:AU23),0))</f>
        <v>0</v>
      </c>
      <c r="AT56">
        <f>IF(AND(partner_type="Utility/District",Introduction!$C$17=Homes_calc!AT$34),SUM('Utility or District'!$L$9:$L23),IF(partner_type="builder",SUM(Builder!AV$9:AV23),0))</f>
        <v>0</v>
      </c>
      <c r="AU56">
        <f>IF(AND(partner_type="Utility/District",Introduction!$C$17=Homes_calc!AU$34),SUM('Utility or District'!$L$9:$L23),IF(partner_type="builder",SUM(Builder!AW$9:AW23),0))</f>
        <v>0</v>
      </c>
      <c r="AV56">
        <f>IF(AND(partner_type="Utility/District",Introduction!$C$17=Homes_calc!AV$34),SUM('Utility or District'!$L$9:$L23),IF(partner_type="builder",SUM(Builder!AX$9:AX23),0))</f>
        <v>0</v>
      </c>
      <c r="AW56">
        <f>IF(AND(partner_type="Utility/District",Introduction!$C$17=Homes_calc!AW$34),SUM('Utility or District'!$L$9:$L23),IF(partner_type="builder",SUM(Builder!AY$9:AY23),0))</f>
        <v>0</v>
      </c>
      <c r="AX56">
        <f>IF(AND(partner_type="Utility/District",Introduction!$C$17=Homes_calc!AX$34),SUM('Utility or District'!$L$9:$L23),IF(partner_type="builder",SUM(Builder!AZ$9:AZ23),0))</f>
        <v>0</v>
      </c>
      <c r="AY56">
        <f>IF(AND(partner_type="Utility/District",Introduction!$C$17=Homes_calc!AY$34),SUM('Utility or District'!$L$9:$L23),IF(partner_type="builder",SUM(Builder!BA$9:BA23),0))</f>
        <v>0</v>
      </c>
      <c r="AZ56">
        <f>IF(AND(partner_type="Utility/District",Introduction!$C$17=Homes_calc!AZ$34),SUM('Utility or District'!$L$9:$L23),IF(partner_type="builder",SUM(Builder!BB$9:BB23),0))</f>
        <v>0</v>
      </c>
      <c r="BA56">
        <f>IF(AND(partner_type="Utility/District",Introduction!$C$17=Homes_calc!BA$34),SUM('Utility or District'!$L$9:$L23),IF(partner_type="builder",SUM(Builder!BC$9:BC23),0))</f>
        <v>0</v>
      </c>
    </row>
    <row r="57" spans="2:53">
      <c r="B57" s="226">
        <v>2024</v>
      </c>
      <c r="C57">
        <f>IF(AND(partner_type="Utility/District",Introduction!$C$17=Homes_calc!C$34),SUM('Utility or District'!$L$9:$L24),IF(partner_type="builder",SUM(Builder!E$9:E24),0))</f>
        <v>0</v>
      </c>
      <c r="D57">
        <f>IF(AND(partner_type="Utility/District",Introduction!$C$17=Homes_calc!D$34),SUM('Utility or District'!$L$9:$L24),IF(partner_type="builder",SUM(Builder!F$9:F24),0))</f>
        <v>0</v>
      </c>
      <c r="E57">
        <f>IF(AND(partner_type="Utility/District",Introduction!$C$17=Homes_calc!E$34),SUM('Utility or District'!$L$9:$L24),IF(partner_type="builder",SUM(Builder!G$9:G24),0))</f>
        <v>0</v>
      </c>
      <c r="F57">
        <f>IF(AND(partner_type="Utility/District",Introduction!$C$17=Homes_calc!F$34),SUM('Utility or District'!$L$9:$L24),IF(partner_type="builder",SUM(Builder!H$9:H24),0))</f>
        <v>0</v>
      </c>
      <c r="G57">
        <f>IF(AND(partner_type="Utility/District",Introduction!$C$17=Homes_calc!G$34),SUM('Utility or District'!$L$9:$L24),IF(partner_type="builder",SUM(Builder!I$9:I24),0))</f>
        <v>0</v>
      </c>
      <c r="H57">
        <f>IF(AND(partner_type="Utility/District",Introduction!$C$17=Homes_calc!H$34),SUM('Utility or District'!$L$9:$L24),IF(partner_type="builder",SUM(Builder!J$9:J24),0))</f>
        <v>0</v>
      </c>
      <c r="I57">
        <f>IF(AND(partner_type="Utility/District",Introduction!$C$17=Homes_calc!I$34),SUM('Utility or District'!$L$9:$L24),IF(partner_type="builder",SUM(Builder!K$9:K24),0))</f>
        <v>0</v>
      </c>
      <c r="J57">
        <f>IF(AND(partner_type="Utility/District",Introduction!$C$17=Homes_calc!J$34),SUM('Utility or District'!$L$9:$L24),IF(partner_type="builder",SUM(Builder!L$9:L24),0))</f>
        <v>0</v>
      </c>
      <c r="K57">
        <f>IF(AND(partner_type="Utility/District",Introduction!$C$17=Homes_calc!K$34),SUM('Utility or District'!$L$9:$L24),IF(partner_type="builder",SUM(Builder!M$9:M24),0))</f>
        <v>0</v>
      </c>
      <c r="L57">
        <f>IF(AND(partner_type="Utility/District",Introduction!$C$17=Homes_calc!L$34),SUM('Utility or District'!$L$9:$L24),IF(partner_type="builder",SUM(Builder!N$9:N24),0))</f>
        <v>0</v>
      </c>
      <c r="M57">
        <f>IF(AND(partner_type="Utility/District",Introduction!$C$17=Homes_calc!M$34),SUM('Utility or District'!$L$9:$L24),IF(partner_type="builder",SUM(Builder!O$9:O24),0))</f>
        <v>0</v>
      </c>
      <c r="N57">
        <f>IF(AND(partner_type="Utility/District",Introduction!$C$17=Homes_calc!N$34),SUM('Utility or District'!$L$9:$L24),IF(partner_type="builder",SUM(Builder!P$9:P24),0))</f>
        <v>0</v>
      </c>
      <c r="O57">
        <f>IF(AND(partner_type="Utility/District",Introduction!$C$17=Homes_calc!O$34),SUM('Utility or District'!$L$9:$L24),IF(partner_type="builder",SUM(Builder!Q$9:Q24),0))</f>
        <v>0</v>
      </c>
      <c r="P57">
        <f>IF(AND(partner_type="Utility/District",Introduction!$C$17=Homes_calc!P$34),SUM('Utility or District'!$L$9:$L24),IF(partner_type="builder",SUM(Builder!R$9:R24),0))</f>
        <v>0</v>
      </c>
      <c r="Q57">
        <f>IF(AND(partner_type="Utility/District",Introduction!$C$17=Homes_calc!Q$34),SUM('Utility or District'!$L$9:$L24),IF(partner_type="builder",SUM(Builder!S$9:S24),0))</f>
        <v>0</v>
      </c>
      <c r="R57">
        <f>IF(AND(partner_type="Utility/District",Introduction!$C$17=Homes_calc!R$34),SUM('Utility or District'!$L$9:$L24),IF(partner_type="builder",SUM(Builder!T$9:T24),0))</f>
        <v>0</v>
      </c>
      <c r="S57">
        <f>IF(AND(partner_type="Utility/District",Introduction!$C$17=Homes_calc!S$34),SUM('Utility or District'!$L$9:$L24),IF(partner_type="builder",SUM(Builder!U$9:U24),0))</f>
        <v>0</v>
      </c>
      <c r="T57">
        <f>IF(AND(partner_type="Utility/District",Introduction!$C$17=Homes_calc!T$34),SUM('Utility or District'!$L$9:$L24),IF(partner_type="builder",SUM(Builder!V$9:V24),0))</f>
        <v>0</v>
      </c>
      <c r="U57">
        <f>IF(AND(partner_type="Utility/District",Introduction!$C$17=Homes_calc!U$34),SUM('Utility or District'!$L$9:$L24),IF(partner_type="builder",SUM(Builder!W$9:W24),0))</f>
        <v>0</v>
      </c>
      <c r="V57">
        <f>IF(AND(partner_type="Utility/District",Introduction!$C$17=Homes_calc!V$34),SUM('Utility or District'!$L$9:$L24),IF(partner_type="builder",SUM(Builder!X$9:X24),0))</f>
        <v>0</v>
      </c>
      <c r="W57">
        <f>IF(AND(partner_type="Utility/District",Introduction!$C$17=Homes_calc!W$34),SUM('Utility or District'!$L$9:$L24),IF(partner_type="builder",SUM(Builder!Y$9:Y24),0))</f>
        <v>0</v>
      </c>
      <c r="X57">
        <f>IF(AND(partner_type="Utility/District",Introduction!$C$17=Homes_calc!X$34),SUM('Utility or District'!$L$9:$L24),IF(partner_type="builder",SUM(Builder!Z$9:Z24),0))</f>
        <v>0</v>
      </c>
      <c r="Y57">
        <f>IF(AND(partner_type="Utility/District",Introduction!$C$17=Homes_calc!Y$34),SUM('Utility or District'!$L$9:$L24),IF(partner_type="builder",SUM(Builder!AA$9:AA24),0))</f>
        <v>0</v>
      </c>
      <c r="Z57">
        <f>IF(AND(partner_type="Utility/District",Introduction!$C$17=Homes_calc!Z$34),SUM('Utility or District'!$L$9:$L24),IF(partner_type="builder",SUM(Builder!AB$9:AB24),0))</f>
        <v>0</v>
      </c>
      <c r="AA57">
        <f>IF(AND(partner_type="Utility/District",Introduction!$C$17=Homes_calc!AA$34),SUM('Utility or District'!$L$9:$L24),IF(partner_type="builder",SUM(Builder!AC$9:AC24),0))</f>
        <v>0</v>
      </c>
      <c r="AB57">
        <f>IF(AND(partner_type="Utility/District",Introduction!$C$17=Homes_calc!AB$34),SUM('Utility or District'!$L$9:$L24),IF(partner_type="builder",SUM(Builder!AD$9:AD24),0))</f>
        <v>0</v>
      </c>
      <c r="AC57">
        <f>IF(AND(partner_type="Utility/District",Introduction!$C$17=Homes_calc!AC$34),SUM('Utility or District'!$L$9:$L24),IF(partner_type="builder",SUM(Builder!AE$9:AE24),0))</f>
        <v>0</v>
      </c>
      <c r="AD57">
        <f>IF(AND(partner_type="Utility/District",Introduction!$C$17=Homes_calc!AD$34),SUM('Utility or District'!$L$9:$L24),IF(partner_type="builder",SUM(Builder!AF$9:AF24),0))</f>
        <v>0</v>
      </c>
      <c r="AE57">
        <f>IF(AND(partner_type="Utility/District",Introduction!$C$17=Homes_calc!AE$34),SUM('Utility or District'!$L$9:$L24),IF(partner_type="builder",SUM(Builder!AG$9:AG24),0))</f>
        <v>0</v>
      </c>
      <c r="AF57">
        <f>IF(AND(partner_type="Utility/District",Introduction!$C$17=Homes_calc!AF$34),SUM('Utility or District'!$L$9:$L24),IF(partner_type="builder",SUM(Builder!AH$9:AH24),0))</f>
        <v>0</v>
      </c>
      <c r="AG57">
        <f>IF(AND(partner_type="Utility/District",Introduction!$C$17=Homes_calc!AG$34),SUM('Utility or District'!$L$9:$L24),IF(partner_type="builder",SUM(Builder!AI$9:AI24),0))</f>
        <v>0</v>
      </c>
      <c r="AH57">
        <f>IF(AND(partner_type="Utility/District",Introduction!$C$17=Homes_calc!AH$34),SUM('Utility or District'!$L$9:$L24),IF(partner_type="builder",SUM(Builder!AJ$9:AJ24),0))</f>
        <v>0</v>
      </c>
      <c r="AI57">
        <f>IF(AND(partner_type="Utility/District",Introduction!$C$17=Homes_calc!AI$34),SUM('Utility or District'!$L$9:$L24),IF(partner_type="builder",SUM(Builder!AK$9:AK24),0))</f>
        <v>0</v>
      </c>
      <c r="AJ57">
        <f>IF(AND(partner_type="Utility/District",Introduction!$C$17=Homes_calc!AJ$34),SUM('Utility or District'!$L$9:$L24),IF(partner_type="builder",SUM(Builder!AL$9:AL24),0))</f>
        <v>0</v>
      </c>
      <c r="AK57">
        <f>IF(AND(partner_type="Utility/District",Introduction!$C$17=Homes_calc!AK$34),SUM('Utility or District'!$L$9:$L24),IF(partner_type="builder",SUM(Builder!AM$9:AM24),0))</f>
        <v>0</v>
      </c>
      <c r="AL57">
        <f>IF(AND(partner_type="Utility/District",Introduction!$C$17=Homes_calc!AL$34),SUM('Utility or District'!$L$9:$L24),IF(partner_type="builder",SUM(Builder!AN$9:AN24),0))</f>
        <v>0</v>
      </c>
      <c r="AM57">
        <f>IF(AND(partner_type="Utility/District",Introduction!$C$17=Homes_calc!AM$34),SUM('Utility or District'!$L$9:$L24),IF(partner_type="builder",SUM(Builder!AO$9:AO24),0))</f>
        <v>0</v>
      </c>
      <c r="AN57">
        <f>IF(AND(partner_type="Utility/District",Introduction!$C$17=Homes_calc!AN$34),SUM('Utility or District'!$L$9:$L24),IF(partner_type="builder",SUM(Builder!AP$9:AP24),0))</f>
        <v>0</v>
      </c>
      <c r="AO57">
        <f>IF(AND(partner_type="Utility/District",Introduction!$C$17=Homes_calc!AO$34),SUM('Utility or District'!$L$9:$L24),IF(partner_type="builder",SUM(Builder!AQ$9:AQ24),0))</f>
        <v>0</v>
      </c>
      <c r="AP57">
        <f>IF(AND(partner_type="Utility/District",Introduction!$C$17=Homes_calc!AP$34),SUM('Utility or District'!$L$9:$L24),IF(partner_type="builder",SUM(Builder!AR$9:AR24),0))</f>
        <v>0</v>
      </c>
      <c r="AQ57">
        <f>IF(AND(partner_type="Utility/District",Introduction!$C$17=Homes_calc!AQ$34),SUM('Utility or District'!$L$9:$L24),IF(partner_type="builder",SUM(Builder!AS$9:AS24),0))</f>
        <v>0</v>
      </c>
      <c r="AR57">
        <f>IF(AND(partner_type="Utility/District",Introduction!$C$17=Homes_calc!AR$34),SUM('Utility or District'!$L$9:$L24),IF(partner_type="builder",SUM(Builder!AT$9:AT24),0))</f>
        <v>0</v>
      </c>
      <c r="AS57">
        <f>IF(AND(partner_type="Utility/District",Introduction!$C$17=Homes_calc!AS$34),SUM('Utility or District'!$L$9:$L24),IF(partner_type="builder",SUM(Builder!AU$9:AU24),0))</f>
        <v>0</v>
      </c>
      <c r="AT57">
        <f>IF(AND(partner_type="Utility/District",Introduction!$C$17=Homes_calc!AT$34),SUM('Utility or District'!$L$9:$L24),IF(partner_type="builder",SUM(Builder!AV$9:AV24),0))</f>
        <v>0</v>
      </c>
      <c r="AU57">
        <f>IF(AND(partner_type="Utility/District",Introduction!$C$17=Homes_calc!AU$34),SUM('Utility or District'!$L$9:$L24),IF(partner_type="builder",SUM(Builder!AW$9:AW24),0))</f>
        <v>0</v>
      </c>
      <c r="AV57">
        <f>IF(AND(partner_type="Utility/District",Introduction!$C$17=Homes_calc!AV$34),SUM('Utility or District'!$L$9:$L24),IF(partner_type="builder",SUM(Builder!AX$9:AX24),0))</f>
        <v>0</v>
      </c>
      <c r="AW57">
        <f>IF(AND(partner_type="Utility/District",Introduction!$C$17=Homes_calc!AW$34),SUM('Utility or District'!$L$9:$L24),IF(partner_type="builder",SUM(Builder!AY$9:AY24),0))</f>
        <v>0</v>
      </c>
      <c r="AX57">
        <f>IF(AND(partner_type="Utility/District",Introduction!$C$17=Homes_calc!AX$34),SUM('Utility or District'!$L$9:$L24),IF(partner_type="builder",SUM(Builder!AZ$9:AZ24),0))</f>
        <v>0</v>
      </c>
      <c r="AY57">
        <f>IF(AND(partner_type="Utility/District",Introduction!$C$17=Homes_calc!AY$34),SUM('Utility or District'!$L$9:$L24),IF(partner_type="builder",SUM(Builder!BA$9:BA24),0))</f>
        <v>0</v>
      </c>
      <c r="AZ57">
        <f>IF(AND(partner_type="Utility/District",Introduction!$C$17=Homes_calc!AZ$34),SUM('Utility or District'!$L$9:$L24),IF(partner_type="builder",SUM(Builder!BB$9:BB24),0))</f>
        <v>0</v>
      </c>
      <c r="BA57">
        <f>IF(AND(partner_type="Utility/District",Introduction!$C$17=Homes_calc!BA$34),SUM('Utility or District'!$L$9:$L24),IF(partner_type="builder",SUM(Builder!BC$9:BC24),0))</f>
        <v>0</v>
      </c>
    </row>
    <row r="58" spans="2:53">
      <c r="B58" s="228">
        <v>2025</v>
      </c>
      <c r="C58">
        <f>IF(AND(partner_type="Utility/District",Introduction!$C$17=Homes_calc!C$34),SUM('Utility or District'!$L$9:$L25),IF(partner_type="builder",SUM(Builder!E$9:E25),0))</f>
        <v>0</v>
      </c>
      <c r="D58">
        <f>IF(AND(partner_type="Utility/District",Introduction!$C$17=Homes_calc!D$34),SUM('Utility or District'!$L$9:$L25),IF(partner_type="builder",SUM(Builder!F$9:F25),0))</f>
        <v>0</v>
      </c>
      <c r="E58">
        <f>IF(AND(partner_type="Utility/District",Introduction!$C$17=Homes_calc!E$34),SUM('Utility or District'!$L$9:$L25),IF(partner_type="builder",SUM(Builder!G$9:G25),0))</f>
        <v>0</v>
      </c>
      <c r="F58">
        <f>IF(AND(partner_type="Utility/District",Introduction!$C$17=Homes_calc!F$34),SUM('Utility or District'!$L$9:$L25),IF(partner_type="builder",SUM(Builder!H$9:H25),0))</f>
        <v>0</v>
      </c>
      <c r="G58">
        <f>IF(AND(partner_type="Utility/District",Introduction!$C$17=Homes_calc!G$34),SUM('Utility or District'!$L$9:$L25),IF(partner_type="builder",SUM(Builder!I$9:I25),0))</f>
        <v>0</v>
      </c>
      <c r="H58">
        <f>IF(AND(partner_type="Utility/District",Introduction!$C$17=Homes_calc!H$34),SUM('Utility or District'!$L$9:$L25),IF(partner_type="builder",SUM(Builder!J$9:J25),0))</f>
        <v>0</v>
      </c>
      <c r="I58">
        <f>IF(AND(partner_type="Utility/District",Introduction!$C$17=Homes_calc!I$34),SUM('Utility or District'!$L$9:$L25),IF(partner_type="builder",SUM(Builder!K$9:K25),0))</f>
        <v>0</v>
      </c>
      <c r="J58">
        <f>IF(AND(partner_type="Utility/District",Introduction!$C$17=Homes_calc!J$34),SUM('Utility or District'!$L$9:$L25),IF(partner_type="builder",SUM(Builder!L$9:L25),0))</f>
        <v>0</v>
      </c>
      <c r="K58">
        <f>IF(AND(partner_type="Utility/District",Introduction!$C$17=Homes_calc!K$34),SUM('Utility or District'!$L$9:$L25),IF(partner_type="builder",SUM(Builder!M$9:M25),0))</f>
        <v>0</v>
      </c>
      <c r="L58">
        <f>IF(AND(partner_type="Utility/District",Introduction!$C$17=Homes_calc!L$34),SUM('Utility or District'!$L$9:$L25),IF(partner_type="builder",SUM(Builder!N$9:N25),0))</f>
        <v>0</v>
      </c>
      <c r="M58">
        <f>IF(AND(partner_type="Utility/District",Introduction!$C$17=Homes_calc!M$34),SUM('Utility or District'!$L$9:$L25),IF(partner_type="builder",SUM(Builder!O$9:O25),0))</f>
        <v>0</v>
      </c>
      <c r="N58">
        <f>IF(AND(partner_type="Utility/District",Introduction!$C$17=Homes_calc!N$34),SUM('Utility or District'!$L$9:$L25),IF(partner_type="builder",SUM(Builder!P$9:P25),0))</f>
        <v>0</v>
      </c>
      <c r="O58">
        <f>IF(AND(partner_type="Utility/District",Introduction!$C$17=Homes_calc!O$34),SUM('Utility or District'!$L$9:$L25),IF(partner_type="builder",SUM(Builder!Q$9:Q25),0))</f>
        <v>0</v>
      </c>
      <c r="P58">
        <f>IF(AND(partner_type="Utility/District",Introduction!$C$17=Homes_calc!P$34),SUM('Utility or District'!$L$9:$L25),IF(partner_type="builder",SUM(Builder!R$9:R25),0))</f>
        <v>0</v>
      </c>
      <c r="Q58">
        <f>IF(AND(partner_type="Utility/District",Introduction!$C$17=Homes_calc!Q$34),SUM('Utility or District'!$L$9:$L25),IF(partner_type="builder",SUM(Builder!S$9:S25),0))</f>
        <v>0</v>
      </c>
      <c r="R58">
        <f>IF(AND(partner_type="Utility/District",Introduction!$C$17=Homes_calc!R$34),SUM('Utility or District'!$L$9:$L25),IF(partner_type="builder",SUM(Builder!T$9:T25),0))</f>
        <v>0</v>
      </c>
      <c r="S58">
        <f>IF(AND(partner_type="Utility/District",Introduction!$C$17=Homes_calc!S$34),SUM('Utility or District'!$L$9:$L25),IF(partner_type="builder",SUM(Builder!U$9:U25),0))</f>
        <v>0</v>
      </c>
      <c r="T58">
        <f>IF(AND(partner_type="Utility/District",Introduction!$C$17=Homes_calc!T$34),SUM('Utility or District'!$L$9:$L25),IF(partner_type="builder",SUM(Builder!V$9:V25),0))</f>
        <v>0</v>
      </c>
      <c r="U58">
        <f>IF(AND(partner_type="Utility/District",Introduction!$C$17=Homes_calc!U$34),SUM('Utility or District'!$L$9:$L25),IF(partner_type="builder",SUM(Builder!W$9:W25),0))</f>
        <v>0</v>
      </c>
      <c r="V58">
        <f>IF(AND(partner_type="Utility/District",Introduction!$C$17=Homes_calc!V$34),SUM('Utility or District'!$L$9:$L25),IF(partner_type="builder",SUM(Builder!X$9:X25),0))</f>
        <v>0</v>
      </c>
      <c r="W58">
        <f>IF(AND(partner_type="Utility/District",Introduction!$C$17=Homes_calc!W$34),SUM('Utility or District'!$L$9:$L25),IF(partner_type="builder",SUM(Builder!Y$9:Y25),0))</f>
        <v>0</v>
      </c>
      <c r="X58">
        <f>IF(AND(partner_type="Utility/District",Introduction!$C$17=Homes_calc!X$34),SUM('Utility or District'!$L$9:$L25),IF(partner_type="builder",SUM(Builder!Z$9:Z25),0))</f>
        <v>0</v>
      </c>
      <c r="Y58">
        <f>IF(AND(partner_type="Utility/District",Introduction!$C$17=Homes_calc!Y$34),SUM('Utility or District'!$L$9:$L25),IF(partner_type="builder",SUM(Builder!AA$9:AA25),0))</f>
        <v>0</v>
      </c>
      <c r="Z58">
        <f>IF(AND(partner_type="Utility/District",Introduction!$C$17=Homes_calc!Z$34),SUM('Utility or District'!$L$9:$L25),IF(partner_type="builder",SUM(Builder!AB$9:AB25),0))</f>
        <v>0</v>
      </c>
      <c r="AA58">
        <f>IF(AND(partner_type="Utility/District",Introduction!$C$17=Homes_calc!AA$34),SUM('Utility or District'!$L$9:$L25),IF(partner_type="builder",SUM(Builder!AC$9:AC25),0))</f>
        <v>0</v>
      </c>
      <c r="AB58">
        <f>IF(AND(partner_type="Utility/District",Introduction!$C$17=Homes_calc!AB$34),SUM('Utility or District'!$L$9:$L25),IF(partner_type="builder",SUM(Builder!AD$9:AD25),0))</f>
        <v>0</v>
      </c>
      <c r="AC58">
        <f>IF(AND(partner_type="Utility/District",Introduction!$C$17=Homes_calc!AC$34),SUM('Utility or District'!$L$9:$L25),IF(partner_type="builder",SUM(Builder!AE$9:AE25),0))</f>
        <v>0</v>
      </c>
      <c r="AD58">
        <f>IF(AND(partner_type="Utility/District",Introduction!$C$17=Homes_calc!AD$34),SUM('Utility or District'!$L$9:$L25),IF(partner_type="builder",SUM(Builder!AF$9:AF25),0))</f>
        <v>0</v>
      </c>
      <c r="AE58">
        <f>IF(AND(partner_type="Utility/District",Introduction!$C$17=Homes_calc!AE$34),SUM('Utility or District'!$L$9:$L25),IF(partner_type="builder",SUM(Builder!AG$9:AG25),0))</f>
        <v>0</v>
      </c>
      <c r="AF58">
        <f>IF(AND(partner_type="Utility/District",Introduction!$C$17=Homes_calc!AF$34),SUM('Utility or District'!$L$9:$L25),IF(partner_type="builder",SUM(Builder!AH$9:AH25),0))</f>
        <v>0</v>
      </c>
      <c r="AG58">
        <f>IF(AND(partner_type="Utility/District",Introduction!$C$17=Homes_calc!AG$34),SUM('Utility or District'!$L$9:$L25),IF(partner_type="builder",SUM(Builder!AI$9:AI25),0))</f>
        <v>0</v>
      </c>
      <c r="AH58">
        <f>IF(AND(partner_type="Utility/District",Introduction!$C$17=Homes_calc!AH$34),SUM('Utility or District'!$L$9:$L25),IF(partner_type="builder",SUM(Builder!AJ$9:AJ25),0))</f>
        <v>0</v>
      </c>
      <c r="AI58">
        <f>IF(AND(partner_type="Utility/District",Introduction!$C$17=Homes_calc!AI$34),SUM('Utility or District'!$L$9:$L25),IF(partner_type="builder",SUM(Builder!AK$9:AK25),0))</f>
        <v>0</v>
      </c>
      <c r="AJ58">
        <f>IF(AND(partner_type="Utility/District",Introduction!$C$17=Homes_calc!AJ$34),SUM('Utility or District'!$L$9:$L25),IF(partner_type="builder",SUM(Builder!AL$9:AL25),0))</f>
        <v>0</v>
      </c>
      <c r="AK58">
        <f>IF(AND(partner_type="Utility/District",Introduction!$C$17=Homes_calc!AK$34),SUM('Utility or District'!$L$9:$L25),IF(partner_type="builder",SUM(Builder!AM$9:AM25),0))</f>
        <v>0</v>
      </c>
      <c r="AL58">
        <f>IF(AND(partner_type="Utility/District",Introduction!$C$17=Homes_calc!AL$34),SUM('Utility or District'!$L$9:$L25),IF(partner_type="builder",SUM(Builder!AN$9:AN25),0))</f>
        <v>0</v>
      </c>
      <c r="AM58">
        <f>IF(AND(partner_type="Utility/District",Introduction!$C$17=Homes_calc!AM$34),SUM('Utility or District'!$L$9:$L25),IF(partner_type="builder",SUM(Builder!AO$9:AO25),0))</f>
        <v>0</v>
      </c>
      <c r="AN58">
        <f>IF(AND(partner_type="Utility/District",Introduction!$C$17=Homes_calc!AN$34),SUM('Utility or District'!$L$9:$L25),IF(partner_type="builder",SUM(Builder!AP$9:AP25),0))</f>
        <v>0</v>
      </c>
      <c r="AO58">
        <f>IF(AND(partner_type="Utility/District",Introduction!$C$17=Homes_calc!AO$34),SUM('Utility or District'!$L$9:$L25),IF(partner_type="builder",SUM(Builder!AQ$9:AQ25),0))</f>
        <v>0</v>
      </c>
      <c r="AP58">
        <f>IF(AND(partner_type="Utility/District",Introduction!$C$17=Homes_calc!AP$34),SUM('Utility or District'!$L$9:$L25),IF(partner_type="builder",SUM(Builder!AR$9:AR25),0))</f>
        <v>0</v>
      </c>
      <c r="AQ58">
        <f>IF(AND(partner_type="Utility/District",Introduction!$C$17=Homes_calc!AQ$34),SUM('Utility or District'!$L$9:$L25),IF(partner_type="builder",SUM(Builder!AS$9:AS25),0))</f>
        <v>0</v>
      </c>
      <c r="AR58">
        <f>IF(AND(partner_type="Utility/District",Introduction!$C$17=Homes_calc!AR$34),SUM('Utility or District'!$L$9:$L25),IF(partner_type="builder",SUM(Builder!AT$9:AT25),0))</f>
        <v>0</v>
      </c>
      <c r="AS58">
        <f>IF(AND(partner_type="Utility/District",Introduction!$C$17=Homes_calc!AS$34),SUM('Utility or District'!$L$9:$L25),IF(partner_type="builder",SUM(Builder!AU$9:AU25),0))</f>
        <v>0</v>
      </c>
      <c r="AT58">
        <f>IF(AND(partner_type="Utility/District",Introduction!$C$17=Homes_calc!AT$34),SUM('Utility or District'!$L$9:$L25),IF(partner_type="builder",SUM(Builder!AV$9:AV25),0))</f>
        <v>0</v>
      </c>
      <c r="AU58">
        <f>IF(AND(partner_type="Utility/District",Introduction!$C$17=Homes_calc!AU$34),SUM('Utility or District'!$L$9:$L25),IF(partner_type="builder",SUM(Builder!AW$9:AW25),0))</f>
        <v>0</v>
      </c>
      <c r="AV58">
        <f>IF(AND(partner_type="Utility/District",Introduction!$C$17=Homes_calc!AV$34),SUM('Utility or District'!$L$9:$L25),IF(partner_type="builder",SUM(Builder!AX$9:AX25),0))</f>
        <v>0</v>
      </c>
      <c r="AW58">
        <f>IF(AND(partner_type="Utility/District",Introduction!$C$17=Homes_calc!AW$34),SUM('Utility or District'!$L$9:$L25),IF(partner_type="builder",SUM(Builder!AY$9:AY25),0))</f>
        <v>0</v>
      </c>
      <c r="AX58">
        <f>IF(AND(partner_type="Utility/District",Introduction!$C$17=Homes_calc!AX$34),SUM('Utility or District'!$L$9:$L25),IF(partner_type="builder",SUM(Builder!AZ$9:AZ25),0))</f>
        <v>0</v>
      </c>
      <c r="AY58">
        <f>IF(AND(partner_type="Utility/District",Introduction!$C$17=Homes_calc!AY$34),SUM('Utility or District'!$L$9:$L25),IF(partner_type="builder",SUM(Builder!BA$9:BA25),0))</f>
        <v>0</v>
      </c>
      <c r="AZ58">
        <f>IF(AND(partner_type="Utility/District",Introduction!$C$17=Homes_calc!AZ$34),SUM('Utility or District'!$L$9:$L25),IF(partner_type="builder",SUM(Builder!BB$9:BB25),0))</f>
        <v>0</v>
      </c>
      <c r="BA58">
        <f>IF(AND(partner_type="Utility/District",Introduction!$C$17=Homes_calc!BA$34),SUM('Utility or District'!$L$9:$L25),IF(partner_type="builder",SUM(Builder!BC$9:BC25),0))</f>
        <v>0</v>
      </c>
    </row>
    <row r="59" spans="2:53">
      <c r="B59" s="226">
        <v>2026</v>
      </c>
      <c r="C59">
        <f>IF(AND(partner_type="Utility/District",Introduction!$C$17=Homes_calc!C$34),SUM('Utility or District'!$L$9:$L26),IF(partner_type="builder",SUM(Builder!E$9:E26),0))</f>
        <v>0</v>
      </c>
      <c r="D59">
        <f>IF(AND(partner_type="Utility/District",Introduction!$C$17=Homes_calc!D$34),SUM('Utility or District'!$L$9:$L26),IF(partner_type="builder",SUM(Builder!F$9:F26),0))</f>
        <v>0</v>
      </c>
      <c r="E59">
        <f>IF(AND(partner_type="Utility/District",Introduction!$C$17=Homes_calc!E$34),SUM('Utility or District'!$L$9:$L26),IF(partner_type="builder",SUM(Builder!G$9:G26),0))</f>
        <v>0</v>
      </c>
      <c r="F59">
        <f>IF(AND(partner_type="Utility/District",Introduction!$C$17=Homes_calc!F$34),SUM('Utility or District'!$L$9:$L26),IF(partner_type="builder",SUM(Builder!H$9:H26),0))</f>
        <v>0</v>
      </c>
      <c r="G59">
        <f>IF(AND(partner_type="Utility/District",Introduction!$C$17=Homes_calc!G$34),SUM('Utility or District'!$L$9:$L26),IF(partner_type="builder",SUM(Builder!I$9:I26),0))</f>
        <v>0</v>
      </c>
      <c r="H59">
        <f>IF(AND(partner_type="Utility/District",Introduction!$C$17=Homes_calc!H$34),SUM('Utility or District'!$L$9:$L26),IF(partner_type="builder",SUM(Builder!J$9:J26),0))</f>
        <v>0</v>
      </c>
      <c r="I59">
        <f>IF(AND(partner_type="Utility/District",Introduction!$C$17=Homes_calc!I$34),SUM('Utility or District'!$L$9:$L26),IF(partner_type="builder",SUM(Builder!K$9:K26),0))</f>
        <v>0</v>
      </c>
      <c r="J59">
        <f>IF(AND(partner_type="Utility/District",Introduction!$C$17=Homes_calc!J$34),SUM('Utility or District'!$L$9:$L26),IF(partner_type="builder",SUM(Builder!L$9:L26),0))</f>
        <v>0</v>
      </c>
      <c r="K59">
        <f>IF(AND(partner_type="Utility/District",Introduction!$C$17=Homes_calc!K$34),SUM('Utility or District'!$L$9:$L26),IF(partner_type="builder",SUM(Builder!M$9:M26),0))</f>
        <v>0</v>
      </c>
      <c r="L59">
        <f>IF(AND(partner_type="Utility/District",Introduction!$C$17=Homes_calc!L$34),SUM('Utility or District'!$L$9:$L26),IF(partner_type="builder",SUM(Builder!N$9:N26),0))</f>
        <v>0</v>
      </c>
      <c r="M59">
        <f>IF(AND(partner_type="Utility/District",Introduction!$C$17=Homes_calc!M$34),SUM('Utility or District'!$L$9:$L26),IF(partner_type="builder",SUM(Builder!O$9:O26),0))</f>
        <v>0</v>
      </c>
      <c r="N59">
        <f>IF(AND(partner_type="Utility/District",Introduction!$C$17=Homes_calc!N$34),SUM('Utility or District'!$L$9:$L26),IF(partner_type="builder",SUM(Builder!P$9:P26),0))</f>
        <v>0</v>
      </c>
      <c r="O59">
        <f>IF(AND(partner_type="Utility/District",Introduction!$C$17=Homes_calc!O$34),SUM('Utility or District'!$L$9:$L26),IF(partner_type="builder",SUM(Builder!Q$9:Q26),0))</f>
        <v>0</v>
      </c>
      <c r="P59">
        <f>IF(AND(partner_type="Utility/District",Introduction!$C$17=Homes_calc!P$34),SUM('Utility or District'!$L$9:$L26),IF(partner_type="builder",SUM(Builder!R$9:R26),0))</f>
        <v>0</v>
      </c>
      <c r="Q59">
        <f>IF(AND(partner_type="Utility/District",Introduction!$C$17=Homes_calc!Q$34),SUM('Utility or District'!$L$9:$L26),IF(partner_type="builder",SUM(Builder!S$9:S26),0))</f>
        <v>0</v>
      </c>
      <c r="R59">
        <f>IF(AND(partner_type="Utility/District",Introduction!$C$17=Homes_calc!R$34),SUM('Utility or District'!$L$9:$L26),IF(partner_type="builder",SUM(Builder!T$9:T26),0))</f>
        <v>0</v>
      </c>
      <c r="S59">
        <f>IF(AND(partner_type="Utility/District",Introduction!$C$17=Homes_calc!S$34),SUM('Utility or District'!$L$9:$L26),IF(partner_type="builder",SUM(Builder!U$9:U26),0))</f>
        <v>0</v>
      </c>
      <c r="T59">
        <f>IF(AND(partner_type="Utility/District",Introduction!$C$17=Homes_calc!T$34),SUM('Utility or District'!$L$9:$L26),IF(partner_type="builder",SUM(Builder!V$9:V26),0))</f>
        <v>0</v>
      </c>
      <c r="U59">
        <f>IF(AND(partner_type="Utility/District",Introduction!$C$17=Homes_calc!U$34),SUM('Utility or District'!$L$9:$L26),IF(partner_type="builder",SUM(Builder!W$9:W26),0))</f>
        <v>0</v>
      </c>
      <c r="V59">
        <f>IF(AND(partner_type="Utility/District",Introduction!$C$17=Homes_calc!V$34),SUM('Utility or District'!$L$9:$L26),IF(partner_type="builder",SUM(Builder!X$9:X26),0))</f>
        <v>0</v>
      </c>
      <c r="W59">
        <f>IF(AND(partner_type="Utility/District",Introduction!$C$17=Homes_calc!W$34),SUM('Utility or District'!$L$9:$L26),IF(partner_type="builder",SUM(Builder!Y$9:Y26),0))</f>
        <v>0</v>
      </c>
      <c r="X59">
        <f>IF(AND(partner_type="Utility/District",Introduction!$C$17=Homes_calc!X$34),SUM('Utility or District'!$L$9:$L26),IF(partner_type="builder",SUM(Builder!Z$9:Z26),0))</f>
        <v>0</v>
      </c>
      <c r="Y59">
        <f>IF(AND(partner_type="Utility/District",Introduction!$C$17=Homes_calc!Y$34),SUM('Utility or District'!$L$9:$L26),IF(partner_type="builder",SUM(Builder!AA$9:AA26),0))</f>
        <v>0</v>
      </c>
      <c r="Z59">
        <f>IF(AND(partner_type="Utility/District",Introduction!$C$17=Homes_calc!Z$34),SUM('Utility or District'!$L$9:$L26),IF(partner_type="builder",SUM(Builder!AB$9:AB26),0))</f>
        <v>0</v>
      </c>
      <c r="AA59">
        <f>IF(AND(partner_type="Utility/District",Introduction!$C$17=Homes_calc!AA$34),SUM('Utility or District'!$L$9:$L26),IF(partner_type="builder",SUM(Builder!AC$9:AC26),0))</f>
        <v>0</v>
      </c>
      <c r="AB59">
        <f>IF(AND(partner_type="Utility/District",Introduction!$C$17=Homes_calc!AB$34),SUM('Utility or District'!$L$9:$L26),IF(partner_type="builder",SUM(Builder!AD$9:AD26),0))</f>
        <v>0</v>
      </c>
      <c r="AC59">
        <f>IF(AND(partner_type="Utility/District",Introduction!$C$17=Homes_calc!AC$34),SUM('Utility or District'!$L$9:$L26),IF(partner_type="builder",SUM(Builder!AE$9:AE26),0))</f>
        <v>0</v>
      </c>
      <c r="AD59">
        <f>IF(AND(partner_type="Utility/District",Introduction!$C$17=Homes_calc!AD$34),SUM('Utility or District'!$L$9:$L26),IF(partner_type="builder",SUM(Builder!AF$9:AF26),0))</f>
        <v>0</v>
      </c>
      <c r="AE59">
        <f>IF(AND(partner_type="Utility/District",Introduction!$C$17=Homes_calc!AE$34),SUM('Utility or District'!$L$9:$L26),IF(partner_type="builder",SUM(Builder!AG$9:AG26),0))</f>
        <v>0</v>
      </c>
      <c r="AF59">
        <f>IF(AND(partner_type="Utility/District",Introduction!$C$17=Homes_calc!AF$34),SUM('Utility or District'!$L$9:$L26),IF(partner_type="builder",SUM(Builder!AH$9:AH26),0))</f>
        <v>0</v>
      </c>
      <c r="AG59">
        <f>IF(AND(partner_type="Utility/District",Introduction!$C$17=Homes_calc!AG$34),SUM('Utility or District'!$L$9:$L26),IF(partner_type="builder",SUM(Builder!AI$9:AI26),0))</f>
        <v>0</v>
      </c>
      <c r="AH59">
        <f>IF(AND(partner_type="Utility/District",Introduction!$C$17=Homes_calc!AH$34),SUM('Utility or District'!$L$9:$L26),IF(partner_type="builder",SUM(Builder!AJ$9:AJ26),0))</f>
        <v>0</v>
      </c>
      <c r="AI59">
        <f>IF(AND(partner_type="Utility/District",Introduction!$C$17=Homes_calc!AI$34),SUM('Utility or District'!$L$9:$L26),IF(partner_type="builder",SUM(Builder!AK$9:AK26),0))</f>
        <v>0</v>
      </c>
      <c r="AJ59">
        <f>IF(AND(partner_type="Utility/District",Introduction!$C$17=Homes_calc!AJ$34),SUM('Utility or District'!$L$9:$L26),IF(partner_type="builder",SUM(Builder!AL$9:AL26),0))</f>
        <v>0</v>
      </c>
      <c r="AK59">
        <f>IF(AND(partner_type="Utility/District",Introduction!$C$17=Homes_calc!AK$34),SUM('Utility or District'!$L$9:$L26),IF(partner_type="builder",SUM(Builder!AM$9:AM26),0))</f>
        <v>0</v>
      </c>
      <c r="AL59">
        <f>IF(AND(partner_type="Utility/District",Introduction!$C$17=Homes_calc!AL$34),SUM('Utility or District'!$L$9:$L26),IF(partner_type="builder",SUM(Builder!AN$9:AN26),0))</f>
        <v>0</v>
      </c>
      <c r="AM59">
        <f>IF(AND(partner_type="Utility/District",Introduction!$C$17=Homes_calc!AM$34),SUM('Utility or District'!$L$9:$L26),IF(partner_type="builder",SUM(Builder!AO$9:AO26),0))</f>
        <v>0</v>
      </c>
      <c r="AN59">
        <f>IF(AND(partner_type="Utility/District",Introduction!$C$17=Homes_calc!AN$34),SUM('Utility or District'!$L$9:$L26),IF(partner_type="builder",SUM(Builder!AP$9:AP26),0))</f>
        <v>0</v>
      </c>
      <c r="AO59">
        <f>IF(AND(partner_type="Utility/District",Introduction!$C$17=Homes_calc!AO$34),SUM('Utility or District'!$L$9:$L26),IF(partner_type="builder",SUM(Builder!AQ$9:AQ26),0))</f>
        <v>0</v>
      </c>
      <c r="AP59">
        <f>IF(AND(partner_type="Utility/District",Introduction!$C$17=Homes_calc!AP$34),SUM('Utility or District'!$L$9:$L26),IF(partner_type="builder",SUM(Builder!AR$9:AR26),0))</f>
        <v>0</v>
      </c>
      <c r="AQ59">
        <f>IF(AND(partner_type="Utility/District",Introduction!$C$17=Homes_calc!AQ$34),SUM('Utility or District'!$L$9:$L26),IF(partner_type="builder",SUM(Builder!AS$9:AS26),0))</f>
        <v>0</v>
      </c>
      <c r="AR59">
        <f>IF(AND(partner_type="Utility/District",Introduction!$C$17=Homes_calc!AR$34),SUM('Utility or District'!$L$9:$L26),IF(partner_type="builder",SUM(Builder!AT$9:AT26),0))</f>
        <v>0</v>
      </c>
      <c r="AS59">
        <f>IF(AND(partner_type="Utility/District",Introduction!$C$17=Homes_calc!AS$34),SUM('Utility or District'!$L$9:$L26),IF(partner_type="builder",SUM(Builder!AU$9:AU26),0))</f>
        <v>0</v>
      </c>
      <c r="AT59">
        <f>IF(AND(partner_type="Utility/District",Introduction!$C$17=Homes_calc!AT$34),SUM('Utility or District'!$L$9:$L26),IF(partner_type="builder",SUM(Builder!AV$9:AV26),0))</f>
        <v>0</v>
      </c>
      <c r="AU59">
        <f>IF(AND(partner_type="Utility/District",Introduction!$C$17=Homes_calc!AU$34),SUM('Utility or District'!$L$9:$L26),IF(partner_type="builder",SUM(Builder!AW$9:AW26),0))</f>
        <v>0</v>
      </c>
      <c r="AV59">
        <f>IF(AND(partner_type="Utility/District",Introduction!$C$17=Homes_calc!AV$34),SUM('Utility or District'!$L$9:$L26),IF(partner_type="builder",SUM(Builder!AX$9:AX26),0))</f>
        <v>0</v>
      </c>
      <c r="AW59">
        <f>IF(AND(partner_type="Utility/District",Introduction!$C$17=Homes_calc!AW$34),SUM('Utility or District'!$L$9:$L26),IF(partner_type="builder",SUM(Builder!AY$9:AY26),0))</f>
        <v>0</v>
      </c>
      <c r="AX59">
        <f>IF(AND(partner_type="Utility/District",Introduction!$C$17=Homes_calc!AX$34),SUM('Utility or District'!$L$9:$L26),IF(partner_type="builder",SUM(Builder!AZ$9:AZ26),0))</f>
        <v>0</v>
      </c>
      <c r="AY59">
        <f>IF(AND(partner_type="Utility/District",Introduction!$C$17=Homes_calc!AY$34),SUM('Utility or District'!$L$9:$L26),IF(partner_type="builder",SUM(Builder!BA$9:BA26),0))</f>
        <v>0</v>
      </c>
      <c r="AZ59">
        <f>IF(AND(partner_type="Utility/District",Introduction!$C$17=Homes_calc!AZ$34),SUM('Utility or District'!$L$9:$L26),IF(partner_type="builder",SUM(Builder!BB$9:BB26),0))</f>
        <v>0</v>
      </c>
      <c r="BA59">
        <f>IF(AND(partner_type="Utility/District",Introduction!$C$17=Homes_calc!BA$34),SUM('Utility or District'!$L$9:$L26),IF(partner_type="builder",SUM(Builder!BC$9:BC26),0))</f>
        <v>0</v>
      </c>
    </row>
    <row r="60" spans="2:53">
      <c r="B60" s="228">
        <v>2027</v>
      </c>
      <c r="C60">
        <f>IF(AND(partner_type="Utility/District",Introduction!$C$17=Homes_calc!C$34),SUM('Utility or District'!$L$9:$L27),IF(partner_type="builder",SUM(Builder!E$9:E27),0))</f>
        <v>0</v>
      </c>
      <c r="D60">
        <f>IF(AND(partner_type="Utility/District",Introduction!$C$17=Homes_calc!D$34),SUM('Utility or District'!$L$9:$L27),IF(partner_type="builder",SUM(Builder!F$9:F27),0))</f>
        <v>0</v>
      </c>
      <c r="E60">
        <f>IF(AND(partner_type="Utility/District",Introduction!$C$17=Homes_calc!E$34),SUM('Utility or District'!$L$9:$L27),IF(partner_type="builder",SUM(Builder!G$9:G27),0))</f>
        <v>0</v>
      </c>
      <c r="F60">
        <f>IF(AND(partner_type="Utility/District",Introduction!$C$17=Homes_calc!F$34),SUM('Utility or District'!$L$9:$L27),IF(partner_type="builder",SUM(Builder!H$9:H27),0))</f>
        <v>0</v>
      </c>
      <c r="G60">
        <f>IF(AND(partner_type="Utility/District",Introduction!$C$17=Homes_calc!G$34),SUM('Utility or District'!$L$9:$L27),IF(partner_type="builder",SUM(Builder!I$9:I27),0))</f>
        <v>0</v>
      </c>
      <c r="H60">
        <f>IF(AND(partner_type="Utility/District",Introduction!$C$17=Homes_calc!H$34),SUM('Utility or District'!$L$9:$L27),IF(partner_type="builder",SUM(Builder!J$9:J27),0))</f>
        <v>0</v>
      </c>
      <c r="I60">
        <f>IF(AND(partner_type="Utility/District",Introduction!$C$17=Homes_calc!I$34),SUM('Utility or District'!$L$9:$L27),IF(partner_type="builder",SUM(Builder!K$9:K27),0))</f>
        <v>0</v>
      </c>
      <c r="J60">
        <f>IF(AND(partner_type="Utility/District",Introduction!$C$17=Homes_calc!J$34),SUM('Utility or District'!$L$9:$L27),IF(partner_type="builder",SUM(Builder!L$9:L27),0))</f>
        <v>0</v>
      </c>
      <c r="K60">
        <f>IF(AND(partner_type="Utility/District",Introduction!$C$17=Homes_calc!K$34),SUM('Utility or District'!$L$9:$L27),IF(partner_type="builder",SUM(Builder!M$9:M27),0))</f>
        <v>0</v>
      </c>
      <c r="L60">
        <f>IF(AND(partner_type="Utility/District",Introduction!$C$17=Homes_calc!L$34),SUM('Utility or District'!$L$9:$L27),IF(partner_type="builder",SUM(Builder!N$9:N27),0))</f>
        <v>0</v>
      </c>
      <c r="M60">
        <f>IF(AND(partner_type="Utility/District",Introduction!$C$17=Homes_calc!M$34),SUM('Utility or District'!$L$9:$L27),IF(partner_type="builder",SUM(Builder!O$9:O27),0))</f>
        <v>0</v>
      </c>
      <c r="N60">
        <f>IF(AND(partner_type="Utility/District",Introduction!$C$17=Homes_calc!N$34),SUM('Utility or District'!$L$9:$L27),IF(partner_type="builder",SUM(Builder!P$9:P27),0))</f>
        <v>0</v>
      </c>
      <c r="O60">
        <f>IF(AND(partner_type="Utility/District",Introduction!$C$17=Homes_calc!O$34),SUM('Utility or District'!$L$9:$L27),IF(partner_type="builder",SUM(Builder!Q$9:Q27),0))</f>
        <v>0</v>
      </c>
      <c r="P60">
        <f>IF(AND(partner_type="Utility/District",Introduction!$C$17=Homes_calc!P$34),SUM('Utility or District'!$L$9:$L27),IF(partner_type="builder",SUM(Builder!R$9:R27),0))</f>
        <v>0</v>
      </c>
      <c r="Q60">
        <f>IF(AND(partner_type="Utility/District",Introduction!$C$17=Homes_calc!Q$34),SUM('Utility or District'!$L$9:$L27),IF(partner_type="builder",SUM(Builder!S$9:S27),0))</f>
        <v>0</v>
      </c>
      <c r="R60">
        <f>IF(AND(partner_type="Utility/District",Introduction!$C$17=Homes_calc!R$34),SUM('Utility or District'!$L$9:$L27),IF(partner_type="builder",SUM(Builder!T$9:T27),0))</f>
        <v>0</v>
      </c>
      <c r="S60">
        <f>IF(AND(partner_type="Utility/District",Introduction!$C$17=Homes_calc!S$34),SUM('Utility or District'!$L$9:$L27),IF(partner_type="builder",SUM(Builder!U$9:U27),0))</f>
        <v>0</v>
      </c>
      <c r="T60">
        <f>IF(AND(partner_type="Utility/District",Introduction!$C$17=Homes_calc!T$34),SUM('Utility or District'!$L$9:$L27),IF(partner_type="builder",SUM(Builder!V$9:V27),0))</f>
        <v>0</v>
      </c>
      <c r="U60">
        <f>IF(AND(partner_type="Utility/District",Introduction!$C$17=Homes_calc!U$34),SUM('Utility or District'!$L$9:$L27),IF(partner_type="builder",SUM(Builder!W$9:W27),0))</f>
        <v>0</v>
      </c>
      <c r="V60">
        <f>IF(AND(partner_type="Utility/District",Introduction!$C$17=Homes_calc!V$34),SUM('Utility or District'!$L$9:$L27),IF(partner_type="builder",SUM(Builder!X$9:X27),0))</f>
        <v>0</v>
      </c>
      <c r="W60">
        <f>IF(AND(partner_type="Utility/District",Introduction!$C$17=Homes_calc!W$34),SUM('Utility or District'!$L$9:$L27),IF(partner_type="builder",SUM(Builder!Y$9:Y27),0))</f>
        <v>0</v>
      </c>
      <c r="X60">
        <f>IF(AND(partner_type="Utility/District",Introduction!$C$17=Homes_calc!X$34),SUM('Utility or District'!$L$9:$L27),IF(partner_type="builder",SUM(Builder!Z$9:Z27),0))</f>
        <v>0</v>
      </c>
      <c r="Y60">
        <f>IF(AND(partner_type="Utility/District",Introduction!$C$17=Homes_calc!Y$34),SUM('Utility or District'!$L$9:$L27),IF(partner_type="builder",SUM(Builder!AA$9:AA27),0))</f>
        <v>0</v>
      </c>
      <c r="Z60">
        <f>IF(AND(partner_type="Utility/District",Introduction!$C$17=Homes_calc!Z$34),SUM('Utility or District'!$L$9:$L27),IF(partner_type="builder",SUM(Builder!AB$9:AB27),0))</f>
        <v>0</v>
      </c>
      <c r="AA60">
        <f>IF(AND(partner_type="Utility/District",Introduction!$C$17=Homes_calc!AA$34),SUM('Utility or District'!$L$9:$L27),IF(partner_type="builder",SUM(Builder!AC$9:AC27),0))</f>
        <v>0</v>
      </c>
      <c r="AB60">
        <f>IF(AND(partner_type="Utility/District",Introduction!$C$17=Homes_calc!AB$34),SUM('Utility or District'!$L$9:$L27),IF(partner_type="builder",SUM(Builder!AD$9:AD27),0))</f>
        <v>0</v>
      </c>
      <c r="AC60">
        <f>IF(AND(partner_type="Utility/District",Introduction!$C$17=Homes_calc!AC$34),SUM('Utility or District'!$L$9:$L27),IF(partner_type="builder",SUM(Builder!AE$9:AE27),0))</f>
        <v>0</v>
      </c>
      <c r="AD60">
        <f>IF(AND(partner_type="Utility/District",Introduction!$C$17=Homes_calc!AD$34),SUM('Utility or District'!$L$9:$L27),IF(partner_type="builder",SUM(Builder!AF$9:AF27),0))</f>
        <v>0</v>
      </c>
      <c r="AE60">
        <f>IF(AND(partner_type="Utility/District",Introduction!$C$17=Homes_calc!AE$34),SUM('Utility or District'!$L$9:$L27),IF(partner_type="builder",SUM(Builder!AG$9:AG27),0))</f>
        <v>0</v>
      </c>
      <c r="AF60">
        <f>IF(AND(partner_type="Utility/District",Introduction!$C$17=Homes_calc!AF$34),SUM('Utility or District'!$L$9:$L27),IF(partner_type="builder",SUM(Builder!AH$9:AH27),0))</f>
        <v>0</v>
      </c>
      <c r="AG60">
        <f>IF(AND(partner_type="Utility/District",Introduction!$C$17=Homes_calc!AG$34),SUM('Utility or District'!$L$9:$L27),IF(partner_type="builder",SUM(Builder!AI$9:AI27),0))</f>
        <v>0</v>
      </c>
      <c r="AH60">
        <f>IF(AND(partner_type="Utility/District",Introduction!$C$17=Homes_calc!AH$34),SUM('Utility or District'!$L$9:$L27),IF(partner_type="builder",SUM(Builder!AJ$9:AJ27),0))</f>
        <v>0</v>
      </c>
      <c r="AI60">
        <f>IF(AND(partner_type="Utility/District",Introduction!$C$17=Homes_calc!AI$34),SUM('Utility or District'!$L$9:$L27),IF(partner_type="builder",SUM(Builder!AK$9:AK27),0))</f>
        <v>0</v>
      </c>
      <c r="AJ60">
        <f>IF(AND(partner_type="Utility/District",Introduction!$C$17=Homes_calc!AJ$34),SUM('Utility or District'!$L$9:$L27),IF(partner_type="builder",SUM(Builder!AL$9:AL27),0))</f>
        <v>0</v>
      </c>
      <c r="AK60">
        <f>IF(AND(partner_type="Utility/District",Introduction!$C$17=Homes_calc!AK$34),SUM('Utility or District'!$L$9:$L27),IF(partner_type="builder",SUM(Builder!AM$9:AM27),0))</f>
        <v>0</v>
      </c>
      <c r="AL60">
        <f>IF(AND(partner_type="Utility/District",Introduction!$C$17=Homes_calc!AL$34),SUM('Utility or District'!$L$9:$L27),IF(partner_type="builder",SUM(Builder!AN$9:AN27),0))</f>
        <v>0</v>
      </c>
      <c r="AM60">
        <f>IF(AND(partner_type="Utility/District",Introduction!$C$17=Homes_calc!AM$34),SUM('Utility or District'!$L$9:$L27),IF(partner_type="builder",SUM(Builder!AO$9:AO27),0))</f>
        <v>0</v>
      </c>
      <c r="AN60">
        <f>IF(AND(partner_type="Utility/District",Introduction!$C$17=Homes_calc!AN$34),SUM('Utility or District'!$L$9:$L27),IF(partner_type="builder",SUM(Builder!AP$9:AP27),0))</f>
        <v>0</v>
      </c>
      <c r="AO60">
        <f>IF(AND(partner_type="Utility/District",Introduction!$C$17=Homes_calc!AO$34),SUM('Utility or District'!$L$9:$L27),IF(partner_type="builder",SUM(Builder!AQ$9:AQ27),0))</f>
        <v>0</v>
      </c>
      <c r="AP60">
        <f>IF(AND(partner_type="Utility/District",Introduction!$C$17=Homes_calc!AP$34),SUM('Utility or District'!$L$9:$L27),IF(partner_type="builder",SUM(Builder!AR$9:AR27),0))</f>
        <v>0</v>
      </c>
      <c r="AQ60">
        <f>IF(AND(partner_type="Utility/District",Introduction!$C$17=Homes_calc!AQ$34),SUM('Utility or District'!$L$9:$L27),IF(partner_type="builder",SUM(Builder!AS$9:AS27),0))</f>
        <v>0</v>
      </c>
      <c r="AR60">
        <f>IF(AND(partner_type="Utility/District",Introduction!$C$17=Homes_calc!AR$34),SUM('Utility or District'!$L$9:$L27),IF(partner_type="builder",SUM(Builder!AT$9:AT27),0))</f>
        <v>0</v>
      </c>
      <c r="AS60">
        <f>IF(AND(partner_type="Utility/District",Introduction!$C$17=Homes_calc!AS$34),SUM('Utility or District'!$L$9:$L27),IF(partner_type="builder",SUM(Builder!AU$9:AU27),0))</f>
        <v>0</v>
      </c>
      <c r="AT60">
        <f>IF(AND(partner_type="Utility/District",Introduction!$C$17=Homes_calc!AT$34),SUM('Utility or District'!$L$9:$L27),IF(partner_type="builder",SUM(Builder!AV$9:AV27),0))</f>
        <v>0</v>
      </c>
      <c r="AU60">
        <f>IF(AND(partner_type="Utility/District",Introduction!$C$17=Homes_calc!AU$34),SUM('Utility or District'!$L$9:$L27),IF(partner_type="builder",SUM(Builder!AW$9:AW27),0))</f>
        <v>0</v>
      </c>
      <c r="AV60">
        <f>IF(AND(partner_type="Utility/District",Introduction!$C$17=Homes_calc!AV$34),SUM('Utility or District'!$L$9:$L27),IF(partner_type="builder",SUM(Builder!AX$9:AX27),0))</f>
        <v>0</v>
      </c>
      <c r="AW60">
        <f>IF(AND(partner_type="Utility/District",Introduction!$C$17=Homes_calc!AW$34),SUM('Utility or District'!$L$9:$L27),IF(partner_type="builder",SUM(Builder!AY$9:AY27),0))</f>
        <v>0</v>
      </c>
      <c r="AX60">
        <f>IF(AND(partner_type="Utility/District",Introduction!$C$17=Homes_calc!AX$34),SUM('Utility or District'!$L$9:$L27),IF(partner_type="builder",SUM(Builder!AZ$9:AZ27),0))</f>
        <v>0</v>
      </c>
      <c r="AY60">
        <f>IF(AND(partner_type="Utility/District",Introduction!$C$17=Homes_calc!AY$34),SUM('Utility or District'!$L$9:$L27),IF(partner_type="builder",SUM(Builder!BA$9:BA27),0))</f>
        <v>0</v>
      </c>
      <c r="AZ60">
        <f>IF(AND(partner_type="Utility/District",Introduction!$C$17=Homes_calc!AZ$34),SUM('Utility or District'!$L$9:$L27),IF(partner_type="builder",SUM(Builder!BB$9:BB27),0))</f>
        <v>0</v>
      </c>
      <c r="BA60">
        <f>IF(AND(partner_type="Utility/District",Introduction!$C$17=Homes_calc!BA$34),SUM('Utility or District'!$L$9:$L27),IF(partner_type="builder",SUM(Builder!BC$9:BC27),0))</f>
        <v>0</v>
      </c>
    </row>
    <row r="61" spans="2:53">
      <c r="B61" s="226">
        <v>2028</v>
      </c>
      <c r="C61">
        <f>IF(AND(partner_type="Utility/District",Introduction!$C$17=Homes_calc!C$34),SUM('Utility or District'!$L$9:$L28),IF(partner_type="builder",SUM(Builder!E$9:E28),0))</f>
        <v>0</v>
      </c>
      <c r="D61">
        <f>IF(AND(partner_type="Utility/District",Introduction!$C$17=Homes_calc!D$34),SUM('Utility or District'!$L$9:$L28),IF(partner_type="builder",SUM(Builder!F$9:F28),0))</f>
        <v>0</v>
      </c>
      <c r="E61">
        <f>IF(AND(partner_type="Utility/District",Introduction!$C$17=Homes_calc!E$34),SUM('Utility or District'!$L$9:$L28),IF(partner_type="builder",SUM(Builder!G$9:G28),0))</f>
        <v>0</v>
      </c>
      <c r="F61">
        <f>IF(AND(partner_type="Utility/District",Introduction!$C$17=Homes_calc!F$34),SUM('Utility or District'!$L$9:$L28),IF(partner_type="builder",SUM(Builder!H$9:H28),0))</f>
        <v>0</v>
      </c>
      <c r="G61">
        <f>IF(AND(partner_type="Utility/District",Introduction!$C$17=Homes_calc!G$34),SUM('Utility or District'!$L$9:$L28),IF(partner_type="builder",SUM(Builder!I$9:I28),0))</f>
        <v>0</v>
      </c>
      <c r="H61">
        <f>IF(AND(partner_type="Utility/District",Introduction!$C$17=Homes_calc!H$34),SUM('Utility or District'!$L$9:$L28),IF(partner_type="builder",SUM(Builder!J$9:J28),0))</f>
        <v>0</v>
      </c>
      <c r="I61">
        <f>IF(AND(partner_type="Utility/District",Introduction!$C$17=Homes_calc!I$34),SUM('Utility or District'!$L$9:$L28),IF(partner_type="builder",SUM(Builder!K$9:K28),0))</f>
        <v>0</v>
      </c>
      <c r="J61">
        <f>IF(AND(partner_type="Utility/District",Introduction!$C$17=Homes_calc!J$34),SUM('Utility or District'!$L$9:$L28),IF(partner_type="builder",SUM(Builder!L$9:L28),0))</f>
        <v>0</v>
      </c>
      <c r="K61">
        <f>IF(AND(partner_type="Utility/District",Introduction!$C$17=Homes_calc!K$34),SUM('Utility or District'!$L$9:$L28),IF(partner_type="builder",SUM(Builder!M$9:M28),0))</f>
        <v>0</v>
      </c>
      <c r="L61">
        <f>IF(AND(partner_type="Utility/District",Introduction!$C$17=Homes_calc!L$34),SUM('Utility or District'!$L$9:$L28),IF(partner_type="builder",SUM(Builder!N$9:N28),0))</f>
        <v>0</v>
      </c>
      <c r="M61">
        <f>IF(AND(partner_type="Utility/District",Introduction!$C$17=Homes_calc!M$34),SUM('Utility or District'!$L$9:$L28),IF(partner_type="builder",SUM(Builder!O$9:O28),0))</f>
        <v>0</v>
      </c>
      <c r="N61">
        <f>IF(AND(partner_type="Utility/District",Introduction!$C$17=Homes_calc!N$34),SUM('Utility or District'!$L$9:$L28),IF(partner_type="builder",SUM(Builder!P$9:P28),0))</f>
        <v>0</v>
      </c>
      <c r="O61">
        <f>IF(AND(partner_type="Utility/District",Introduction!$C$17=Homes_calc!O$34),SUM('Utility or District'!$L$9:$L28),IF(partner_type="builder",SUM(Builder!Q$9:Q28),0))</f>
        <v>0</v>
      </c>
      <c r="P61">
        <f>IF(AND(partner_type="Utility/District",Introduction!$C$17=Homes_calc!P$34),SUM('Utility or District'!$L$9:$L28),IF(partner_type="builder",SUM(Builder!R$9:R28),0))</f>
        <v>0</v>
      </c>
      <c r="Q61">
        <f>IF(AND(partner_type="Utility/District",Introduction!$C$17=Homes_calc!Q$34),SUM('Utility or District'!$L$9:$L28),IF(partner_type="builder",SUM(Builder!S$9:S28),0))</f>
        <v>0</v>
      </c>
      <c r="R61">
        <f>IF(AND(partner_type="Utility/District",Introduction!$C$17=Homes_calc!R$34),SUM('Utility or District'!$L$9:$L28),IF(partner_type="builder",SUM(Builder!T$9:T28),0))</f>
        <v>0</v>
      </c>
      <c r="S61">
        <f>IF(AND(partner_type="Utility/District",Introduction!$C$17=Homes_calc!S$34),SUM('Utility or District'!$L$9:$L28),IF(partner_type="builder",SUM(Builder!U$9:U28),0))</f>
        <v>0</v>
      </c>
      <c r="T61">
        <f>IF(AND(partner_type="Utility/District",Introduction!$C$17=Homes_calc!T$34),SUM('Utility or District'!$L$9:$L28),IF(partner_type="builder",SUM(Builder!V$9:V28),0))</f>
        <v>0</v>
      </c>
      <c r="U61">
        <f>IF(AND(partner_type="Utility/District",Introduction!$C$17=Homes_calc!U$34),SUM('Utility or District'!$L$9:$L28),IF(partner_type="builder",SUM(Builder!W$9:W28),0))</f>
        <v>0</v>
      </c>
      <c r="V61">
        <f>IF(AND(partner_type="Utility/District",Introduction!$C$17=Homes_calc!V$34),SUM('Utility or District'!$L$9:$L28),IF(partner_type="builder",SUM(Builder!X$9:X28),0))</f>
        <v>0</v>
      </c>
      <c r="W61">
        <f>IF(AND(partner_type="Utility/District",Introduction!$C$17=Homes_calc!W$34),SUM('Utility or District'!$L$9:$L28),IF(partner_type="builder",SUM(Builder!Y$9:Y28),0))</f>
        <v>0</v>
      </c>
      <c r="X61">
        <f>IF(AND(partner_type="Utility/District",Introduction!$C$17=Homes_calc!X$34),SUM('Utility or District'!$L$9:$L28),IF(partner_type="builder",SUM(Builder!Z$9:Z28),0))</f>
        <v>0</v>
      </c>
      <c r="Y61">
        <f>IF(AND(partner_type="Utility/District",Introduction!$C$17=Homes_calc!Y$34),SUM('Utility or District'!$L$9:$L28),IF(partner_type="builder",SUM(Builder!AA$9:AA28),0))</f>
        <v>0</v>
      </c>
      <c r="Z61">
        <f>IF(AND(partner_type="Utility/District",Introduction!$C$17=Homes_calc!Z$34),SUM('Utility or District'!$L$9:$L28),IF(partner_type="builder",SUM(Builder!AB$9:AB28),0))</f>
        <v>0</v>
      </c>
      <c r="AA61">
        <f>IF(AND(partner_type="Utility/District",Introduction!$C$17=Homes_calc!AA$34),SUM('Utility or District'!$L$9:$L28),IF(partner_type="builder",SUM(Builder!AC$9:AC28),0))</f>
        <v>0</v>
      </c>
      <c r="AB61">
        <f>IF(AND(partner_type="Utility/District",Introduction!$C$17=Homes_calc!AB$34),SUM('Utility or District'!$L$9:$L28),IF(partner_type="builder",SUM(Builder!AD$9:AD28),0))</f>
        <v>0</v>
      </c>
      <c r="AC61">
        <f>IF(AND(partner_type="Utility/District",Introduction!$C$17=Homes_calc!AC$34),SUM('Utility or District'!$L$9:$L28),IF(partner_type="builder",SUM(Builder!AE$9:AE28),0))</f>
        <v>0</v>
      </c>
      <c r="AD61">
        <f>IF(AND(partner_type="Utility/District",Introduction!$C$17=Homes_calc!AD$34),SUM('Utility or District'!$L$9:$L28),IF(partner_type="builder",SUM(Builder!AF$9:AF28),0))</f>
        <v>0</v>
      </c>
      <c r="AE61">
        <f>IF(AND(partner_type="Utility/District",Introduction!$C$17=Homes_calc!AE$34),SUM('Utility or District'!$L$9:$L28),IF(partner_type="builder",SUM(Builder!AG$9:AG28),0))</f>
        <v>0</v>
      </c>
      <c r="AF61">
        <f>IF(AND(partner_type="Utility/District",Introduction!$C$17=Homes_calc!AF$34),SUM('Utility or District'!$L$9:$L28),IF(partner_type="builder",SUM(Builder!AH$9:AH28),0))</f>
        <v>0</v>
      </c>
      <c r="AG61">
        <f>IF(AND(partner_type="Utility/District",Introduction!$C$17=Homes_calc!AG$34),SUM('Utility or District'!$L$9:$L28),IF(partner_type="builder",SUM(Builder!AI$9:AI28),0))</f>
        <v>0</v>
      </c>
      <c r="AH61">
        <f>IF(AND(partner_type="Utility/District",Introduction!$C$17=Homes_calc!AH$34),SUM('Utility or District'!$L$9:$L28),IF(partner_type="builder",SUM(Builder!AJ$9:AJ28),0))</f>
        <v>0</v>
      </c>
      <c r="AI61">
        <f>IF(AND(partner_type="Utility/District",Introduction!$C$17=Homes_calc!AI$34),SUM('Utility or District'!$L$9:$L28),IF(partner_type="builder",SUM(Builder!AK$9:AK28),0))</f>
        <v>0</v>
      </c>
      <c r="AJ61">
        <f>IF(AND(partner_type="Utility/District",Introduction!$C$17=Homes_calc!AJ$34),SUM('Utility or District'!$L$9:$L28),IF(partner_type="builder",SUM(Builder!AL$9:AL28),0))</f>
        <v>0</v>
      </c>
      <c r="AK61">
        <f>IF(AND(partner_type="Utility/District",Introduction!$C$17=Homes_calc!AK$34),SUM('Utility or District'!$L$9:$L28),IF(partner_type="builder",SUM(Builder!AM$9:AM28),0))</f>
        <v>0</v>
      </c>
      <c r="AL61">
        <f>IF(AND(partner_type="Utility/District",Introduction!$C$17=Homes_calc!AL$34),SUM('Utility or District'!$L$9:$L28),IF(partner_type="builder",SUM(Builder!AN$9:AN28),0))</f>
        <v>0</v>
      </c>
      <c r="AM61">
        <f>IF(AND(partner_type="Utility/District",Introduction!$C$17=Homes_calc!AM$34),SUM('Utility or District'!$L$9:$L28),IF(partner_type="builder",SUM(Builder!AO$9:AO28),0))</f>
        <v>0</v>
      </c>
      <c r="AN61">
        <f>IF(AND(partner_type="Utility/District",Introduction!$C$17=Homes_calc!AN$34),SUM('Utility or District'!$L$9:$L28),IF(partner_type="builder",SUM(Builder!AP$9:AP28),0))</f>
        <v>0</v>
      </c>
      <c r="AO61">
        <f>IF(AND(partner_type="Utility/District",Introduction!$C$17=Homes_calc!AO$34),SUM('Utility or District'!$L$9:$L28),IF(partner_type="builder",SUM(Builder!AQ$9:AQ28),0))</f>
        <v>0</v>
      </c>
      <c r="AP61">
        <f>IF(AND(partner_type="Utility/District",Introduction!$C$17=Homes_calc!AP$34),SUM('Utility or District'!$L$9:$L28),IF(partner_type="builder",SUM(Builder!AR$9:AR28),0))</f>
        <v>0</v>
      </c>
      <c r="AQ61">
        <f>IF(AND(partner_type="Utility/District",Introduction!$C$17=Homes_calc!AQ$34),SUM('Utility or District'!$L$9:$L28),IF(partner_type="builder",SUM(Builder!AS$9:AS28),0))</f>
        <v>0</v>
      </c>
      <c r="AR61">
        <f>IF(AND(partner_type="Utility/District",Introduction!$C$17=Homes_calc!AR$34),SUM('Utility or District'!$L$9:$L28),IF(partner_type="builder",SUM(Builder!AT$9:AT28),0))</f>
        <v>0</v>
      </c>
      <c r="AS61">
        <f>IF(AND(partner_type="Utility/District",Introduction!$C$17=Homes_calc!AS$34),SUM('Utility or District'!$L$9:$L28),IF(partner_type="builder",SUM(Builder!AU$9:AU28),0))</f>
        <v>0</v>
      </c>
      <c r="AT61">
        <f>IF(AND(partner_type="Utility/District",Introduction!$C$17=Homes_calc!AT$34),SUM('Utility or District'!$L$9:$L28),IF(partner_type="builder",SUM(Builder!AV$9:AV28),0))</f>
        <v>0</v>
      </c>
      <c r="AU61">
        <f>IF(AND(partner_type="Utility/District",Introduction!$C$17=Homes_calc!AU$34),SUM('Utility or District'!$L$9:$L28),IF(partner_type="builder",SUM(Builder!AW$9:AW28),0))</f>
        <v>0</v>
      </c>
      <c r="AV61">
        <f>IF(AND(partner_type="Utility/District",Introduction!$C$17=Homes_calc!AV$34),SUM('Utility or District'!$L$9:$L28),IF(partner_type="builder",SUM(Builder!AX$9:AX28),0))</f>
        <v>0</v>
      </c>
      <c r="AW61">
        <f>IF(AND(partner_type="Utility/District",Introduction!$C$17=Homes_calc!AW$34),SUM('Utility or District'!$L$9:$L28),IF(partner_type="builder",SUM(Builder!AY$9:AY28),0))</f>
        <v>0</v>
      </c>
      <c r="AX61">
        <f>IF(AND(partner_type="Utility/District",Introduction!$C$17=Homes_calc!AX$34),SUM('Utility or District'!$L$9:$L28),IF(partner_type="builder",SUM(Builder!AZ$9:AZ28),0))</f>
        <v>0</v>
      </c>
      <c r="AY61">
        <f>IF(AND(partner_type="Utility/District",Introduction!$C$17=Homes_calc!AY$34),SUM('Utility or District'!$L$9:$L28),IF(partner_type="builder",SUM(Builder!BA$9:BA28),0))</f>
        <v>0</v>
      </c>
      <c r="AZ61">
        <f>IF(AND(partner_type="Utility/District",Introduction!$C$17=Homes_calc!AZ$34),SUM('Utility or District'!$L$9:$L28),IF(partner_type="builder",SUM(Builder!BB$9:BB28),0))</f>
        <v>0</v>
      </c>
      <c r="BA61">
        <f>IF(AND(partner_type="Utility/District",Introduction!$C$17=Homes_calc!BA$34),SUM('Utility or District'!$L$9:$L28),IF(partner_type="builder",SUM(Builder!BC$9:BC28),0))</f>
        <v>0</v>
      </c>
    </row>
    <row r="62" spans="2:53">
      <c r="B62" s="228">
        <v>2029</v>
      </c>
      <c r="C62">
        <f>IF(AND(partner_type="Utility/District",Introduction!$C$17=Homes_calc!C$34),SUM('Utility or District'!$L$9:$L29),IF(partner_type="builder",SUM(Builder!E$9:E29),0))</f>
        <v>0</v>
      </c>
      <c r="D62">
        <f>IF(AND(partner_type="Utility/District",Introduction!$C$17=Homes_calc!D$34),SUM('Utility or District'!$L$9:$L29),IF(partner_type="builder",SUM(Builder!F$9:F29),0))</f>
        <v>0</v>
      </c>
      <c r="E62">
        <f>IF(AND(partner_type="Utility/District",Introduction!$C$17=Homes_calc!E$34),SUM('Utility or District'!$L$9:$L29),IF(partner_type="builder",SUM(Builder!G$9:G29),0))</f>
        <v>0</v>
      </c>
      <c r="F62">
        <f>IF(AND(partner_type="Utility/District",Introduction!$C$17=Homes_calc!F$34),SUM('Utility or District'!$L$9:$L29),IF(partner_type="builder",SUM(Builder!H$9:H29),0))</f>
        <v>0</v>
      </c>
      <c r="G62">
        <f>IF(AND(partner_type="Utility/District",Introduction!$C$17=Homes_calc!G$34),SUM('Utility or District'!$L$9:$L29),IF(partner_type="builder",SUM(Builder!I$9:I29),0))</f>
        <v>0</v>
      </c>
      <c r="H62">
        <f>IF(AND(partner_type="Utility/District",Introduction!$C$17=Homes_calc!H$34),SUM('Utility or District'!$L$9:$L29),IF(partner_type="builder",SUM(Builder!J$9:J29),0))</f>
        <v>0</v>
      </c>
      <c r="I62">
        <f>IF(AND(partner_type="Utility/District",Introduction!$C$17=Homes_calc!I$34),SUM('Utility or District'!$L$9:$L29),IF(partner_type="builder",SUM(Builder!K$9:K29),0))</f>
        <v>0</v>
      </c>
      <c r="J62">
        <f>IF(AND(partner_type="Utility/District",Introduction!$C$17=Homes_calc!J$34),SUM('Utility or District'!$L$9:$L29),IF(partner_type="builder",SUM(Builder!L$9:L29),0))</f>
        <v>0</v>
      </c>
      <c r="K62">
        <f>IF(AND(partner_type="Utility/District",Introduction!$C$17=Homes_calc!K$34),SUM('Utility or District'!$L$9:$L29),IF(partner_type="builder",SUM(Builder!M$9:M29),0))</f>
        <v>0</v>
      </c>
      <c r="L62">
        <f>IF(AND(partner_type="Utility/District",Introduction!$C$17=Homes_calc!L$34),SUM('Utility or District'!$L$9:$L29),IF(partner_type="builder",SUM(Builder!N$9:N29),0))</f>
        <v>0</v>
      </c>
      <c r="M62">
        <f>IF(AND(partner_type="Utility/District",Introduction!$C$17=Homes_calc!M$34),SUM('Utility or District'!$L$9:$L29),IF(partner_type="builder",SUM(Builder!O$9:O29),0))</f>
        <v>0</v>
      </c>
      <c r="N62">
        <f>IF(AND(partner_type="Utility/District",Introduction!$C$17=Homes_calc!N$34),SUM('Utility or District'!$L$9:$L29),IF(partner_type="builder",SUM(Builder!P$9:P29),0))</f>
        <v>0</v>
      </c>
      <c r="O62">
        <f>IF(AND(partner_type="Utility/District",Introduction!$C$17=Homes_calc!O$34),SUM('Utility or District'!$L$9:$L29),IF(partner_type="builder",SUM(Builder!Q$9:Q29),0))</f>
        <v>0</v>
      </c>
      <c r="P62">
        <f>IF(AND(partner_type="Utility/District",Introduction!$C$17=Homes_calc!P$34),SUM('Utility or District'!$L$9:$L29),IF(partner_type="builder",SUM(Builder!R$9:R29),0))</f>
        <v>0</v>
      </c>
      <c r="Q62">
        <f>IF(AND(partner_type="Utility/District",Introduction!$C$17=Homes_calc!Q$34),SUM('Utility or District'!$L$9:$L29),IF(partner_type="builder",SUM(Builder!S$9:S29),0))</f>
        <v>0</v>
      </c>
      <c r="R62">
        <f>IF(AND(partner_type="Utility/District",Introduction!$C$17=Homes_calc!R$34),SUM('Utility or District'!$L$9:$L29),IF(partner_type="builder",SUM(Builder!T$9:T29),0))</f>
        <v>0</v>
      </c>
      <c r="S62">
        <f>IF(AND(partner_type="Utility/District",Introduction!$C$17=Homes_calc!S$34),SUM('Utility or District'!$L$9:$L29),IF(partner_type="builder",SUM(Builder!U$9:U29),0))</f>
        <v>0</v>
      </c>
      <c r="T62">
        <f>IF(AND(partner_type="Utility/District",Introduction!$C$17=Homes_calc!T$34),SUM('Utility or District'!$L$9:$L29),IF(partner_type="builder",SUM(Builder!V$9:V29),0))</f>
        <v>0</v>
      </c>
      <c r="U62">
        <f>IF(AND(partner_type="Utility/District",Introduction!$C$17=Homes_calc!U$34),SUM('Utility or District'!$L$9:$L29),IF(partner_type="builder",SUM(Builder!W$9:W29),0))</f>
        <v>0</v>
      </c>
      <c r="V62">
        <f>IF(AND(partner_type="Utility/District",Introduction!$C$17=Homes_calc!V$34),SUM('Utility or District'!$L$9:$L29),IF(partner_type="builder",SUM(Builder!X$9:X29),0))</f>
        <v>0</v>
      </c>
      <c r="W62">
        <f>IF(AND(partner_type="Utility/District",Introduction!$C$17=Homes_calc!W$34),SUM('Utility or District'!$L$9:$L29),IF(partner_type="builder",SUM(Builder!Y$9:Y29),0))</f>
        <v>0</v>
      </c>
      <c r="X62">
        <f>IF(AND(partner_type="Utility/District",Introduction!$C$17=Homes_calc!X$34),SUM('Utility or District'!$L$9:$L29),IF(partner_type="builder",SUM(Builder!Z$9:Z29),0))</f>
        <v>0</v>
      </c>
      <c r="Y62">
        <f>IF(AND(partner_type="Utility/District",Introduction!$C$17=Homes_calc!Y$34),SUM('Utility or District'!$L$9:$L29),IF(partner_type="builder",SUM(Builder!AA$9:AA29),0))</f>
        <v>0</v>
      </c>
      <c r="Z62">
        <f>IF(AND(partner_type="Utility/District",Introduction!$C$17=Homes_calc!Z$34),SUM('Utility or District'!$L$9:$L29),IF(partner_type="builder",SUM(Builder!AB$9:AB29),0))</f>
        <v>0</v>
      </c>
      <c r="AA62">
        <f>IF(AND(partner_type="Utility/District",Introduction!$C$17=Homes_calc!AA$34),SUM('Utility or District'!$L$9:$L29),IF(partner_type="builder",SUM(Builder!AC$9:AC29),0))</f>
        <v>0</v>
      </c>
      <c r="AB62">
        <f>IF(AND(partner_type="Utility/District",Introduction!$C$17=Homes_calc!AB$34),SUM('Utility or District'!$L$9:$L29),IF(partner_type="builder",SUM(Builder!AD$9:AD29),0))</f>
        <v>0</v>
      </c>
      <c r="AC62">
        <f>IF(AND(partner_type="Utility/District",Introduction!$C$17=Homes_calc!AC$34),SUM('Utility or District'!$L$9:$L29),IF(partner_type="builder",SUM(Builder!AE$9:AE29),0))</f>
        <v>0</v>
      </c>
      <c r="AD62">
        <f>IF(AND(partner_type="Utility/District",Introduction!$C$17=Homes_calc!AD$34),SUM('Utility or District'!$L$9:$L29),IF(partner_type="builder",SUM(Builder!AF$9:AF29),0))</f>
        <v>0</v>
      </c>
      <c r="AE62">
        <f>IF(AND(partner_type="Utility/District",Introduction!$C$17=Homes_calc!AE$34),SUM('Utility or District'!$L$9:$L29),IF(partner_type="builder",SUM(Builder!AG$9:AG29),0))</f>
        <v>0</v>
      </c>
      <c r="AF62">
        <f>IF(AND(partner_type="Utility/District",Introduction!$C$17=Homes_calc!AF$34),SUM('Utility or District'!$L$9:$L29),IF(partner_type="builder",SUM(Builder!AH$9:AH29),0))</f>
        <v>0</v>
      </c>
      <c r="AG62">
        <f>IF(AND(partner_type="Utility/District",Introduction!$C$17=Homes_calc!AG$34),SUM('Utility or District'!$L$9:$L29),IF(partner_type="builder",SUM(Builder!AI$9:AI29),0))</f>
        <v>0</v>
      </c>
      <c r="AH62">
        <f>IF(AND(partner_type="Utility/District",Introduction!$C$17=Homes_calc!AH$34),SUM('Utility or District'!$L$9:$L29),IF(partner_type="builder",SUM(Builder!AJ$9:AJ29),0))</f>
        <v>0</v>
      </c>
      <c r="AI62">
        <f>IF(AND(partner_type="Utility/District",Introduction!$C$17=Homes_calc!AI$34),SUM('Utility or District'!$L$9:$L29),IF(partner_type="builder",SUM(Builder!AK$9:AK29),0))</f>
        <v>0</v>
      </c>
      <c r="AJ62">
        <f>IF(AND(partner_type="Utility/District",Introduction!$C$17=Homes_calc!AJ$34),SUM('Utility or District'!$L$9:$L29),IF(partner_type="builder",SUM(Builder!AL$9:AL29),0))</f>
        <v>0</v>
      </c>
      <c r="AK62">
        <f>IF(AND(partner_type="Utility/District",Introduction!$C$17=Homes_calc!AK$34),SUM('Utility or District'!$L$9:$L29),IF(partner_type="builder",SUM(Builder!AM$9:AM29),0))</f>
        <v>0</v>
      </c>
      <c r="AL62">
        <f>IF(AND(partner_type="Utility/District",Introduction!$C$17=Homes_calc!AL$34),SUM('Utility or District'!$L$9:$L29),IF(partner_type="builder",SUM(Builder!AN$9:AN29),0))</f>
        <v>0</v>
      </c>
      <c r="AM62">
        <f>IF(AND(partner_type="Utility/District",Introduction!$C$17=Homes_calc!AM$34),SUM('Utility or District'!$L$9:$L29),IF(partner_type="builder",SUM(Builder!AO$9:AO29),0))</f>
        <v>0</v>
      </c>
      <c r="AN62">
        <f>IF(AND(partner_type="Utility/District",Introduction!$C$17=Homes_calc!AN$34),SUM('Utility or District'!$L$9:$L29),IF(partner_type="builder",SUM(Builder!AP$9:AP29),0))</f>
        <v>0</v>
      </c>
      <c r="AO62">
        <f>IF(AND(partner_type="Utility/District",Introduction!$C$17=Homes_calc!AO$34),SUM('Utility or District'!$L$9:$L29),IF(partner_type="builder",SUM(Builder!AQ$9:AQ29),0))</f>
        <v>0</v>
      </c>
      <c r="AP62">
        <f>IF(AND(partner_type="Utility/District",Introduction!$C$17=Homes_calc!AP$34),SUM('Utility or District'!$L$9:$L29),IF(partner_type="builder",SUM(Builder!AR$9:AR29),0))</f>
        <v>0</v>
      </c>
      <c r="AQ62">
        <f>IF(AND(partner_type="Utility/District",Introduction!$C$17=Homes_calc!AQ$34),SUM('Utility or District'!$L$9:$L29),IF(partner_type="builder",SUM(Builder!AS$9:AS29),0))</f>
        <v>0</v>
      </c>
      <c r="AR62">
        <f>IF(AND(partner_type="Utility/District",Introduction!$C$17=Homes_calc!AR$34),SUM('Utility or District'!$L$9:$L29),IF(partner_type="builder",SUM(Builder!AT$9:AT29),0))</f>
        <v>0</v>
      </c>
      <c r="AS62">
        <f>IF(AND(partner_type="Utility/District",Introduction!$C$17=Homes_calc!AS$34),SUM('Utility or District'!$L$9:$L29),IF(partner_type="builder",SUM(Builder!AU$9:AU29),0))</f>
        <v>0</v>
      </c>
      <c r="AT62">
        <f>IF(AND(partner_type="Utility/District",Introduction!$C$17=Homes_calc!AT$34),SUM('Utility or District'!$L$9:$L29),IF(partner_type="builder",SUM(Builder!AV$9:AV29),0))</f>
        <v>0</v>
      </c>
      <c r="AU62">
        <f>IF(AND(partner_type="Utility/District",Introduction!$C$17=Homes_calc!AU$34),SUM('Utility or District'!$L$9:$L29),IF(partner_type="builder",SUM(Builder!AW$9:AW29),0))</f>
        <v>0</v>
      </c>
      <c r="AV62">
        <f>IF(AND(partner_type="Utility/District",Introduction!$C$17=Homes_calc!AV$34),SUM('Utility or District'!$L$9:$L29),IF(partner_type="builder",SUM(Builder!AX$9:AX29),0))</f>
        <v>0</v>
      </c>
      <c r="AW62">
        <f>IF(AND(partner_type="Utility/District",Introduction!$C$17=Homes_calc!AW$34),SUM('Utility or District'!$L$9:$L29),IF(partner_type="builder",SUM(Builder!AY$9:AY29),0))</f>
        <v>0</v>
      </c>
      <c r="AX62">
        <f>IF(AND(partner_type="Utility/District",Introduction!$C$17=Homes_calc!AX$34),SUM('Utility or District'!$L$9:$L29),IF(partner_type="builder",SUM(Builder!AZ$9:AZ29),0))</f>
        <v>0</v>
      </c>
      <c r="AY62">
        <f>IF(AND(partner_type="Utility/District",Introduction!$C$17=Homes_calc!AY$34),SUM('Utility or District'!$L$9:$L29),IF(partner_type="builder",SUM(Builder!BA$9:BA29),0))</f>
        <v>0</v>
      </c>
      <c r="AZ62">
        <f>IF(AND(partner_type="Utility/District",Introduction!$C$17=Homes_calc!AZ$34),SUM('Utility or District'!$L$9:$L29),IF(partner_type="builder",SUM(Builder!BB$9:BB29),0))</f>
        <v>0</v>
      </c>
      <c r="BA62">
        <f>IF(AND(partner_type="Utility/District",Introduction!$C$17=Homes_calc!BA$34),SUM('Utility or District'!$L$9:$L29),IF(partner_type="builder",SUM(Builder!BC$9:BC29),0))</f>
        <v>0</v>
      </c>
    </row>
    <row r="63" spans="2:53">
      <c r="B63" s="226">
        <v>2030</v>
      </c>
      <c r="C63">
        <f>IF(AND(partner_type="Utility/District",Introduction!$C$17=Homes_calc!C$34),SUM('Utility or District'!$L$9:$L30),IF(partner_type="builder",SUM(Builder!E$9:E30),0))</f>
        <v>0</v>
      </c>
      <c r="D63">
        <f>IF(AND(partner_type="Utility/District",Introduction!$C$17=Homes_calc!D$34),SUM('Utility or District'!$L$9:$L30),IF(partner_type="builder",SUM(Builder!F$9:F30),0))</f>
        <v>0</v>
      </c>
      <c r="E63">
        <f>IF(AND(partner_type="Utility/District",Introduction!$C$17=Homes_calc!E$34),SUM('Utility or District'!$L$9:$L30),IF(partner_type="builder",SUM(Builder!G$9:G30),0))</f>
        <v>0</v>
      </c>
      <c r="F63">
        <f>IF(AND(partner_type="Utility/District",Introduction!$C$17=Homes_calc!F$34),SUM('Utility or District'!$L$9:$L30),IF(partner_type="builder",SUM(Builder!H$9:H30),0))</f>
        <v>0</v>
      </c>
      <c r="G63">
        <f>IF(AND(partner_type="Utility/District",Introduction!$C$17=Homes_calc!G$34),SUM('Utility or District'!$L$9:$L30),IF(partner_type="builder",SUM(Builder!I$9:I30),0))</f>
        <v>0</v>
      </c>
      <c r="H63">
        <f>IF(AND(partner_type="Utility/District",Introduction!$C$17=Homes_calc!H$34),SUM('Utility or District'!$L$9:$L30),IF(partner_type="builder",SUM(Builder!J$9:J30),0))</f>
        <v>0</v>
      </c>
      <c r="I63">
        <f>IF(AND(partner_type="Utility/District",Introduction!$C$17=Homes_calc!I$34),SUM('Utility or District'!$L$9:$L30),IF(partner_type="builder",SUM(Builder!K$9:K30),0))</f>
        <v>0</v>
      </c>
      <c r="J63">
        <f>IF(AND(partner_type="Utility/District",Introduction!$C$17=Homes_calc!J$34),SUM('Utility or District'!$L$9:$L30),IF(partner_type="builder",SUM(Builder!L$9:L30),0))</f>
        <v>0</v>
      </c>
      <c r="K63">
        <f>IF(AND(partner_type="Utility/District",Introduction!$C$17=Homes_calc!K$34),SUM('Utility or District'!$L$9:$L30),IF(partner_type="builder",SUM(Builder!M$9:M30),0))</f>
        <v>0</v>
      </c>
      <c r="L63">
        <f>IF(AND(partner_type="Utility/District",Introduction!$C$17=Homes_calc!L$34),SUM('Utility or District'!$L$9:$L30),IF(partner_type="builder",SUM(Builder!N$9:N30),0))</f>
        <v>0</v>
      </c>
      <c r="M63">
        <f>IF(AND(partner_type="Utility/District",Introduction!$C$17=Homes_calc!M$34),SUM('Utility or District'!$L$9:$L30),IF(partner_type="builder",SUM(Builder!O$9:O30),0))</f>
        <v>0</v>
      </c>
      <c r="N63">
        <f>IF(AND(partner_type="Utility/District",Introduction!$C$17=Homes_calc!N$34),SUM('Utility or District'!$L$9:$L30),IF(partner_type="builder",SUM(Builder!P$9:P30),0))</f>
        <v>0</v>
      </c>
      <c r="O63">
        <f>IF(AND(partner_type="Utility/District",Introduction!$C$17=Homes_calc!O$34),SUM('Utility or District'!$L$9:$L30),IF(partner_type="builder",SUM(Builder!Q$9:Q30),0))</f>
        <v>0</v>
      </c>
      <c r="P63">
        <f>IF(AND(partner_type="Utility/District",Introduction!$C$17=Homes_calc!P$34),SUM('Utility or District'!$L$9:$L30),IF(partner_type="builder",SUM(Builder!R$9:R30),0))</f>
        <v>0</v>
      </c>
      <c r="Q63">
        <f>IF(AND(partner_type="Utility/District",Introduction!$C$17=Homes_calc!Q$34),SUM('Utility or District'!$L$9:$L30),IF(partner_type="builder",SUM(Builder!S$9:S30),0))</f>
        <v>0</v>
      </c>
      <c r="R63">
        <f>IF(AND(partner_type="Utility/District",Introduction!$C$17=Homes_calc!R$34),SUM('Utility or District'!$L$9:$L30),IF(partner_type="builder",SUM(Builder!T$9:T30),0))</f>
        <v>0</v>
      </c>
      <c r="S63">
        <f>IF(AND(partner_type="Utility/District",Introduction!$C$17=Homes_calc!S$34),SUM('Utility or District'!$L$9:$L30),IF(partner_type="builder",SUM(Builder!U$9:U30),0))</f>
        <v>0</v>
      </c>
      <c r="T63">
        <f>IF(AND(partner_type="Utility/District",Introduction!$C$17=Homes_calc!T$34),SUM('Utility or District'!$L$9:$L30),IF(partner_type="builder",SUM(Builder!V$9:V30),0))</f>
        <v>0</v>
      </c>
      <c r="U63">
        <f>IF(AND(partner_type="Utility/District",Introduction!$C$17=Homes_calc!U$34),SUM('Utility or District'!$L$9:$L30),IF(partner_type="builder",SUM(Builder!W$9:W30),0))</f>
        <v>0</v>
      </c>
      <c r="V63">
        <f>IF(AND(partner_type="Utility/District",Introduction!$C$17=Homes_calc!V$34),SUM('Utility or District'!$L$9:$L30),IF(partner_type="builder",SUM(Builder!X$9:X30),0))</f>
        <v>0</v>
      </c>
      <c r="W63">
        <f>IF(AND(partner_type="Utility/District",Introduction!$C$17=Homes_calc!W$34),SUM('Utility or District'!$L$9:$L30),IF(partner_type="builder",SUM(Builder!Y$9:Y30),0))</f>
        <v>0</v>
      </c>
      <c r="X63">
        <f>IF(AND(partner_type="Utility/District",Introduction!$C$17=Homes_calc!X$34),SUM('Utility or District'!$L$9:$L30),IF(partner_type="builder",SUM(Builder!Z$9:Z30),0))</f>
        <v>0</v>
      </c>
      <c r="Y63">
        <f>IF(AND(partner_type="Utility/District",Introduction!$C$17=Homes_calc!Y$34),SUM('Utility or District'!$L$9:$L30),IF(partner_type="builder",SUM(Builder!AA$9:AA30),0))</f>
        <v>0</v>
      </c>
      <c r="Z63">
        <f>IF(AND(partner_type="Utility/District",Introduction!$C$17=Homes_calc!Z$34),SUM('Utility or District'!$L$9:$L30),IF(partner_type="builder",SUM(Builder!AB$9:AB30),0))</f>
        <v>0</v>
      </c>
      <c r="AA63">
        <f>IF(AND(partner_type="Utility/District",Introduction!$C$17=Homes_calc!AA$34),SUM('Utility or District'!$L$9:$L30),IF(partner_type="builder",SUM(Builder!AC$9:AC30),0))</f>
        <v>0</v>
      </c>
      <c r="AB63">
        <f>IF(AND(partner_type="Utility/District",Introduction!$C$17=Homes_calc!AB$34),SUM('Utility or District'!$L$9:$L30),IF(partner_type="builder",SUM(Builder!AD$9:AD30),0))</f>
        <v>0</v>
      </c>
      <c r="AC63">
        <f>IF(AND(partner_type="Utility/District",Introduction!$C$17=Homes_calc!AC$34),SUM('Utility or District'!$L$9:$L30),IF(partner_type="builder",SUM(Builder!AE$9:AE30),0))</f>
        <v>0</v>
      </c>
      <c r="AD63">
        <f>IF(AND(partner_type="Utility/District",Introduction!$C$17=Homes_calc!AD$34),SUM('Utility or District'!$L$9:$L30),IF(partner_type="builder",SUM(Builder!AF$9:AF30),0))</f>
        <v>0</v>
      </c>
      <c r="AE63">
        <f>IF(AND(partner_type="Utility/District",Introduction!$C$17=Homes_calc!AE$34),SUM('Utility or District'!$L$9:$L30),IF(partner_type="builder",SUM(Builder!AG$9:AG30),0))</f>
        <v>0</v>
      </c>
      <c r="AF63">
        <f>IF(AND(partner_type="Utility/District",Introduction!$C$17=Homes_calc!AF$34),SUM('Utility or District'!$L$9:$L30),IF(partner_type="builder",SUM(Builder!AH$9:AH30),0))</f>
        <v>0</v>
      </c>
      <c r="AG63">
        <f>IF(AND(partner_type="Utility/District",Introduction!$C$17=Homes_calc!AG$34),SUM('Utility or District'!$L$9:$L30),IF(partner_type="builder",SUM(Builder!AI$9:AI30),0))</f>
        <v>0</v>
      </c>
      <c r="AH63">
        <f>IF(AND(partner_type="Utility/District",Introduction!$C$17=Homes_calc!AH$34),SUM('Utility or District'!$L$9:$L30),IF(partner_type="builder",SUM(Builder!AJ$9:AJ30),0))</f>
        <v>0</v>
      </c>
      <c r="AI63">
        <f>IF(AND(partner_type="Utility/District",Introduction!$C$17=Homes_calc!AI$34),SUM('Utility or District'!$L$9:$L30),IF(partner_type="builder",SUM(Builder!AK$9:AK30),0))</f>
        <v>0</v>
      </c>
      <c r="AJ63">
        <f>IF(AND(partner_type="Utility/District",Introduction!$C$17=Homes_calc!AJ$34),SUM('Utility or District'!$L$9:$L30),IF(partner_type="builder",SUM(Builder!AL$9:AL30),0))</f>
        <v>0</v>
      </c>
      <c r="AK63">
        <f>IF(AND(partner_type="Utility/District",Introduction!$C$17=Homes_calc!AK$34),SUM('Utility or District'!$L$9:$L30),IF(partner_type="builder",SUM(Builder!AM$9:AM30),0))</f>
        <v>0</v>
      </c>
      <c r="AL63">
        <f>IF(AND(partner_type="Utility/District",Introduction!$C$17=Homes_calc!AL$34),SUM('Utility or District'!$L$9:$L30),IF(partner_type="builder",SUM(Builder!AN$9:AN30),0))</f>
        <v>0</v>
      </c>
      <c r="AM63">
        <f>IF(AND(partner_type="Utility/District",Introduction!$C$17=Homes_calc!AM$34),SUM('Utility or District'!$L$9:$L30),IF(partner_type="builder",SUM(Builder!AO$9:AO30),0))</f>
        <v>0</v>
      </c>
      <c r="AN63">
        <f>IF(AND(partner_type="Utility/District",Introduction!$C$17=Homes_calc!AN$34),SUM('Utility or District'!$L$9:$L30),IF(partner_type="builder",SUM(Builder!AP$9:AP30),0))</f>
        <v>0</v>
      </c>
      <c r="AO63">
        <f>IF(AND(partner_type="Utility/District",Introduction!$C$17=Homes_calc!AO$34),SUM('Utility or District'!$L$9:$L30),IF(partner_type="builder",SUM(Builder!AQ$9:AQ30),0))</f>
        <v>0</v>
      </c>
      <c r="AP63">
        <f>IF(AND(partner_type="Utility/District",Introduction!$C$17=Homes_calc!AP$34),SUM('Utility or District'!$L$9:$L30),IF(partner_type="builder",SUM(Builder!AR$9:AR30),0))</f>
        <v>0</v>
      </c>
      <c r="AQ63">
        <f>IF(AND(partner_type="Utility/District",Introduction!$C$17=Homes_calc!AQ$34),SUM('Utility or District'!$L$9:$L30),IF(partner_type="builder",SUM(Builder!AS$9:AS30),0))</f>
        <v>0</v>
      </c>
      <c r="AR63">
        <f>IF(AND(partner_type="Utility/District",Introduction!$C$17=Homes_calc!AR$34),SUM('Utility or District'!$L$9:$L30),IF(partner_type="builder",SUM(Builder!AT$9:AT30),0))</f>
        <v>0</v>
      </c>
      <c r="AS63">
        <f>IF(AND(partner_type="Utility/District",Introduction!$C$17=Homes_calc!AS$34),SUM('Utility or District'!$L$9:$L30),IF(partner_type="builder",SUM(Builder!AU$9:AU30),0))</f>
        <v>0</v>
      </c>
      <c r="AT63">
        <f>IF(AND(partner_type="Utility/District",Introduction!$C$17=Homes_calc!AT$34),SUM('Utility or District'!$L$9:$L30),IF(partner_type="builder",SUM(Builder!AV$9:AV30),0))</f>
        <v>0</v>
      </c>
      <c r="AU63">
        <f>IF(AND(partner_type="Utility/District",Introduction!$C$17=Homes_calc!AU$34),SUM('Utility or District'!$L$9:$L30),IF(partner_type="builder",SUM(Builder!AW$9:AW30),0))</f>
        <v>0</v>
      </c>
      <c r="AV63">
        <f>IF(AND(partner_type="Utility/District",Introduction!$C$17=Homes_calc!AV$34),SUM('Utility or District'!$L$9:$L30),IF(partner_type="builder",SUM(Builder!AX$9:AX30),0))</f>
        <v>0</v>
      </c>
      <c r="AW63">
        <f>IF(AND(partner_type="Utility/District",Introduction!$C$17=Homes_calc!AW$34),SUM('Utility or District'!$L$9:$L30),IF(partner_type="builder",SUM(Builder!AY$9:AY30),0))</f>
        <v>0</v>
      </c>
      <c r="AX63">
        <f>IF(AND(partner_type="Utility/District",Introduction!$C$17=Homes_calc!AX$34),SUM('Utility or District'!$L$9:$L30),IF(partner_type="builder",SUM(Builder!AZ$9:AZ30),0))</f>
        <v>0</v>
      </c>
      <c r="AY63">
        <f>IF(AND(partner_type="Utility/District",Introduction!$C$17=Homes_calc!AY$34),SUM('Utility or District'!$L$9:$L30),IF(partner_type="builder",SUM(Builder!BA$9:BA30),0))</f>
        <v>0</v>
      </c>
      <c r="AZ63">
        <f>IF(AND(partner_type="Utility/District",Introduction!$C$17=Homes_calc!AZ$34),SUM('Utility or District'!$L$9:$L30),IF(partner_type="builder",SUM(Builder!BB$9:BB30),0))</f>
        <v>0</v>
      </c>
      <c r="BA63">
        <f>IF(AND(partner_type="Utility/District",Introduction!$C$17=Homes_calc!BA$34),SUM('Utility or District'!$L$9:$L30),IF(partner_type="builder",SUM(Builder!BC$9:BC30),0))</f>
        <v>0</v>
      </c>
    </row>
    <row r="64" spans="2:53" s="63" customFormat="1"/>
    <row r="65" spans="1:54">
      <c r="B65" s="226" t="s">
        <v>225</v>
      </c>
      <c r="C65" t="str">
        <f>C34</f>
        <v>AL</v>
      </c>
      <c r="D65" t="str">
        <f t="shared" ref="D65:BA65" si="5">D34</f>
        <v>AK</v>
      </c>
      <c r="E65" t="str">
        <f t="shared" si="5"/>
        <v>AZ</v>
      </c>
      <c r="F65" t="str">
        <f t="shared" si="5"/>
        <v>AR</v>
      </c>
      <c r="G65" t="str">
        <f t="shared" si="5"/>
        <v>CA</v>
      </c>
      <c r="H65" t="str">
        <f t="shared" si="5"/>
        <v>CO</v>
      </c>
      <c r="I65" t="str">
        <f t="shared" si="5"/>
        <v>CT</v>
      </c>
      <c r="J65" t="str">
        <f t="shared" si="5"/>
        <v>DE</v>
      </c>
      <c r="K65" t="str">
        <f t="shared" si="5"/>
        <v>DC</v>
      </c>
      <c r="L65" t="str">
        <f t="shared" si="5"/>
        <v>FL</v>
      </c>
      <c r="M65" t="str">
        <f t="shared" si="5"/>
        <v>GA</v>
      </c>
      <c r="N65" t="str">
        <f t="shared" si="5"/>
        <v>HI</v>
      </c>
      <c r="O65" t="str">
        <f t="shared" si="5"/>
        <v>ID</v>
      </c>
      <c r="P65" t="str">
        <f t="shared" si="5"/>
        <v>IL</v>
      </c>
      <c r="Q65" t="str">
        <f t="shared" si="5"/>
        <v>IN</v>
      </c>
      <c r="R65" t="str">
        <f t="shared" si="5"/>
        <v>IA</v>
      </c>
      <c r="S65" t="str">
        <f t="shared" si="5"/>
        <v>KS</v>
      </c>
      <c r="T65" t="str">
        <f t="shared" si="5"/>
        <v>KY</v>
      </c>
      <c r="U65" t="str">
        <f t="shared" si="5"/>
        <v>LA</v>
      </c>
      <c r="V65" t="str">
        <f t="shared" si="5"/>
        <v>ME</v>
      </c>
      <c r="W65" t="str">
        <f t="shared" si="5"/>
        <v>MD</v>
      </c>
      <c r="X65" t="str">
        <f t="shared" si="5"/>
        <v>MA</v>
      </c>
      <c r="Y65" t="str">
        <f t="shared" si="5"/>
        <v>MI</v>
      </c>
      <c r="Z65" t="str">
        <f t="shared" si="5"/>
        <v>MN</v>
      </c>
      <c r="AA65" t="str">
        <f t="shared" si="5"/>
        <v>MS</v>
      </c>
      <c r="AB65" t="str">
        <f t="shared" si="5"/>
        <v>MO</v>
      </c>
      <c r="AC65" t="str">
        <f t="shared" si="5"/>
        <v>MT</v>
      </c>
      <c r="AD65" t="str">
        <f t="shared" si="5"/>
        <v>NE</v>
      </c>
      <c r="AE65" t="str">
        <f t="shared" si="5"/>
        <v>NV</v>
      </c>
      <c r="AF65" t="str">
        <f t="shared" si="5"/>
        <v>NH</v>
      </c>
      <c r="AG65" t="str">
        <f t="shared" si="5"/>
        <v>NJ</v>
      </c>
      <c r="AH65" t="str">
        <f t="shared" si="5"/>
        <v>NM</v>
      </c>
      <c r="AI65" t="str">
        <f t="shared" si="5"/>
        <v>NY</v>
      </c>
      <c r="AJ65" t="str">
        <f t="shared" si="5"/>
        <v>NC</v>
      </c>
      <c r="AK65" t="str">
        <f t="shared" si="5"/>
        <v>ND</v>
      </c>
      <c r="AL65" t="str">
        <f t="shared" si="5"/>
        <v>OH</v>
      </c>
      <c r="AM65" t="str">
        <f t="shared" si="5"/>
        <v>OK</v>
      </c>
      <c r="AN65" t="str">
        <f t="shared" si="5"/>
        <v>OR</v>
      </c>
      <c r="AO65" t="str">
        <f t="shared" si="5"/>
        <v>PA</v>
      </c>
      <c r="AP65" t="str">
        <f t="shared" si="5"/>
        <v>RI</v>
      </c>
      <c r="AQ65" t="str">
        <f t="shared" si="5"/>
        <v>SC</v>
      </c>
      <c r="AR65" t="str">
        <f t="shared" si="5"/>
        <v>SD</v>
      </c>
      <c r="AS65" t="str">
        <f t="shared" si="5"/>
        <v>TN</v>
      </c>
      <c r="AT65" t="str">
        <f t="shared" si="5"/>
        <v>TX</v>
      </c>
      <c r="AU65" t="str">
        <f t="shared" si="5"/>
        <v>UT</v>
      </c>
      <c r="AV65" t="str">
        <f t="shared" si="5"/>
        <v>VT</v>
      </c>
      <c r="AW65" t="str">
        <f t="shared" si="5"/>
        <v>VA</v>
      </c>
      <c r="AX65" t="str">
        <f t="shared" si="5"/>
        <v>WA</v>
      </c>
      <c r="AY65" t="str">
        <f t="shared" si="5"/>
        <v>WV</v>
      </c>
      <c r="AZ65" t="str">
        <f t="shared" si="5"/>
        <v>WI</v>
      </c>
      <c r="BA65" t="str">
        <f t="shared" si="5"/>
        <v>WY</v>
      </c>
      <c r="BB65" t="s">
        <v>96</v>
      </c>
    </row>
    <row r="66" spans="1:54">
      <c r="A66" s="456" t="s">
        <v>230</v>
      </c>
      <c r="B66" s="226" t="s">
        <v>11</v>
      </c>
    </row>
    <row r="67" spans="1:54">
      <c r="A67" s="456"/>
      <c r="B67" s="228">
        <v>2007</v>
      </c>
      <c r="C67" s="21">
        <f t="shared" ref="C67:C90" si="6">C40*C$36</f>
        <v>0</v>
      </c>
      <c r="D67" s="21">
        <f t="shared" ref="D67:BA72" si="7">D40*D$36</f>
        <v>0</v>
      </c>
      <c r="E67" s="21">
        <f t="shared" si="7"/>
        <v>0</v>
      </c>
      <c r="F67" s="21">
        <f t="shared" si="7"/>
        <v>0</v>
      </c>
      <c r="G67" s="21">
        <f t="shared" si="7"/>
        <v>0</v>
      </c>
      <c r="H67" s="21">
        <f t="shared" si="7"/>
        <v>0</v>
      </c>
      <c r="I67" s="21">
        <f t="shared" si="7"/>
        <v>0</v>
      </c>
      <c r="J67" s="21">
        <f t="shared" si="7"/>
        <v>0</v>
      </c>
      <c r="K67" s="21">
        <f t="shared" si="7"/>
        <v>0</v>
      </c>
      <c r="L67" s="21">
        <f t="shared" si="7"/>
        <v>0</v>
      </c>
      <c r="M67" s="21">
        <f t="shared" si="7"/>
        <v>0</v>
      </c>
      <c r="N67" s="21">
        <f t="shared" si="7"/>
        <v>0</v>
      </c>
      <c r="O67" s="21">
        <f t="shared" si="7"/>
        <v>0</v>
      </c>
      <c r="P67" s="21">
        <f t="shared" si="7"/>
        <v>0</v>
      </c>
      <c r="Q67" s="21">
        <f t="shared" si="7"/>
        <v>0</v>
      </c>
      <c r="R67" s="21">
        <f t="shared" si="7"/>
        <v>0</v>
      </c>
      <c r="S67" s="21">
        <f t="shared" si="7"/>
        <v>0</v>
      </c>
      <c r="T67" s="21">
        <f t="shared" si="7"/>
        <v>0</v>
      </c>
      <c r="U67" s="21">
        <f t="shared" si="7"/>
        <v>0</v>
      </c>
      <c r="V67" s="21">
        <f t="shared" si="7"/>
        <v>0</v>
      </c>
      <c r="W67" s="21">
        <f t="shared" si="7"/>
        <v>0</v>
      </c>
      <c r="X67" s="21">
        <f t="shared" si="7"/>
        <v>0</v>
      </c>
      <c r="Y67" s="21">
        <f t="shared" si="7"/>
        <v>0</v>
      </c>
      <c r="Z67" s="21">
        <f t="shared" si="7"/>
        <v>0</v>
      </c>
      <c r="AA67" s="21">
        <f t="shared" si="7"/>
        <v>0</v>
      </c>
      <c r="AB67" s="21">
        <f t="shared" si="7"/>
        <v>0</v>
      </c>
      <c r="AC67" s="21">
        <f t="shared" si="7"/>
        <v>0</v>
      </c>
      <c r="AD67" s="21">
        <f t="shared" si="7"/>
        <v>0</v>
      </c>
      <c r="AE67" s="21">
        <f t="shared" si="7"/>
        <v>0</v>
      </c>
      <c r="AF67" s="21">
        <f t="shared" si="7"/>
        <v>0</v>
      </c>
      <c r="AG67" s="21">
        <f t="shared" si="7"/>
        <v>0</v>
      </c>
      <c r="AH67" s="21">
        <f t="shared" si="7"/>
        <v>0</v>
      </c>
      <c r="AI67" s="21">
        <f t="shared" si="7"/>
        <v>0</v>
      </c>
      <c r="AJ67" s="21">
        <f t="shared" si="7"/>
        <v>0</v>
      </c>
      <c r="AK67" s="21">
        <f t="shared" si="7"/>
        <v>0</v>
      </c>
      <c r="AL67" s="21">
        <f t="shared" si="7"/>
        <v>0</v>
      </c>
      <c r="AM67" s="21">
        <f t="shared" si="7"/>
        <v>0</v>
      </c>
      <c r="AN67" s="21">
        <f t="shared" si="7"/>
        <v>0</v>
      </c>
      <c r="AO67" s="21">
        <f t="shared" si="7"/>
        <v>0</v>
      </c>
      <c r="AP67" s="21">
        <f t="shared" si="7"/>
        <v>0</v>
      </c>
      <c r="AQ67" s="21">
        <f t="shared" si="7"/>
        <v>0</v>
      </c>
      <c r="AR67" s="21">
        <f t="shared" si="7"/>
        <v>0</v>
      </c>
      <c r="AS67" s="21">
        <f t="shared" si="7"/>
        <v>0</v>
      </c>
      <c r="AT67" s="21">
        <f t="shared" si="7"/>
        <v>0</v>
      </c>
      <c r="AU67" s="21">
        <f t="shared" si="7"/>
        <v>0</v>
      </c>
      <c r="AV67" s="21">
        <f t="shared" si="7"/>
        <v>0</v>
      </c>
      <c r="AW67" s="21">
        <f t="shared" si="7"/>
        <v>0</v>
      </c>
      <c r="AX67" s="21">
        <f t="shared" si="7"/>
        <v>0</v>
      </c>
      <c r="AY67" s="21">
        <f t="shared" si="7"/>
        <v>0</v>
      </c>
      <c r="AZ67" s="21">
        <f t="shared" si="7"/>
        <v>0</v>
      </c>
      <c r="BA67" s="21">
        <f t="shared" si="7"/>
        <v>0</v>
      </c>
      <c r="BB67" s="21">
        <f t="shared" ref="BB67:BB90" si="8">SUM(C67:BA67)</f>
        <v>0</v>
      </c>
    </row>
    <row r="68" spans="1:54">
      <c r="A68" s="456"/>
      <c r="B68" s="226">
        <v>2008</v>
      </c>
      <c r="C68" s="21">
        <f t="shared" si="6"/>
        <v>0</v>
      </c>
      <c r="D68" s="21">
        <f t="shared" ref="D68:R68" si="9">D41*D$36</f>
        <v>0</v>
      </c>
      <c r="E68" s="21">
        <f t="shared" si="9"/>
        <v>0</v>
      </c>
      <c r="F68" s="21">
        <f t="shared" si="9"/>
        <v>0</v>
      </c>
      <c r="G68" s="21">
        <f t="shared" si="9"/>
        <v>0</v>
      </c>
      <c r="H68" s="21">
        <f t="shared" si="9"/>
        <v>0</v>
      </c>
      <c r="I68" s="21">
        <f t="shared" si="9"/>
        <v>0</v>
      </c>
      <c r="J68" s="21">
        <f t="shared" si="9"/>
        <v>0</v>
      </c>
      <c r="K68" s="21">
        <f t="shared" si="9"/>
        <v>0</v>
      </c>
      <c r="L68" s="21">
        <f t="shared" si="9"/>
        <v>0</v>
      </c>
      <c r="M68" s="21">
        <f t="shared" si="9"/>
        <v>0</v>
      </c>
      <c r="N68" s="21">
        <f t="shared" si="9"/>
        <v>0</v>
      </c>
      <c r="O68" s="21">
        <f t="shared" si="9"/>
        <v>0</v>
      </c>
      <c r="P68" s="21">
        <f t="shared" si="9"/>
        <v>0</v>
      </c>
      <c r="Q68" s="21">
        <f t="shared" si="9"/>
        <v>0</v>
      </c>
      <c r="R68" s="21">
        <f t="shared" si="9"/>
        <v>0</v>
      </c>
      <c r="S68" s="21">
        <f t="shared" si="7"/>
        <v>0</v>
      </c>
      <c r="T68" s="21">
        <f t="shared" si="7"/>
        <v>0</v>
      </c>
      <c r="U68" s="21">
        <f t="shared" si="7"/>
        <v>0</v>
      </c>
      <c r="V68" s="21">
        <f t="shared" si="7"/>
        <v>0</v>
      </c>
      <c r="W68" s="21">
        <f t="shared" si="7"/>
        <v>0</v>
      </c>
      <c r="X68" s="21">
        <f t="shared" si="7"/>
        <v>0</v>
      </c>
      <c r="Y68" s="21">
        <f t="shared" si="7"/>
        <v>0</v>
      </c>
      <c r="Z68" s="21">
        <f t="shared" si="7"/>
        <v>0</v>
      </c>
      <c r="AA68" s="21">
        <f t="shared" si="7"/>
        <v>0</v>
      </c>
      <c r="AB68" s="21">
        <f t="shared" si="7"/>
        <v>0</v>
      </c>
      <c r="AC68" s="21">
        <f t="shared" si="7"/>
        <v>0</v>
      </c>
      <c r="AD68" s="21">
        <f t="shared" si="7"/>
        <v>0</v>
      </c>
      <c r="AE68" s="21">
        <f t="shared" si="7"/>
        <v>0</v>
      </c>
      <c r="AF68" s="21">
        <f t="shared" si="7"/>
        <v>0</v>
      </c>
      <c r="AG68" s="21">
        <f t="shared" si="7"/>
        <v>0</v>
      </c>
      <c r="AH68" s="21">
        <f t="shared" si="7"/>
        <v>0</v>
      </c>
      <c r="AI68" s="21">
        <f t="shared" si="7"/>
        <v>0</v>
      </c>
      <c r="AJ68" s="21">
        <f t="shared" si="7"/>
        <v>0</v>
      </c>
      <c r="AK68" s="21">
        <f t="shared" si="7"/>
        <v>0</v>
      </c>
      <c r="AL68" s="21">
        <f t="shared" si="7"/>
        <v>0</v>
      </c>
      <c r="AM68" s="21">
        <f t="shared" si="7"/>
        <v>0</v>
      </c>
      <c r="AN68" s="21">
        <f t="shared" si="7"/>
        <v>0</v>
      </c>
      <c r="AO68" s="21">
        <f t="shared" si="7"/>
        <v>0</v>
      </c>
      <c r="AP68" s="21">
        <f t="shared" si="7"/>
        <v>0</v>
      </c>
      <c r="AQ68" s="21">
        <f t="shared" si="7"/>
        <v>0</v>
      </c>
      <c r="AR68" s="21">
        <f t="shared" si="7"/>
        <v>0</v>
      </c>
      <c r="AS68" s="21">
        <f t="shared" si="7"/>
        <v>0</v>
      </c>
      <c r="AT68" s="21">
        <f t="shared" si="7"/>
        <v>0</v>
      </c>
      <c r="AU68" s="21">
        <f t="shared" si="7"/>
        <v>0</v>
      </c>
      <c r="AV68" s="21">
        <f t="shared" si="7"/>
        <v>0</v>
      </c>
      <c r="AW68" s="21">
        <f t="shared" si="7"/>
        <v>0</v>
      </c>
      <c r="AX68" s="21">
        <f t="shared" si="7"/>
        <v>0</v>
      </c>
      <c r="AY68" s="21">
        <f t="shared" si="7"/>
        <v>0</v>
      </c>
      <c r="AZ68" s="21">
        <f t="shared" si="7"/>
        <v>0</v>
      </c>
      <c r="BA68" s="21">
        <f t="shared" si="7"/>
        <v>0</v>
      </c>
      <c r="BB68" s="21">
        <f t="shared" si="8"/>
        <v>0</v>
      </c>
    </row>
    <row r="69" spans="1:54">
      <c r="A69" s="456"/>
      <c r="B69" s="228">
        <v>2009</v>
      </c>
      <c r="C69" s="21">
        <f>C42*C$36</f>
        <v>0</v>
      </c>
      <c r="D69" s="21">
        <f>D42*D$36</f>
        <v>0</v>
      </c>
      <c r="E69" s="21">
        <f>E42*E$36</f>
        <v>0</v>
      </c>
      <c r="F69" s="21">
        <f>F42*F$36</f>
        <v>0</v>
      </c>
      <c r="G69" s="21">
        <f t="shared" si="7"/>
        <v>0</v>
      </c>
      <c r="H69" s="21">
        <f t="shared" si="7"/>
        <v>0</v>
      </c>
      <c r="I69" s="21">
        <f t="shared" si="7"/>
        <v>0</v>
      </c>
      <c r="J69" s="21">
        <f t="shared" si="7"/>
        <v>0</v>
      </c>
      <c r="K69" s="21">
        <f t="shared" si="7"/>
        <v>0</v>
      </c>
      <c r="L69" s="21">
        <f t="shared" si="7"/>
        <v>0</v>
      </c>
      <c r="M69" s="21">
        <f t="shared" si="7"/>
        <v>0</v>
      </c>
      <c r="N69" s="21">
        <f t="shared" si="7"/>
        <v>0</v>
      </c>
      <c r="O69" s="21">
        <f t="shared" si="7"/>
        <v>0</v>
      </c>
      <c r="P69" s="21">
        <f t="shared" si="7"/>
        <v>0</v>
      </c>
      <c r="Q69" s="21">
        <f t="shared" si="7"/>
        <v>0</v>
      </c>
      <c r="R69" s="21">
        <f t="shared" si="7"/>
        <v>0</v>
      </c>
      <c r="S69" s="21">
        <f t="shared" si="7"/>
        <v>0</v>
      </c>
      <c r="T69" s="21">
        <f t="shared" si="7"/>
        <v>0</v>
      </c>
      <c r="U69" s="21">
        <f t="shared" si="7"/>
        <v>0</v>
      </c>
      <c r="V69" s="21">
        <f t="shared" si="7"/>
        <v>0</v>
      </c>
      <c r="W69" s="21">
        <f t="shared" si="7"/>
        <v>0</v>
      </c>
      <c r="X69" s="21">
        <f t="shared" si="7"/>
        <v>0</v>
      </c>
      <c r="Y69" s="21">
        <f t="shared" si="7"/>
        <v>0</v>
      </c>
      <c r="Z69" s="21">
        <f t="shared" si="7"/>
        <v>0</v>
      </c>
      <c r="AA69" s="21">
        <f t="shared" si="7"/>
        <v>0</v>
      </c>
      <c r="AB69" s="21">
        <f t="shared" si="7"/>
        <v>0</v>
      </c>
      <c r="AC69" s="21">
        <f t="shared" si="7"/>
        <v>0</v>
      </c>
      <c r="AD69" s="21">
        <f t="shared" si="7"/>
        <v>0</v>
      </c>
      <c r="AE69" s="21">
        <f t="shared" si="7"/>
        <v>0</v>
      </c>
      <c r="AF69" s="21">
        <f t="shared" si="7"/>
        <v>0</v>
      </c>
      <c r="AG69" s="21">
        <f t="shared" si="7"/>
        <v>0</v>
      </c>
      <c r="AH69" s="21">
        <f t="shared" si="7"/>
        <v>0</v>
      </c>
      <c r="AI69" s="21">
        <f t="shared" si="7"/>
        <v>0</v>
      </c>
      <c r="AJ69" s="21">
        <f t="shared" si="7"/>
        <v>0</v>
      </c>
      <c r="AK69" s="21">
        <f t="shared" si="7"/>
        <v>0</v>
      </c>
      <c r="AL69" s="21">
        <f t="shared" si="7"/>
        <v>0</v>
      </c>
      <c r="AM69" s="21">
        <f t="shared" si="7"/>
        <v>0</v>
      </c>
      <c r="AN69" s="21">
        <f t="shared" si="7"/>
        <v>0</v>
      </c>
      <c r="AO69" s="21">
        <f t="shared" si="7"/>
        <v>0</v>
      </c>
      <c r="AP69" s="21">
        <f t="shared" si="7"/>
        <v>0</v>
      </c>
      <c r="AQ69" s="21">
        <f t="shared" si="7"/>
        <v>0</v>
      </c>
      <c r="AR69" s="21">
        <f t="shared" si="7"/>
        <v>0</v>
      </c>
      <c r="AS69" s="21">
        <f t="shared" si="7"/>
        <v>0</v>
      </c>
      <c r="AT69" s="21">
        <f t="shared" si="7"/>
        <v>0</v>
      </c>
      <c r="AU69" s="21">
        <f t="shared" si="7"/>
        <v>0</v>
      </c>
      <c r="AV69" s="21">
        <f t="shared" si="7"/>
        <v>0</v>
      </c>
      <c r="AW69" s="21">
        <f t="shared" si="7"/>
        <v>0</v>
      </c>
      <c r="AX69" s="21">
        <f t="shared" si="7"/>
        <v>0</v>
      </c>
      <c r="AY69" s="21">
        <f t="shared" si="7"/>
        <v>0</v>
      </c>
      <c r="AZ69" s="21">
        <f t="shared" si="7"/>
        <v>0</v>
      </c>
      <c r="BA69" s="21">
        <f t="shared" si="7"/>
        <v>0</v>
      </c>
      <c r="BB69" s="21">
        <f t="shared" si="8"/>
        <v>0</v>
      </c>
    </row>
    <row r="70" spans="1:54">
      <c r="A70" s="456"/>
      <c r="B70" s="226">
        <v>2010</v>
      </c>
      <c r="C70" s="21">
        <f t="shared" si="6"/>
        <v>0</v>
      </c>
      <c r="D70" s="21">
        <f>D43*D$36</f>
        <v>0</v>
      </c>
      <c r="E70" s="21">
        <f t="shared" si="7"/>
        <v>0</v>
      </c>
      <c r="F70" s="21">
        <f t="shared" si="7"/>
        <v>0</v>
      </c>
      <c r="G70" s="21">
        <f t="shared" si="7"/>
        <v>0</v>
      </c>
      <c r="H70" s="21">
        <f t="shared" si="7"/>
        <v>0</v>
      </c>
      <c r="I70" s="21">
        <f t="shared" si="7"/>
        <v>0</v>
      </c>
      <c r="J70" s="21">
        <f t="shared" si="7"/>
        <v>0</v>
      </c>
      <c r="K70" s="21">
        <f t="shared" si="7"/>
        <v>0</v>
      </c>
      <c r="L70" s="21">
        <f t="shared" si="7"/>
        <v>0</v>
      </c>
      <c r="M70" s="21">
        <f t="shared" si="7"/>
        <v>0</v>
      </c>
      <c r="N70" s="21">
        <f t="shared" si="7"/>
        <v>0</v>
      </c>
      <c r="O70" s="21">
        <f t="shared" si="7"/>
        <v>0</v>
      </c>
      <c r="P70" s="21">
        <f t="shared" si="7"/>
        <v>0</v>
      </c>
      <c r="Q70" s="21">
        <f t="shared" si="7"/>
        <v>0</v>
      </c>
      <c r="R70" s="21">
        <f t="shared" si="7"/>
        <v>0</v>
      </c>
      <c r="S70" s="21">
        <f t="shared" si="7"/>
        <v>0</v>
      </c>
      <c r="T70" s="21">
        <f t="shared" si="7"/>
        <v>0</v>
      </c>
      <c r="U70" s="21">
        <f t="shared" si="7"/>
        <v>0</v>
      </c>
      <c r="V70" s="21">
        <f t="shared" si="7"/>
        <v>0</v>
      </c>
      <c r="W70" s="21">
        <f t="shared" si="7"/>
        <v>0</v>
      </c>
      <c r="X70" s="21">
        <f t="shared" si="7"/>
        <v>0</v>
      </c>
      <c r="Y70" s="21">
        <f t="shared" si="7"/>
        <v>0</v>
      </c>
      <c r="Z70" s="21">
        <f t="shared" si="7"/>
        <v>0</v>
      </c>
      <c r="AA70" s="21">
        <f t="shared" si="7"/>
        <v>0</v>
      </c>
      <c r="AB70" s="21">
        <f t="shared" si="7"/>
        <v>0</v>
      </c>
      <c r="AC70" s="21">
        <f t="shared" si="7"/>
        <v>0</v>
      </c>
      <c r="AD70" s="21">
        <f t="shared" si="7"/>
        <v>0</v>
      </c>
      <c r="AE70" s="21">
        <f t="shared" si="7"/>
        <v>0</v>
      </c>
      <c r="AF70" s="21">
        <f t="shared" si="7"/>
        <v>0</v>
      </c>
      <c r="AG70" s="21">
        <f t="shared" si="7"/>
        <v>0</v>
      </c>
      <c r="AH70" s="21">
        <f t="shared" si="7"/>
        <v>0</v>
      </c>
      <c r="AI70" s="21">
        <f t="shared" si="7"/>
        <v>0</v>
      </c>
      <c r="AJ70" s="21">
        <f t="shared" si="7"/>
        <v>0</v>
      </c>
      <c r="AK70" s="21">
        <f t="shared" si="7"/>
        <v>0</v>
      </c>
      <c r="AL70" s="21">
        <f t="shared" si="7"/>
        <v>0</v>
      </c>
      <c r="AM70" s="21">
        <f t="shared" si="7"/>
        <v>0</v>
      </c>
      <c r="AN70" s="21">
        <f t="shared" si="7"/>
        <v>0</v>
      </c>
      <c r="AO70" s="21">
        <f t="shared" si="7"/>
        <v>0</v>
      </c>
      <c r="AP70" s="21">
        <f t="shared" si="7"/>
        <v>0</v>
      </c>
      <c r="AQ70" s="21">
        <f t="shared" si="7"/>
        <v>0</v>
      </c>
      <c r="AR70" s="21">
        <f t="shared" si="7"/>
        <v>0</v>
      </c>
      <c r="AS70" s="21">
        <f t="shared" si="7"/>
        <v>0</v>
      </c>
      <c r="AT70" s="21">
        <f t="shared" si="7"/>
        <v>0</v>
      </c>
      <c r="AU70" s="21">
        <f t="shared" si="7"/>
        <v>0</v>
      </c>
      <c r="AV70" s="21">
        <f t="shared" si="7"/>
        <v>0</v>
      </c>
      <c r="AW70" s="21">
        <f t="shared" si="7"/>
        <v>0</v>
      </c>
      <c r="AX70" s="21">
        <f t="shared" si="7"/>
        <v>0</v>
      </c>
      <c r="AY70" s="21">
        <f t="shared" si="7"/>
        <v>0</v>
      </c>
      <c r="AZ70" s="21">
        <f t="shared" si="7"/>
        <v>0</v>
      </c>
      <c r="BA70" s="21">
        <f t="shared" si="7"/>
        <v>0</v>
      </c>
      <c r="BB70" s="21">
        <f t="shared" si="8"/>
        <v>0</v>
      </c>
    </row>
    <row r="71" spans="1:54">
      <c r="A71" s="456"/>
      <c r="B71" s="228">
        <v>2011</v>
      </c>
      <c r="C71" s="21">
        <f t="shared" si="6"/>
        <v>0</v>
      </c>
      <c r="D71" s="21">
        <f t="shared" si="7"/>
        <v>0</v>
      </c>
      <c r="E71" s="21">
        <f t="shared" si="7"/>
        <v>0</v>
      </c>
      <c r="F71" s="21">
        <f t="shared" si="7"/>
        <v>0</v>
      </c>
      <c r="G71" s="21">
        <f t="shared" si="7"/>
        <v>0</v>
      </c>
      <c r="H71" s="21">
        <f t="shared" si="7"/>
        <v>0</v>
      </c>
      <c r="I71" s="21">
        <f t="shared" si="7"/>
        <v>0</v>
      </c>
      <c r="J71" s="21">
        <f t="shared" si="7"/>
        <v>0</v>
      </c>
      <c r="K71" s="21">
        <f t="shared" si="7"/>
        <v>0</v>
      </c>
      <c r="L71" s="21">
        <f t="shared" si="7"/>
        <v>0</v>
      </c>
      <c r="M71" s="21">
        <f t="shared" si="7"/>
        <v>0</v>
      </c>
      <c r="N71" s="21">
        <f t="shared" si="7"/>
        <v>0</v>
      </c>
      <c r="O71" s="21">
        <f t="shared" si="7"/>
        <v>0</v>
      </c>
      <c r="P71" s="21">
        <f t="shared" si="7"/>
        <v>0</v>
      </c>
      <c r="Q71" s="21">
        <f t="shared" si="7"/>
        <v>0</v>
      </c>
      <c r="R71" s="21">
        <f t="shared" si="7"/>
        <v>0</v>
      </c>
      <c r="S71" s="21">
        <f t="shared" si="7"/>
        <v>0</v>
      </c>
      <c r="T71" s="21">
        <f t="shared" si="7"/>
        <v>0</v>
      </c>
      <c r="U71" s="21">
        <f t="shared" si="7"/>
        <v>0</v>
      </c>
      <c r="V71" s="21">
        <f t="shared" si="7"/>
        <v>0</v>
      </c>
      <c r="W71" s="21">
        <f t="shared" si="7"/>
        <v>0</v>
      </c>
      <c r="X71" s="21">
        <f t="shared" si="7"/>
        <v>0</v>
      </c>
      <c r="Y71" s="21">
        <f t="shared" si="7"/>
        <v>0</v>
      </c>
      <c r="Z71" s="21">
        <f t="shared" si="7"/>
        <v>0</v>
      </c>
      <c r="AA71" s="21">
        <f t="shared" si="7"/>
        <v>0</v>
      </c>
      <c r="AB71" s="21">
        <f t="shared" si="7"/>
        <v>0</v>
      </c>
      <c r="AC71" s="21">
        <f t="shared" si="7"/>
        <v>0</v>
      </c>
      <c r="AD71" s="21">
        <f t="shared" si="7"/>
        <v>0</v>
      </c>
      <c r="AE71" s="21">
        <f t="shared" si="7"/>
        <v>0</v>
      </c>
      <c r="AF71" s="21">
        <f t="shared" si="7"/>
        <v>0</v>
      </c>
      <c r="AG71" s="21">
        <f t="shared" si="7"/>
        <v>0</v>
      </c>
      <c r="AH71" s="21">
        <f t="shared" si="7"/>
        <v>0</v>
      </c>
      <c r="AI71" s="21">
        <f t="shared" si="7"/>
        <v>0</v>
      </c>
      <c r="AJ71" s="21">
        <f t="shared" si="7"/>
        <v>0</v>
      </c>
      <c r="AK71" s="21">
        <f t="shared" si="7"/>
        <v>0</v>
      </c>
      <c r="AL71" s="21">
        <f t="shared" si="7"/>
        <v>0</v>
      </c>
      <c r="AM71" s="21">
        <f t="shared" si="7"/>
        <v>0</v>
      </c>
      <c r="AN71" s="21">
        <f t="shared" si="7"/>
        <v>0</v>
      </c>
      <c r="AO71" s="21">
        <f t="shared" si="7"/>
        <v>0</v>
      </c>
      <c r="AP71" s="21">
        <f t="shared" si="7"/>
        <v>0</v>
      </c>
      <c r="AQ71" s="21">
        <f t="shared" si="7"/>
        <v>0</v>
      </c>
      <c r="AR71" s="21">
        <f t="shared" si="7"/>
        <v>0</v>
      </c>
      <c r="AS71" s="21">
        <f t="shared" si="7"/>
        <v>0</v>
      </c>
      <c r="AT71" s="21">
        <f t="shared" si="7"/>
        <v>0</v>
      </c>
      <c r="AU71" s="21">
        <f t="shared" si="7"/>
        <v>0</v>
      </c>
      <c r="AV71" s="21">
        <f t="shared" si="7"/>
        <v>0</v>
      </c>
      <c r="AW71" s="21">
        <f t="shared" si="7"/>
        <v>0</v>
      </c>
      <c r="AX71" s="21">
        <f t="shared" si="7"/>
        <v>0</v>
      </c>
      <c r="AY71" s="21">
        <f t="shared" si="7"/>
        <v>0</v>
      </c>
      <c r="AZ71" s="21">
        <f t="shared" si="7"/>
        <v>0</v>
      </c>
      <c r="BA71" s="21">
        <f t="shared" si="7"/>
        <v>0</v>
      </c>
      <c r="BB71" s="21">
        <f t="shared" si="8"/>
        <v>0</v>
      </c>
    </row>
    <row r="72" spans="1:54">
      <c r="A72" s="456"/>
      <c r="B72" s="226">
        <v>2012</v>
      </c>
      <c r="C72" s="21">
        <f t="shared" si="6"/>
        <v>0</v>
      </c>
      <c r="D72" s="21">
        <f t="shared" si="7"/>
        <v>0</v>
      </c>
      <c r="E72" s="21">
        <f t="shared" si="7"/>
        <v>0</v>
      </c>
      <c r="F72" s="21">
        <f t="shared" si="7"/>
        <v>0</v>
      </c>
      <c r="G72" s="21">
        <f t="shared" si="7"/>
        <v>0</v>
      </c>
      <c r="H72" s="21">
        <f t="shared" si="7"/>
        <v>0</v>
      </c>
      <c r="I72" s="21">
        <f t="shared" si="7"/>
        <v>0</v>
      </c>
      <c r="J72" s="21">
        <f t="shared" si="7"/>
        <v>0</v>
      </c>
      <c r="K72" s="21">
        <f t="shared" si="7"/>
        <v>0</v>
      </c>
      <c r="L72" s="21">
        <f t="shared" si="7"/>
        <v>0</v>
      </c>
      <c r="M72" s="21">
        <f t="shared" si="7"/>
        <v>0</v>
      </c>
      <c r="N72" s="21">
        <f t="shared" si="7"/>
        <v>0</v>
      </c>
      <c r="O72" s="21">
        <f t="shared" si="7"/>
        <v>0</v>
      </c>
      <c r="P72" s="21">
        <f t="shared" si="7"/>
        <v>0</v>
      </c>
      <c r="Q72" s="21">
        <f t="shared" si="7"/>
        <v>0</v>
      </c>
      <c r="R72" s="21">
        <f t="shared" si="7"/>
        <v>0</v>
      </c>
      <c r="S72" s="21">
        <f t="shared" si="7"/>
        <v>0</v>
      </c>
      <c r="T72" s="21">
        <f t="shared" si="7"/>
        <v>0</v>
      </c>
      <c r="U72" s="21">
        <f t="shared" si="7"/>
        <v>0</v>
      </c>
      <c r="V72" s="21">
        <f t="shared" si="7"/>
        <v>0</v>
      </c>
      <c r="W72" s="21">
        <f t="shared" si="7"/>
        <v>0</v>
      </c>
      <c r="X72" s="21">
        <f t="shared" ref="D72:BA77" si="10">X45*X$36</f>
        <v>0</v>
      </c>
      <c r="Y72" s="21">
        <f t="shared" si="10"/>
        <v>0</v>
      </c>
      <c r="Z72" s="21">
        <f t="shared" si="10"/>
        <v>0</v>
      </c>
      <c r="AA72" s="21">
        <f t="shared" si="10"/>
        <v>0</v>
      </c>
      <c r="AB72" s="21">
        <f t="shared" si="10"/>
        <v>0</v>
      </c>
      <c r="AC72" s="21">
        <f t="shared" si="10"/>
        <v>0</v>
      </c>
      <c r="AD72" s="21">
        <f t="shared" si="10"/>
        <v>0</v>
      </c>
      <c r="AE72" s="21">
        <f t="shared" si="10"/>
        <v>0</v>
      </c>
      <c r="AF72" s="21">
        <f t="shared" si="10"/>
        <v>0</v>
      </c>
      <c r="AG72" s="21">
        <f t="shared" si="10"/>
        <v>0</v>
      </c>
      <c r="AH72" s="21">
        <f t="shared" si="10"/>
        <v>0</v>
      </c>
      <c r="AI72" s="21">
        <f t="shared" si="10"/>
        <v>0</v>
      </c>
      <c r="AJ72" s="21">
        <f t="shared" si="10"/>
        <v>0</v>
      </c>
      <c r="AK72" s="21">
        <f t="shared" si="10"/>
        <v>0</v>
      </c>
      <c r="AL72" s="21">
        <f t="shared" si="10"/>
        <v>0</v>
      </c>
      <c r="AM72" s="21">
        <f t="shared" si="10"/>
        <v>0</v>
      </c>
      <c r="AN72" s="21">
        <f t="shared" si="10"/>
        <v>0</v>
      </c>
      <c r="AO72" s="21">
        <f t="shared" si="10"/>
        <v>0</v>
      </c>
      <c r="AP72" s="21">
        <f t="shared" si="10"/>
        <v>0</v>
      </c>
      <c r="AQ72" s="21">
        <f t="shared" si="10"/>
        <v>0</v>
      </c>
      <c r="AR72" s="21">
        <f t="shared" si="10"/>
        <v>0</v>
      </c>
      <c r="AS72" s="21">
        <f t="shared" si="10"/>
        <v>0</v>
      </c>
      <c r="AT72" s="21">
        <f t="shared" si="10"/>
        <v>0</v>
      </c>
      <c r="AU72" s="21">
        <f t="shared" si="10"/>
        <v>0</v>
      </c>
      <c r="AV72" s="21">
        <f t="shared" si="10"/>
        <v>0</v>
      </c>
      <c r="AW72" s="21">
        <f t="shared" si="10"/>
        <v>0</v>
      </c>
      <c r="AX72" s="21">
        <f t="shared" si="10"/>
        <v>0</v>
      </c>
      <c r="AY72" s="21">
        <f t="shared" si="10"/>
        <v>0</v>
      </c>
      <c r="AZ72" s="21">
        <f t="shared" si="10"/>
        <v>0</v>
      </c>
      <c r="BA72" s="21">
        <f t="shared" si="10"/>
        <v>0</v>
      </c>
      <c r="BB72" s="21">
        <f t="shared" si="8"/>
        <v>0</v>
      </c>
    </row>
    <row r="73" spans="1:54">
      <c r="A73" s="456"/>
      <c r="B73" s="228">
        <v>2013</v>
      </c>
      <c r="C73" s="21">
        <f t="shared" si="6"/>
        <v>0</v>
      </c>
      <c r="D73" s="21">
        <f t="shared" si="10"/>
        <v>0</v>
      </c>
      <c r="E73" s="21">
        <f t="shared" si="10"/>
        <v>0</v>
      </c>
      <c r="F73" s="21">
        <f t="shared" si="10"/>
        <v>0</v>
      </c>
      <c r="G73" s="21">
        <f t="shared" si="10"/>
        <v>0</v>
      </c>
      <c r="H73" s="21">
        <f t="shared" si="10"/>
        <v>0</v>
      </c>
      <c r="I73" s="21">
        <f t="shared" si="10"/>
        <v>0</v>
      </c>
      <c r="J73" s="21">
        <f t="shared" si="10"/>
        <v>0</v>
      </c>
      <c r="K73" s="21">
        <f t="shared" si="10"/>
        <v>0</v>
      </c>
      <c r="L73" s="21">
        <f t="shared" si="10"/>
        <v>0</v>
      </c>
      <c r="M73" s="21">
        <f t="shared" si="10"/>
        <v>0</v>
      </c>
      <c r="N73" s="21">
        <f t="shared" si="10"/>
        <v>0</v>
      </c>
      <c r="O73" s="21">
        <f t="shared" si="10"/>
        <v>0</v>
      </c>
      <c r="P73" s="21">
        <f t="shared" si="10"/>
        <v>0</v>
      </c>
      <c r="Q73" s="21">
        <f t="shared" si="10"/>
        <v>0</v>
      </c>
      <c r="R73" s="21">
        <f t="shared" si="10"/>
        <v>0</v>
      </c>
      <c r="S73" s="21">
        <f t="shared" si="10"/>
        <v>0</v>
      </c>
      <c r="T73" s="21">
        <f t="shared" si="10"/>
        <v>0</v>
      </c>
      <c r="U73" s="21">
        <f t="shared" si="10"/>
        <v>0</v>
      </c>
      <c r="V73" s="21">
        <f t="shared" si="10"/>
        <v>0</v>
      </c>
      <c r="W73" s="21">
        <f t="shared" si="10"/>
        <v>0</v>
      </c>
      <c r="X73" s="21">
        <f t="shared" si="10"/>
        <v>0</v>
      </c>
      <c r="Y73" s="21">
        <f t="shared" si="10"/>
        <v>0</v>
      </c>
      <c r="Z73" s="21">
        <f t="shared" si="10"/>
        <v>0</v>
      </c>
      <c r="AA73" s="21">
        <f t="shared" si="10"/>
        <v>0</v>
      </c>
      <c r="AB73" s="21">
        <f t="shared" si="10"/>
        <v>0</v>
      </c>
      <c r="AC73" s="21">
        <f t="shared" si="10"/>
        <v>0</v>
      </c>
      <c r="AD73" s="21">
        <f t="shared" si="10"/>
        <v>0</v>
      </c>
      <c r="AE73" s="21">
        <f t="shared" si="10"/>
        <v>0</v>
      </c>
      <c r="AF73" s="21">
        <f t="shared" si="10"/>
        <v>0</v>
      </c>
      <c r="AG73" s="21">
        <f t="shared" si="10"/>
        <v>0</v>
      </c>
      <c r="AH73" s="21">
        <f t="shared" si="10"/>
        <v>0</v>
      </c>
      <c r="AI73" s="21">
        <f t="shared" si="10"/>
        <v>0</v>
      </c>
      <c r="AJ73" s="21">
        <f t="shared" si="10"/>
        <v>0</v>
      </c>
      <c r="AK73" s="21">
        <f t="shared" si="10"/>
        <v>0</v>
      </c>
      <c r="AL73" s="21">
        <f t="shared" si="10"/>
        <v>0</v>
      </c>
      <c r="AM73" s="21">
        <f t="shared" si="10"/>
        <v>0</v>
      </c>
      <c r="AN73" s="21">
        <f t="shared" si="10"/>
        <v>0</v>
      </c>
      <c r="AO73" s="21">
        <f t="shared" si="10"/>
        <v>0</v>
      </c>
      <c r="AP73" s="21">
        <f t="shared" si="10"/>
        <v>0</v>
      </c>
      <c r="AQ73" s="21">
        <f t="shared" si="10"/>
        <v>0</v>
      </c>
      <c r="AR73" s="21">
        <f t="shared" si="10"/>
        <v>0</v>
      </c>
      <c r="AS73" s="21">
        <f t="shared" si="10"/>
        <v>0</v>
      </c>
      <c r="AT73" s="21">
        <f t="shared" si="10"/>
        <v>0</v>
      </c>
      <c r="AU73" s="21">
        <f t="shared" si="10"/>
        <v>0</v>
      </c>
      <c r="AV73" s="21">
        <f t="shared" si="10"/>
        <v>0</v>
      </c>
      <c r="AW73" s="21">
        <f t="shared" si="10"/>
        <v>0</v>
      </c>
      <c r="AX73" s="21">
        <f t="shared" si="10"/>
        <v>0</v>
      </c>
      <c r="AY73" s="21">
        <f t="shared" si="10"/>
        <v>0</v>
      </c>
      <c r="AZ73" s="21">
        <f t="shared" si="10"/>
        <v>0</v>
      </c>
      <c r="BA73" s="21">
        <f t="shared" si="10"/>
        <v>0</v>
      </c>
      <c r="BB73" s="21">
        <f t="shared" si="8"/>
        <v>0</v>
      </c>
    </row>
    <row r="74" spans="1:54">
      <c r="A74" s="456"/>
      <c r="B74" s="226">
        <v>2014</v>
      </c>
      <c r="C74" s="21">
        <f t="shared" si="6"/>
        <v>0</v>
      </c>
      <c r="D74" s="21">
        <f t="shared" si="10"/>
        <v>0</v>
      </c>
      <c r="E74" s="21">
        <f t="shared" si="10"/>
        <v>0</v>
      </c>
      <c r="F74" s="21">
        <f t="shared" si="10"/>
        <v>0</v>
      </c>
      <c r="G74" s="21">
        <f t="shared" si="10"/>
        <v>0</v>
      </c>
      <c r="H74" s="21">
        <f t="shared" si="10"/>
        <v>0</v>
      </c>
      <c r="I74" s="21">
        <f t="shared" si="10"/>
        <v>0</v>
      </c>
      <c r="J74" s="21">
        <f t="shared" si="10"/>
        <v>0</v>
      </c>
      <c r="K74" s="21">
        <f t="shared" si="10"/>
        <v>0</v>
      </c>
      <c r="L74" s="21">
        <f t="shared" si="10"/>
        <v>0</v>
      </c>
      <c r="M74" s="21">
        <f t="shared" si="10"/>
        <v>0</v>
      </c>
      <c r="N74" s="21">
        <f t="shared" si="10"/>
        <v>0</v>
      </c>
      <c r="O74" s="21">
        <f t="shared" si="10"/>
        <v>0</v>
      </c>
      <c r="P74" s="21">
        <f t="shared" si="10"/>
        <v>0</v>
      </c>
      <c r="Q74" s="21">
        <f t="shared" si="10"/>
        <v>0</v>
      </c>
      <c r="R74" s="21">
        <f t="shared" si="10"/>
        <v>0</v>
      </c>
      <c r="S74" s="21">
        <f t="shared" si="10"/>
        <v>0</v>
      </c>
      <c r="T74" s="21">
        <f t="shared" si="10"/>
        <v>0</v>
      </c>
      <c r="U74" s="21">
        <f t="shared" si="10"/>
        <v>0</v>
      </c>
      <c r="V74" s="21">
        <f t="shared" si="10"/>
        <v>0</v>
      </c>
      <c r="W74" s="21">
        <f t="shared" si="10"/>
        <v>0</v>
      </c>
      <c r="X74" s="21">
        <f t="shared" si="10"/>
        <v>0</v>
      </c>
      <c r="Y74" s="21">
        <f t="shared" si="10"/>
        <v>0</v>
      </c>
      <c r="Z74" s="21">
        <f t="shared" si="10"/>
        <v>0</v>
      </c>
      <c r="AA74" s="21">
        <f t="shared" si="10"/>
        <v>0</v>
      </c>
      <c r="AB74" s="21">
        <f t="shared" si="10"/>
        <v>0</v>
      </c>
      <c r="AC74" s="21">
        <f t="shared" si="10"/>
        <v>0</v>
      </c>
      <c r="AD74" s="21">
        <f t="shared" si="10"/>
        <v>0</v>
      </c>
      <c r="AE74" s="21">
        <f t="shared" si="10"/>
        <v>0</v>
      </c>
      <c r="AF74" s="21">
        <f t="shared" si="10"/>
        <v>0</v>
      </c>
      <c r="AG74" s="21">
        <f t="shared" si="10"/>
        <v>0</v>
      </c>
      <c r="AH74" s="21">
        <f t="shared" si="10"/>
        <v>0</v>
      </c>
      <c r="AI74" s="21">
        <f t="shared" si="10"/>
        <v>0</v>
      </c>
      <c r="AJ74" s="21">
        <f t="shared" si="10"/>
        <v>0</v>
      </c>
      <c r="AK74" s="21">
        <f t="shared" si="10"/>
        <v>0</v>
      </c>
      <c r="AL74" s="21">
        <f t="shared" si="10"/>
        <v>0</v>
      </c>
      <c r="AM74" s="21">
        <f t="shared" si="10"/>
        <v>0</v>
      </c>
      <c r="AN74" s="21">
        <f t="shared" si="10"/>
        <v>0</v>
      </c>
      <c r="AO74" s="21">
        <f t="shared" si="10"/>
        <v>0</v>
      </c>
      <c r="AP74" s="21">
        <f t="shared" si="10"/>
        <v>0</v>
      </c>
      <c r="AQ74" s="21">
        <f t="shared" si="10"/>
        <v>0</v>
      </c>
      <c r="AR74" s="21">
        <f t="shared" si="10"/>
        <v>0</v>
      </c>
      <c r="AS74" s="21">
        <f t="shared" si="10"/>
        <v>0</v>
      </c>
      <c r="AT74" s="21">
        <f t="shared" si="10"/>
        <v>0</v>
      </c>
      <c r="AU74" s="21">
        <f t="shared" si="10"/>
        <v>0</v>
      </c>
      <c r="AV74" s="21">
        <f t="shared" si="10"/>
        <v>0</v>
      </c>
      <c r="AW74" s="21">
        <f t="shared" si="10"/>
        <v>0</v>
      </c>
      <c r="AX74" s="21">
        <f t="shared" si="10"/>
        <v>0</v>
      </c>
      <c r="AY74" s="21">
        <f t="shared" si="10"/>
        <v>0</v>
      </c>
      <c r="AZ74" s="21">
        <f t="shared" si="10"/>
        <v>0</v>
      </c>
      <c r="BA74" s="21">
        <f t="shared" si="10"/>
        <v>0</v>
      </c>
      <c r="BB74" s="21">
        <f t="shared" si="8"/>
        <v>0</v>
      </c>
    </row>
    <row r="75" spans="1:54">
      <c r="A75" s="456"/>
      <c r="B75" s="228">
        <v>2015</v>
      </c>
      <c r="C75" s="21">
        <f t="shared" si="6"/>
        <v>0</v>
      </c>
      <c r="D75" s="21">
        <f t="shared" si="10"/>
        <v>0</v>
      </c>
      <c r="E75" s="21">
        <f t="shared" si="10"/>
        <v>0</v>
      </c>
      <c r="F75" s="21">
        <f t="shared" si="10"/>
        <v>0</v>
      </c>
      <c r="G75" s="21">
        <f t="shared" si="10"/>
        <v>0</v>
      </c>
      <c r="H75" s="21">
        <f t="shared" si="10"/>
        <v>0</v>
      </c>
      <c r="I75" s="21">
        <f t="shared" si="10"/>
        <v>0</v>
      </c>
      <c r="J75" s="21">
        <f t="shared" si="10"/>
        <v>0</v>
      </c>
      <c r="K75" s="21">
        <f t="shared" si="10"/>
        <v>0</v>
      </c>
      <c r="L75" s="21">
        <f t="shared" si="10"/>
        <v>0</v>
      </c>
      <c r="M75" s="21">
        <f t="shared" si="10"/>
        <v>0</v>
      </c>
      <c r="N75" s="21">
        <f t="shared" si="10"/>
        <v>0</v>
      </c>
      <c r="O75" s="21">
        <f t="shared" si="10"/>
        <v>0</v>
      </c>
      <c r="P75" s="21">
        <f t="shared" si="10"/>
        <v>0</v>
      </c>
      <c r="Q75" s="21">
        <f t="shared" si="10"/>
        <v>0</v>
      </c>
      <c r="R75" s="21">
        <f t="shared" si="10"/>
        <v>0</v>
      </c>
      <c r="S75" s="21">
        <f t="shared" si="10"/>
        <v>0</v>
      </c>
      <c r="T75" s="21">
        <f t="shared" si="10"/>
        <v>0</v>
      </c>
      <c r="U75" s="21">
        <f t="shared" si="10"/>
        <v>0</v>
      </c>
      <c r="V75" s="21">
        <f t="shared" si="10"/>
        <v>0</v>
      </c>
      <c r="W75" s="21">
        <f t="shared" si="10"/>
        <v>0</v>
      </c>
      <c r="X75" s="21">
        <f t="shared" si="10"/>
        <v>0</v>
      </c>
      <c r="Y75" s="21">
        <f t="shared" si="10"/>
        <v>0</v>
      </c>
      <c r="Z75" s="21">
        <f t="shared" si="10"/>
        <v>0</v>
      </c>
      <c r="AA75" s="21">
        <f t="shared" si="10"/>
        <v>0</v>
      </c>
      <c r="AB75" s="21">
        <f t="shared" si="10"/>
        <v>0</v>
      </c>
      <c r="AC75" s="21">
        <f t="shared" si="10"/>
        <v>0</v>
      </c>
      <c r="AD75" s="21">
        <f t="shared" si="10"/>
        <v>0</v>
      </c>
      <c r="AE75" s="21">
        <f t="shared" si="10"/>
        <v>0</v>
      </c>
      <c r="AF75" s="21">
        <f t="shared" si="10"/>
        <v>0</v>
      </c>
      <c r="AG75" s="21">
        <f t="shared" si="10"/>
        <v>0</v>
      </c>
      <c r="AH75" s="21">
        <f t="shared" si="10"/>
        <v>0</v>
      </c>
      <c r="AI75" s="21">
        <f t="shared" si="10"/>
        <v>0</v>
      </c>
      <c r="AJ75" s="21">
        <f t="shared" si="10"/>
        <v>0</v>
      </c>
      <c r="AK75" s="21">
        <f t="shared" si="10"/>
        <v>0</v>
      </c>
      <c r="AL75" s="21">
        <f t="shared" si="10"/>
        <v>0</v>
      </c>
      <c r="AM75" s="21">
        <f t="shared" si="10"/>
        <v>0</v>
      </c>
      <c r="AN75" s="21">
        <f t="shared" si="10"/>
        <v>0</v>
      </c>
      <c r="AO75" s="21">
        <f t="shared" si="10"/>
        <v>0</v>
      </c>
      <c r="AP75" s="21">
        <f t="shared" si="10"/>
        <v>0</v>
      </c>
      <c r="AQ75" s="21">
        <f t="shared" si="10"/>
        <v>0</v>
      </c>
      <c r="AR75" s="21">
        <f t="shared" si="10"/>
        <v>0</v>
      </c>
      <c r="AS75" s="21">
        <f t="shared" si="10"/>
        <v>0</v>
      </c>
      <c r="AT75" s="21">
        <f t="shared" si="10"/>
        <v>0</v>
      </c>
      <c r="AU75" s="21">
        <f t="shared" si="10"/>
        <v>0</v>
      </c>
      <c r="AV75" s="21">
        <f t="shared" si="10"/>
        <v>0</v>
      </c>
      <c r="AW75" s="21">
        <f t="shared" si="10"/>
        <v>0</v>
      </c>
      <c r="AX75" s="21">
        <f t="shared" si="10"/>
        <v>0</v>
      </c>
      <c r="AY75" s="21">
        <f t="shared" si="10"/>
        <v>0</v>
      </c>
      <c r="AZ75" s="21">
        <f t="shared" si="10"/>
        <v>0</v>
      </c>
      <c r="BA75" s="21">
        <f t="shared" si="10"/>
        <v>0</v>
      </c>
      <c r="BB75" s="21">
        <f t="shared" si="8"/>
        <v>0</v>
      </c>
    </row>
    <row r="76" spans="1:54">
      <c r="A76" s="456"/>
      <c r="B76" s="226">
        <v>2016</v>
      </c>
      <c r="C76" s="21">
        <f t="shared" si="6"/>
        <v>0</v>
      </c>
      <c r="D76" s="21">
        <f t="shared" si="10"/>
        <v>0</v>
      </c>
      <c r="E76" s="21">
        <f t="shared" si="10"/>
        <v>0</v>
      </c>
      <c r="F76" s="21">
        <f t="shared" si="10"/>
        <v>0</v>
      </c>
      <c r="G76" s="21">
        <f t="shared" si="10"/>
        <v>0</v>
      </c>
      <c r="H76" s="21">
        <f t="shared" si="10"/>
        <v>0</v>
      </c>
      <c r="I76" s="21">
        <f t="shared" si="10"/>
        <v>0</v>
      </c>
      <c r="J76" s="21">
        <f t="shared" si="10"/>
        <v>0</v>
      </c>
      <c r="K76" s="21">
        <f t="shared" si="10"/>
        <v>0</v>
      </c>
      <c r="L76" s="21">
        <f t="shared" si="10"/>
        <v>0</v>
      </c>
      <c r="M76" s="21">
        <f t="shared" si="10"/>
        <v>0</v>
      </c>
      <c r="N76" s="21">
        <f t="shared" si="10"/>
        <v>0</v>
      </c>
      <c r="O76" s="21">
        <f t="shared" si="10"/>
        <v>0</v>
      </c>
      <c r="P76" s="21">
        <f t="shared" si="10"/>
        <v>0</v>
      </c>
      <c r="Q76" s="21">
        <f t="shared" si="10"/>
        <v>0</v>
      </c>
      <c r="R76" s="21">
        <f t="shared" si="10"/>
        <v>0</v>
      </c>
      <c r="S76" s="21">
        <f t="shared" si="10"/>
        <v>0</v>
      </c>
      <c r="T76" s="21">
        <f t="shared" si="10"/>
        <v>0</v>
      </c>
      <c r="U76" s="21">
        <f t="shared" si="10"/>
        <v>0</v>
      </c>
      <c r="V76" s="21">
        <f t="shared" si="10"/>
        <v>0</v>
      </c>
      <c r="W76" s="21">
        <f t="shared" si="10"/>
        <v>0</v>
      </c>
      <c r="X76" s="21">
        <f t="shared" si="10"/>
        <v>0</v>
      </c>
      <c r="Y76" s="21">
        <f t="shared" si="10"/>
        <v>0</v>
      </c>
      <c r="Z76" s="21">
        <f t="shared" si="10"/>
        <v>0</v>
      </c>
      <c r="AA76" s="21">
        <f t="shared" si="10"/>
        <v>0</v>
      </c>
      <c r="AB76" s="21">
        <f t="shared" si="10"/>
        <v>0</v>
      </c>
      <c r="AC76" s="21">
        <f t="shared" si="10"/>
        <v>0</v>
      </c>
      <c r="AD76" s="21">
        <f t="shared" si="10"/>
        <v>0</v>
      </c>
      <c r="AE76" s="21">
        <f t="shared" si="10"/>
        <v>0</v>
      </c>
      <c r="AF76" s="21">
        <f t="shared" si="10"/>
        <v>0</v>
      </c>
      <c r="AG76" s="21">
        <f t="shared" si="10"/>
        <v>0</v>
      </c>
      <c r="AH76" s="21">
        <f t="shared" si="10"/>
        <v>0</v>
      </c>
      <c r="AI76" s="21">
        <f t="shared" si="10"/>
        <v>0</v>
      </c>
      <c r="AJ76" s="21">
        <f t="shared" si="10"/>
        <v>0</v>
      </c>
      <c r="AK76" s="21">
        <f t="shared" si="10"/>
        <v>0</v>
      </c>
      <c r="AL76" s="21">
        <f t="shared" si="10"/>
        <v>0</v>
      </c>
      <c r="AM76" s="21">
        <f t="shared" si="10"/>
        <v>0</v>
      </c>
      <c r="AN76" s="21">
        <f t="shared" si="10"/>
        <v>0</v>
      </c>
      <c r="AO76" s="21">
        <f t="shared" si="10"/>
        <v>0</v>
      </c>
      <c r="AP76" s="21">
        <f t="shared" si="10"/>
        <v>0</v>
      </c>
      <c r="AQ76" s="21">
        <f t="shared" si="10"/>
        <v>0</v>
      </c>
      <c r="AR76" s="21">
        <f t="shared" si="10"/>
        <v>0</v>
      </c>
      <c r="AS76" s="21">
        <f t="shared" si="10"/>
        <v>0</v>
      </c>
      <c r="AT76" s="21">
        <f t="shared" si="10"/>
        <v>0</v>
      </c>
      <c r="AU76" s="21">
        <f t="shared" si="10"/>
        <v>0</v>
      </c>
      <c r="AV76" s="21">
        <f t="shared" si="10"/>
        <v>0</v>
      </c>
      <c r="AW76" s="21">
        <f t="shared" si="10"/>
        <v>0</v>
      </c>
      <c r="AX76" s="21">
        <f t="shared" si="10"/>
        <v>0</v>
      </c>
      <c r="AY76" s="21">
        <f t="shared" si="10"/>
        <v>0</v>
      </c>
      <c r="AZ76" s="21">
        <f t="shared" si="10"/>
        <v>0</v>
      </c>
      <c r="BA76" s="21">
        <f t="shared" si="10"/>
        <v>0</v>
      </c>
      <c r="BB76" s="21">
        <f t="shared" si="8"/>
        <v>0</v>
      </c>
    </row>
    <row r="77" spans="1:54">
      <c r="A77" s="456"/>
      <c r="B77" s="228">
        <v>2017</v>
      </c>
      <c r="C77" s="21">
        <f t="shared" si="6"/>
        <v>0</v>
      </c>
      <c r="D77" s="21">
        <f t="shared" si="10"/>
        <v>0</v>
      </c>
      <c r="E77" s="21">
        <f t="shared" si="10"/>
        <v>0</v>
      </c>
      <c r="F77" s="21">
        <f t="shared" si="10"/>
        <v>0</v>
      </c>
      <c r="G77" s="21">
        <f t="shared" si="10"/>
        <v>0</v>
      </c>
      <c r="H77" s="21">
        <f t="shared" si="10"/>
        <v>0</v>
      </c>
      <c r="I77" s="21">
        <f t="shared" si="10"/>
        <v>0</v>
      </c>
      <c r="J77" s="21">
        <f t="shared" si="10"/>
        <v>0</v>
      </c>
      <c r="K77" s="21">
        <f t="shared" si="10"/>
        <v>0</v>
      </c>
      <c r="L77" s="21">
        <f t="shared" si="10"/>
        <v>0</v>
      </c>
      <c r="M77" s="21">
        <f t="shared" si="10"/>
        <v>0</v>
      </c>
      <c r="N77" s="21">
        <f t="shared" si="10"/>
        <v>0</v>
      </c>
      <c r="O77" s="21">
        <f t="shared" si="10"/>
        <v>0</v>
      </c>
      <c r="P77" s="21">
        <f t="shared" si="10"/>
        <v>0</v>
      </c>
      <c r="Q77" s="21">
        <f t="shared" si="10"/>
        <v>0</v>
      </c>
      <c r="R77" s="21">
        <f t="shared" si="10"/>
        <v>0</v>
      </c>
      <c r="S77" s="21">
        <f t="shared" si="10"/>
        <v>0</v>
      </c>
      <c r="T77" s="21">
        <f t="shared" si="10"/>
        <v>0</v>
      </c>
      <c r="U77" s="21">
        <f t="shared" si="10"/>
        <v>0</v>
      </c>
      <c r="V77" s="21">
        <f t="shared" si="10"/>
        <v>0</v>
      </c>
      <c r="W77" s="21">
        <f t="shared" si="10"/>
        <v>0</v>
      </c>
      <c r="X77" s="21">
        <f t="shared" si="10"/>
        <v>0</v>
      </c>
      <c r="Y77" s="21">
        <f t="shared" si="10"/>
        <v>0</v>
      </c>
      <c r="Z77" s="21">
        <f t="shared" si="10"/>
        <v>0</v>
      </c>
      <c r="AA77" s="21">
        <f t="shared" si="10"/>
        <v>0</v>
      </c>
      <c r="AB77" s="21">
        <f t="shared" si="10"/>
        <v>0</v>
      </c>
      <c r="AC77" s="21">
        <f t="shared" ref="D77:BA82" si="11">AC50*AC$36</f>
        <v>0</v>
      </c>
      <c r="AD77" s="21">
        <f t="shared" si="11"/>
        <v>0</v>
      </c>
      <c r="AE77" s="21">
        <f t="shared" si="11"/>
        <v>0</v>
      </c>
      <c r="AF77" s="21">
        <f t="shared" si="11"/>
        <v>0</v>
      </c>
      <c r="AG77" s="21">
        <f t="shared" si="11"/>
        <v>0</v>
      </c>
      <c r="AH77" s="21">
        <f t="shared" si="11"/>
        <v>0</v>
      </c>
      <c r="AI77" s="21">
        <f t="shared" si="11"/>
        <v>0</v>
      </c>
      <c r="AJ77" s="21">
        <f t="shared" si="11"/>
        <v>0</v>
      </c>
      <c r="AK77" s="21">
        <f t="shared" si="11"/>
        <v>0</v>
      </c>
      <c r="AL77" s="21">
        <f t="shared" si="11"/>
        <v>0</v>
      </c>
      <c r="AM77" s="21">
        <f t="shared" si="11"/>
        <v>0</v>
      </c>
      <c r="AN77" s="21">
        <f t="shared" si="11"/>
        <v>0</v>
      </c>
      <c r="AO77" s="21">
        <f t="shared" si="11"/>
        <v>0</v>
      </c>
      <c r="AP77" s="21">
        <f t="shared" si="11"/>
        <v>0</v>
      </c>
      <c r="AQ77" s="21">
        <f t="shared" si="11"/>
        <v>0</v>
      </c>
      <c r="AR77" s="21">
        <f t="shared" si="11"/>
        <v>0</v>
      </c>
      <c r="AS77" s="21">
        <f t="shared" si="11"/>
        <v>0</v>
      </c>
      <c r="AT77" s="21">
        <f t="shared" si="11"/>
        <v>0</v>
      </c>
      <c r="AU77" s="21">
        <f t="shared" si="11"/>
        <v>0</v>
      </c>
      <c r="AV77" s="21">
        <f t="shared" si="11"/>
        <v>0</v>
      </c>
      <c r="AW77" s="21">
        <f t="shared" si="11"/>
        <v>0</v>
      </c>
      <c r="AX77" s="21">
        <f t="shared" si="11"/>
        <v>0</v>
      </c>
      <c r="AY77" s="21">
        <f t="shared" si="11"/>
        <v>0</v>
      </c>
      <c r="AZ77" s="21">
        <f t="shared" si="11"/>
        <v>0</v>
      </c>
      <c r="BA77" s="21">
        <f t="shared" si="11"/>
        <v>0</v>
      </c>
      <c r="BB77" s="21">
        <f t="shared" si="8"/>
        <v>0</v>
      </c>
    </row>
    <row r="78" spans="1:54">
      <c r="A78" s="456"/>
      <c r="B78" s="226">
        <v>2018</v>
      </c>
      <c r="C78" s="21">
        <f t="shared" si="6"/>
        <v>0</v>
      </c>
      <c r="D78" s="21">
        <f t="shared" si="11"/>
        <v>0</v>
      </c>
      <c r="E78" s="21">
        <f t="shared" si="11"/>
        <v>0</v>
      </c>
      <c r="F78" s="21">
        <f t="shared" si="11"/>
        <v>0</v>
      </c>
      <c r="G78" s="21">
        <f t="shared" si="11"/>
        <v>0</v>
      </c>
      <c r="H78" s="21">
        <f t="shared" si="11"/>
        <v>0</v>
      </c>
      <c r="I78" s="21">
        <f t="shared" si="11"/>
        <v>0</v>
      </c>
      <c r="J78" s="21">
        <f t="shared" si="11"/>
        <v>0</v>
      </c>
      <c r="K78" s="21">
        <f t="shared" si="11"/>
        <v>0</v>
      </c>
      <c r="L78" s="21">
        <f t="shared" si="11"/>
        <v>0</v>
      </c>
      <c r="M78" s="21">
        <f t="shared" si="11"/>
        <v>0</v>
      </c>
      <c r="N78" s="21">
        <f t="shared" si="11"/>
        <v>0</v>
      </c>
      <c r="O78" s="21">
        <f t="shared" si="11"/>
        <v>0</v>
      </c>
      <c r="P78" s="21">
        <f t="shared" si="11"/>
        <v>0</v>
      </c>
      <c r="Q78" s="21">
        <f t="shared" si="11"/>
        <v>0</v>
      </c>
      <c r="R78" s="21">
        <f t="shared" si="11"/>
        <v>0</v>
      </c>
      <c r="S78" s="21">
        <f t="shared" si="11"/>
        <v>0</v>
      </c>
      <c r="T78" s="21">
        <f t="shared" si="11"/>
        <v>0</v>
      </c>
      <c r="U78" s="21">
        <f t="shared" si="11"/>
        <v>0</v>
      </c>
      <c r="V78" s="21">
        <f t="shared" si="11"/>
        <v>0</v>
      </c>
      <c r="W78" s="21">
        <f t="shared" si="11"/>
        <v>0</v>
      </c>
      <c r="X78" s="21">
        <f t="shared" si="11"/>
        <v>0</v>
      </c>
      <c r="Y78" s="21">
        <f t="shared" si="11"/>
        <v>0</v>
      </c>
      <c r="Z78" s="21">
        <f t="shared" si="11"/>
        <v>0</v>
      </c>
      <c r="AA78" s="21">
        <f t="shared" si="11"/>
        <v>0</v>
      </c>
      <c r="AB78" s="21">
        <f t="shared" si="11"/>
        <v>0</v>
      </c>
      <c r="AC78" s="21">
        <f t="shared" si="11"/>
        <v>0</v>
      </c>
      <c r="AD78" s="21">
        <f t="shared" si="11"/>
        <v>0</v>
      </c>
      <c r="AE78" s="21">
        <f t="shared" si="11"/>
        <v>0</v>
      </c>
      <c r="AF78" s="21">
        <f t="shared" si="11"/>
        <v>0</v>
      </c>
      <c r="AG78" s="21">
        <f t="shared" si="11"/>
        <v>0</v>
      </c>
      <c r="AH78" s="21">
        <f t="shared" si="11"/>
        <v>0</v>
      </c>
      <c r="AI78" s="21">
        <f t="shared" si="11"/>
        <v>0</v>
      </c>
      <c r="AJ78" s="21">
        <f t="shared" si="11"/>
        <v>0</v>
      </c>
      <c r="AK78" s="21">
        <f t="shared" si="11"/>
        <v>0</v>
      </c>
      <c r="AL78" s="21">
        <f t="shared" si="11"/>
        <v>0</v>
      </c>
      <c r="AM78" s="21">
        <f t="shared" si="11"/>
        <v>0</v>
      </c>
      <c r="AN78" s="21">
        <f t="shared" si="11"/>
        <v>0</v>
      </c>
      <c r="AO78" s="21">
        <f t="shared" si="11"/>
        <v>0</v>
      </c>
      <c r="AP78" s="21">
        <f t="shared" si="11"/>
        <v>0</v>
      </c>
      <c r="AQ78" s="21">
        <f t="shared" si="11"/>
        <v>0</v>
      </c>
      <c r="AR78" s="21">
        <f t="shared" si="11"/>
        <v>0</v>
      </c>
      <c r="AS78" s="21">
        <f t="shared" si="11"/>
        <v>0</v>
      </c>
      <c r="AT78" s="21">
        <f t="shared" si="11"/>
        <v>0</v>
      </c>
      <c r="AU78" s="21">
        <f t="shared" si="11"/>
        <v>0</v>
      </c>
      <c r="AV78" s="21">
        <f t="shared" si="11"/>
        <v>0</v>
      </c>
      <c r="AW78" s="21">
        <f t="shared" si="11"/>
        <v>0</v>
      </c>
      <c r="AX78" s="21">
        <f t="shared" si="11"/>
        <v>0</v>
      </c>
      <c r="AY78" s="21">
        <f t="shared" si="11"/>
        <v>0</v>
      </c>
      <c r="AZ78" s="21">
        <f t="shared" si="11"/>
        <v>0</v>
      </c>
      <c r="BA78" s="21">
        <f t="shared" si="11"/>
        <v>0</v>
      </c>
      <c r="BB78" s="21">
        <f t="shared" si="8"/>
        <v>0</v>
      </c>
    </row>
    <row r="79" spans="1:54">
      <c r="A79" s="456"/>
      <c r="B79" s="228">
        <v>2019</v>
      </c>
      <c r="C79" s="21">
        <f t="shared" si="6"/>
        <v>0</v>
      </c>
      <c r="D79" s="21">
        <f t="shared" si="11"/>
        <v>0</v>
      </c>
      <c r="E79" s="21">
        <f t="shared" si="11"/>
        <v>0</v>
      </c>
      <c r="F79" s="21">
        <f t="shared" si="11"/>
        <v>0</v>
      </c>
      <c r="G79" s="21">
        <f t="shared" si="11"/>
        <v>0</v>
      </c>
      <c r="H79" s="21">
        <f t="shared" si="11"/>
        <v>0</v>
      </c>
      <c r="I79" s="21">
        <f t="shared" si="11"/>
        <v>0</v>
      </c>
      <c r="J79" s="21">
        <f t="shared" si="11"/>
        <v>0</v>
      </c>
      <c r="K79" s="21">
        <f t="shared" si="11"/>
        <v>0</v>
      </c>
      <c r="L79" s="21">
        <f t="shared" si="11"/>
        <v>0</v>
      </c>
      <c r="M79" s="21">
        <f t="shared" si="11"/>
        <v>0</v>
      </c>
      <c r="N79" s="21">
        <f t="shared" si="11"/>
        <v>0</v>
      </c>
      <c r="O79" s="21">
        <f t="shared" si="11"/>
        <v>0</v>
      </c>
      <c r="P79" s="21">
        <f t="shared" si="11"/>
        <v>0</v>
      </c>
      <c r="Q79" s="21">
        <f t="shared" si="11"/>
        <v>0</v>
      </c>
      <c r="R79" s="21">
        <f t="shared" si="11"/>
        <v>0</v>
      </c>
      <c r="S79" s="21">
        <f t="shared" si="11"/>
        <v>0</v>
      </c>
      <c r="T79" s="21">
        <f t="shared" si="11"/>
        <v>0</v>
      </c>
      <c r="U79" s="21">
        <f t="shared" si="11"/>
        <v>0</v>
      </c>
      <c r="V79" s="21">
        <f t="shared" si="11"/>
        <v>0</v>
      </c>
      <c r="W79" s="21">
        <f t="shared" si="11"/>
        <v>0</v>
      </c>
      <c r="X79" s="21">
        <f t="shared" si="11"/>
        <v>0</v>
      </c>
      <c r="Y79" s="21">
        <f t="shared" si="11"/>
        <v>0</v>
      </c>
      <c r="Z79" s="21">
        <f t="shared" si="11"/>
        <v>0</v>
      </c>
      <c r="AA79" s="21">
        <f t="shared" si="11"/>
        <v>0</v>
      </c>
      <c r="AB79" s="21">
        <f t="shared" si="11"/>
        <v>0</v>
      </c>
      <c r="AC79" s="21">
        <f t="shared" si="11"/>
        <v>0</v>
      </c>
      <c r="AD79" s="21">
        <f t="shared" si="11"/>
        <v>0</v>
      </c>
      <c r="AE79" s="21">
        <f t="shared" si="11"/>
        <v>0</v>
      </c>
      <c r="AF79" s="21">
        <f t="shared" si="11"/>
        <v>0</v>
      </c>
      <c r="AG79" s="21">
        <f t="shared" si="11"/>
        <v>0</v>
      </c>
      <c r="AH79" s="21">
        <f t="shared" si="11"/>
        <v>0</v>
      </c>
      <c r="AI79" s="21">
        <f t="shared" si="11"/>
        <v>0</v>
      </c>
      <c r="AJ79" s="21">
        <f t="shared" si="11"/>
        <v>0</v>
      </c>
      <c r="AK79" s="21">
        <f t="shared" si="11"/>
        <v>0</v>
      </c>
      <c r="AL79" s="21">
        <f t="shared" si="11"/>
        <v>0</v>
      </c>
      <c r="AM79" s="21">
        <f t="shared" si="11"/>
        <v>0</v>
      </c>
      <c r="AN79" s="21">
        <f t="shared" si="11"/>
        <v>0</v>
      </c>
      <c r="AO79" s="21">
        <f t="shared" si="11"/>
        <v>0</v>
      </c>
      <c r="AP79" s="21">
        <f t="shared" si="11"/>
        <v>0</v>
      </c>
      <c r="AQ79" s="21">
        <f t="shared" si="11"/>
        <v>0</v>
      </c>
      <c r="AR79" s="21">
        <f t="shared" si="11"/>
        <v>0</v>
      </c>
      <c r="AS79" s="21">
        <f t="shared" si="11"/>
        <v>0</v>
      </c>
      <c r="AT79" s="21">
        <f t="shared" si="11"/>
        <v>0</v>
      </c>
      <c r="AU79" s="21">
        <f t="shared" si="11"/>
        <v>0</v>
      </c>
      <c r="AV79" s="21">
        <f t="shared" si="11"/>
        <v>0</v>
      </c>
      <c r="AW79" s="21">
        <f t="shared" si="11"/>
        <v>0</v>
      </c>
      <c r="AX79" s="21">
        <f t="shared" si="11"/>
        <v>0</v>
      </c>
      <c r="AY79" s="21">
        <f t="shared" si="11"/>
        <v>0</v>
      </c>
      <c r="AZ79" s="21">
        <f t="shared" si="11"/>
        <v>0</v>
      </c>
      <c r="BA79" s="21">
        <f t="shared" si="11"/>
        <v>0</v>
      </c>
      <c r="BB79" s="21">
        <f t="shared" si="8"/>
        <v>0</v>
      </c>
    </row>
    <row r="80" spans="1:54">
      <c r="A80" s="456"/>
      <c r="B80" s="226">
        <v>2020</v>
      </c>
      <c r="C80" s="21">
        <f t="shared" si="6"/>
        <v>0</v>
      </c>
      <c r="D80" s="21">
        <f t="shared" si="11"/>
        <v>0</v>
      </c>
      <c r="E80" s="21">
        <f t="shared" si="11"/>
        <v>0</v>
      </c>
      <c r="F80" s="21">
        <f t="shared" si="11"/>
        <v>0</v>
      </c>
      <c r="G80" s="21">
        <f t="shared" si="11"/>
        <v>0</v>
      </c>
      <c r="H80" s="21">
        <f t="shared" si="11"/>
        <v>0</v>
      </c>
      <c r="I80" s="21">
        <f t="shared" si="11"/>
        <v>0</v>
      </c>
      <c r="J80" s="21">
        <f t="shared" si="11"/>
        <v>0</v>
      </c>
      <c r="K80" s="21">
        <f t="shared" si="11"/>
        <v>0</v>
      </c>
      <c r="L80" s="21">
        <f t="shared" si="11"/>
        <v>0</v>
      </c>
      <c r="M80" s="21">
        <f t="shared" si="11"/>
        <v>0</v>
      </c>
      <c r="N80" s="21">
        <f t="shared" si="11"/>
        <v>0</v>
      </c>
      <c r="O80" s="21">
        <f t="shared" si="11"/>
        <v>0</v>
      </c>
      <c r="P80" s="21">
        <f t="shared" si="11"/>
        <v>0</v>
      </c>
      <c r="Q80" s="21">
        <f t="shared" si="11"/>
        <v>0</v>
      </c>
      <c r="R80" s="21">
        <f t="shared" si="11"/>
        <v>0</v>
      </c>
      <c r="S80" s="21">
        <f t="shared" si="11"/>
        <v>0</v>
      </c>
      <c r="T80" s="21">
        <f t="shared" si="11"/>
        <v>0</v>
      </c>
      <c r="U80" s="21">
        <f t="shared" si="11"/>
        <v>0</v>
      </c>
      <c r="V80" s="21">
        <f t="shared" si="11"/>
        <v>0</v>
      </c>
      <c r="W80" s="21">
        <f t="shared" si="11"/>
        <v>0</v>
      </c>
      <c r="X80" s="21">
        <f t="shared" si="11"/>
        <v>0</v>
      </c>
      <c r="Y80" s="21">
        <f t="shared" si="11"/>
        <v>0</v>
      </c>
      <c r="Z80" s="21">
        <f t="shared" si="11"/>
        <v>0</v>
      </c>
      <c r="AA80" s="21">
        <f t="shared" si="11"/>
        <v>0</v>
      </c>
      <c r="AB80" s="21">
        <f t="shared" si="11"/>
        <v>0</v>
      </c>
      <c r="AC80" s="21">
        <f t="shared" si="11"/>
        <v>0</v>
      </c>
      <c r="AD80" s="21">
        <f t="shared" si="11"/>
        <v>0</v>
      </c>
      <c r="AE80" s="21">
        <f t="shared" si="11"/>
        <v>0</v>
      </c>
      <c r="AF80" s="21">
        <f t="shared" si="11"/>
        <v>0</v>
      </c>
      <c r="AG80" s="21">
        <f t="shared" si="11"/>
        <v>0</v>
      </c>
      <c r="AH80" s="21">
        <f t="shared" si="11"/>
        <v>0</v>
      </c>
      <c r="AI80" s="21">
        <f t="shared" si="11"/>
        <v>0</v>
      </c>
      <c r="AJ80" s="21">
        <f t="shared" si="11"/>
        <v>0</v>
      </c>
      <c r="AK80" s="21">
        <f t="shared" si="11"/>
        <v>0</v>
      </c>
      <c r="AL80" s="21">
        <f t="shared" si="11"/>
        <v>0</v>
      </c>
      <c r="AM80" s="21">
        <f t="shared" si="11"/>
        <v>0</v>
      </c>
      <c r="AN80" s="21">
        <f t="shared" si="11"/>
        <v>0</v>
      </c>
      <c r="AO80" s="21">
        <f t="shared" si="11"/>
        <v>0</v>
      </c>
      <c r="AP80" s="21">
        <f t="shared" si="11"/>
        <v>0</v>
      </c>
      <c r="AQ80" s="21">
        <f t="shared" si="11"/>
        <v>0</v>
      </c>
      <c r="AR80" s="21">
        <f t="shared" si="11"/>
        <v>0</v>
      </c>
      <c r="AS80" s="21">
        <f t="shared" si="11"/>
        <v>0</v>
      </c>
      <c r="AT80" s="21">
        <f t="shared" si="11"/>
        <v>0</v>
      </c>
      <c r="AU80" s="21">
        <f t="shared" si="11"/>
        <v>0</v>
      </c>
      <c r="AV80" s="21">
        <f t="shared" si="11"/>
        <v>0</v>
      </c>
      <c r="AW80" s="21">
        <f t="shared" si="11"/>
        <v>0</v>
      </c>
      <c r="AX80" s="21">
        <f t="shared" si="11"/>
        <v>0</v>
      </c>
      <c r="AY80" s="21">
        <f t="shared" si="11"/>
        <v>0</v>
      </c>
      <c r="AZ80" s="21">
        <f t="shared" si="11"/>
        <v>0</v>
      </c>
      <c r="BA80" s="21">
        <f t="shared" si="11"/>
        <v>0</v>
      </c>
      <c r="BB80" s="21">
        <f t="shared" si="8"/>
        <v>0</v>
      </c>
    </row>
    <row r="81" spans="1:54">
      <c r="A81" s="456"/>
      <c r="B81" s="228">
        <v>2021</v>
      </c>
      <c r="C81" s="21">
        <f t="shared" si="6"/>
        <v>0</v>
      </c>
      <c r="D81" s="21">
        <f t="shared" si="11"/>
        <v>0</v>
      </c>
      <c r="E81" s="21">
        <f t="shared" si="11"/>
        <v>0</v>
      </c>
      <c r="F81" s="21">
        <f t="shared" si="11"/>
        <v>0</v>
      </c>
      <c r="G81" s="21">
        <f t="shared" si="11"/>
        <v>0</v>
      </c>
      <c r="H81" s="21">
        <f t="shared" si="11"/>
        <v>0</v>
      </c>
      <c r="I81" s="21">
        <f t="shared" si="11"/>
        <v>0</v>
      </c>
      <c r="J81" s="21">
        <f t="shared" si="11"/>
        <v>0</v>
      </c>
      <c r="K81" s="21">
        <f t="shared" si="11"/>
        <v>0</v>
      </c>
      <c r="L81" s="21">
        <f t="shared" si="11"/>
        <v>0</v>
      </c>
      <c r="M81" s="21">
        <f t="shared" si="11"/>
        <v>0</v>
      </c>
      <c r="N81" s="21">
        <f t="shared" si="11"/>
        <v>0</v>
      </c>
      <c r="O81" s="21">
        <f t="shared" si="11"/>
        <v>0</v>
      </c>
      <c r="P81" s="21">
        <f t="shared" si="11"/>
        <v>0</v>
      </c>
      <c r="Q81" s="21">
        <f t="shared" si="11"/>
        <v>0</v>
      </c>
      <c r="R81" s="21">
        <f t="shared" si="11"/>
        <v>0</v>
      </c>
      <c r="S81" s="21">
        <f t="shared" si="11"/>
        <v>0</v>
      </c>
      <c r="T81" s="21">
        <f t="shared" si="11"/>
        <v>0</v>
      </c>
      <c r="U81" s="21">
        <f t="shared" si="11"/>
        <v>0</v>
      </c>
      <c r="V81" s="21">
        <f t="shared" si="11"/>
        <v>0</v>
      </c>
      <c r="W81" s="21">
        <f t="shared" si="11"/>
        <v>0</v>
      </c>
      <c r="X81" s="21">
        <f t="shared" si="11"/>
        <v>0</v>
      </c>
      <c r="Y81" s="21">
        <f t="shared" si="11"/>
        <v>0</v>
      </c>
      <c r="Z81" s="21">
        <f t="shared" si="11"/>
        <v>0</v>
      </c>
      <c r="AA81" s="21">
        <f t="shared" si="11"/>
        <v>0</v>
      </c>
      <c r="AB81" s="21">
        <f t="shared" si="11"/>
        <v>0</v>
      </c>
      <c r="AC81" s="21">
        <f t="shared" si="11"/>
        <v>0</v>
      </c>
      <c r="AD81" s="21">
        <f t="shared" si="11"/>
        <v>0</v>
      </c>
      <c r="AE81" s="21">
        <f t="shared" si="11"/>
        <v>0</v>
      </c>
      <c r="AF81" s="21">
        <f t="shared" si="11"/>
        <v>0</v>
      </c>
      <c r="AG81" s="21">
        <f t="shared" si="11"/>
        <v>0</v>
      </c>
      <c r="AH81" s="21">
        <f t="shared" si="11"/>
        <v>0</v>
      </c>
      <c r="AI81" s="21">
        <f t="shared" si="11"/>
        <v>0</v>
      </c>
      <c r="AJ81" s="21">
        <f t="shared" si="11"/>
        <v>0</v>
      </c>
      <c r="AK81" s="21">
        <f t="shared" si="11"/>
        <v>0</v>
      </c>
      <c r="AL81" s="21">
        <f t="shared" si="11"/>
        <v>0</v>
      </c>
      <c r="AM81" s="21">
        <f t="shared" si="11"/>
        <v>0</v>
      </c>
      <c r="AN81" s="21">
        <f t="shared" si="11"/>
        <v>0</v>
      </c>
      <c r="AO81" s="21">
        <f t="shared" si="11"/>
        <v>0</v>
      </c>
      <c r="AP81" s="21">
        <f t="shared" si="11"/>
        <v>0</v>
      </c>
      <c r="AQ81" s="21">
        <f t="shared" si="11"/>
        <v>0</v>
      </c>
      <c r="AR81" s="21">
        <f t="shared" si="11"/>
        <v>0</v>
      </c>
      <c r="AS81" s="21">
        <f t="shared" si="11"/>
        <v>0</v>
      </c>
      <c r="AT81" s="21">
        <f t="shared" si="11"/>
        <v>0</v>
      </c>
      <c r="AU81" s="21">
        <f t="shared" si="11"/>
        <v>0</v>
      </c>
      <c r="AV81" s="21">
        <f t="shared" si="11"/>
        <v>0</v>
      </c>
      <c r="AW81" s="21">
        <f t="shared" si="11"/>
        <v>0</v>
      </c>
      <c r="AX81" s="21">
        <f t="shared" si="11"/>
        <v>0</v>
      </c>
      <c r="AY81" s="21">
        <f t="shared" si="11"/>
        <v>0</v>
      </c>
      <c r="AZ81" s="21">
        <f t="shared" si="11"/>
        <v>0</v>
      </c>
      <c r="BA81" s="21">
        <f t="shared" si="11"/>
        <v>0</v>
      </c>
      <c r="BB81" s="21">
        <f t="shared" si="8"/>
        <v>0</v>
      </c>
    </row>
    <row r="82" spans="1:54">
      <c r="A82" s="456"/>
      <c r="B82" s="226">
        <v>2022</v>
      </c>
      <c r="C82" s="21">
        <f t="shared" si="6"/>
        <v>0</v>
      </c>
      <c r="D82" s="21">
        <f t="shared" si="11"/>
        <v>0</v>
      </c>
      <c r="E82" s="21">
        <f t="shared" si="11"/>
        <v>0</v>
      </c>
      <c r="F82" s="21">
        <f t="shared" si="11"/>
        <v>0</v>
      </c>
      <c r="G82" s="21">
        <f t="shared" si="11"/>
        <v>0</v>
      </c>
      <c r="H82" s="21">
        <f t="shared" si="11"/>
        <v>0</v>
      </c>
      <c r="I82" s="21">
        <f t="shared" si="11"/>
        <v>0</v>
      </c>
      <c r="J82" s="21">
        <f t="shared" si="11"/>
        <v>0</v>
      </c>
      <c r="K82" s="21">
        <f t="shared" si="11"/>
        <v>0</v>
      </c>
      <c r="L82" s="21">
        <f t="shared" si="11"/>
        <v>0</v>
      </c>
      <c r="M82" s="21">
        <f t="shared" si="11"/>
        <v>0</v>
      </c>
      <c r="N82" s="21">
        <f t="shared" si="11"/>
        <v>0</v>
      </c>
      <c r="O82" s="21">
        <f t="shared" si="11"/>
        <v>0</v>
      </c>
      <c r="P82" s="21">
        <f t="shared" si="11"/>
        <v>0</v>
      </c>
      <c r="Q82" s="21">
        <f t="shared" si="11"/>
        <v>0</v>
      </c>
      <c r="R82" s="21">
        <f t="shared" si="11"/>
        <v>0</v>
      </c>
      <c r="S82" s="21">
        <f t="shared" si="11"/>
        <v>0</v>
      </c>
      <c r="T82" s="21">
        <f t="shared" si="11"/>
        <v>0</v>
      </c>
      <c r="U82" s="21">
        <f t="shared" si="11"/>
        <v>0</v>
      </c>
      <c r="V82" s="21">
        <f t="shared" si="11"/>
        <v>0</v>
      </c>
      <c r="W82" s="21">
        <f t="shared" si="11"/>
        <v>0</v>
      </c>
      <c r="X82" s="21">
        <f t="shared" si="11"/>
        <v>0</v>
      </c>
      <c r="Y82" s="21">
        <f t="shared" si="11"/>
        <v>0</v>
      </c>
      <c r="Z82" s="21">
        <f t="shared" si="11"/>
        <v>0</v>
      </c>
      <c r="AA82" s="21">
        <f t="shared" si="11"/>
        <v>0</v>
      </c>
      <c r="AB82" s="21">
        <f t="shared" si="11"/>
        <v>0</v>
      </c>
      <c r="AC82" s="21">
        <f t="shared" si="11"/>
        <v>0</v>
      </c>
      <c r="AD82" s="21">
        <f t="shared" si="11"/>
        <v>0</v>
      </c>
      <c r="AE82" s="21">
        <f t="shared" si="11"/>
        <v>0</v>
      </c>
      <c r="AF82" s="21">
        <f t="shared" si="11"/>
        <v>0</v>
      </c>
      <c r="AG82" s="21">
        <f t="shared" si="11"/>
        <v>0</v>
      </c>
      <c r="AH82" s="21">
        <f t="shared" ref="D82:BA87" si="12">AH55*AH$36</f>
        <v>0</v>
      </c>
      <c r="AI82" s="21">
        <f t="shared" si="12"/>
        <v>0</v>
      </c>
      <c r="AJ82" s="21">
        <f t="shared" si="12"/>
        <v>0</v>
      </c>
      <c r="AK82" s="21">
        <f t="shared" si="12"/>
        <v>0</v>
      </c>
      <c r="AL82" s="21">
        <f t="shared" si="12"/>
        <v>0</v>
      </c>
      <c r="AM82" s="21">
        <f t="shared" si="12"/>
        <v>0</v>
      </c>
      <c r="AN82" s="21">
        <f t="shared" si="12"/>
        <v>0</v>
      </c>
      <c r="AO82" s="21">
        <f t="shared" si="12"/>
        <v>0</v>
      </c>
      <c r="AP82" s="21">
        <f t="shared" si="12"/>
        <v>0</v>
      </c>
      <c r="AQ82" s="21">
        <f t="shared" si="12"/>
        <v>0</v>
      </c>
      <c r="AR82" s="21">
        <f t="shared" si="12"/>
        <v>0</v>
      </c>
      <c r="AS82" s="21">
        <f t="shared" si="12"/>
        <v>0</v>
      </c>
      <c r="AT82" s="21">
        <f t="shared" si="12"/>
        <v>0</v>
      </c>
      <c r="AU82" s="21">
        <f t="shared" si="12"/>
        <v>0</v>
      </c>
      <c r="AV82" s="21">
        <f t="shared" si="12"/>
        <v>0</v>
      </c>
      <c r="AW82" s="21">
        <f t="shared" si="12"/>
        <v>0</v>
      </c>
      <c r="AX82" s="21">
        <f t="shared" si="12"/>
        <v>0</v>
      </c>
      <c r="AY82" s="21">
        <f t="shared" si="12"/>
        <v>0</v>
      </c>
      <c r="AZ82" s="21">
        <f t="shared" si="12"/>
        <v>0</v>
      </c>
      <c r="BA82" s="21">
        <f t="shared" si="12"/>
        <v>0</v>
      </c>
      <c r="BB82" s="21">
        <f t="shared" si="8"/>
        <v>0</v>
      </c>
    </row>
    <row r="83" spans="1:54">
      <c r="A83" s="456"/>
      <c r="B83" s="228">
        <v>2023</v>
      </c>
      <c r="C83" s="21">
        <f t="shared" si="6"/>
        <v>0</v>
      </c>
      <c r="D83" s="21">
        <f t="shared" si="12"/>
        <v>0</v>
      </c>
      <c r="E83" s="21">
        <f t="shared" si="12"/>
        <v>0</v>
      </c>
      <c r="F83" s="21">
        <f t="shared" si="12"/>
        <v>0</v>
      </c>
      <c r="G83" s="21">
        <f t="shared" si="12"/>
        <v>0</v>
      </c>
      <c r="H83" s="21">
        <f t="shared" si="12"/>
        <v>0</v>
      </c>
      <c r="I83" s="21">
        <f t="shared" si="12"/>
        <v>0</v>
      </c>
      <c r="J83" s="21">
        <f t="shared" si="12"/>
        <v>0</v>
      </c>
      <c r="K83" s="21">
        <f t="shared" si="12"/>
        <v>0</v>
      </c>
      <c r="L83" s="21">
        <f t="shared" si="12"/>
        <v>0</v>
      </c>
      <c r="M83" s="21">
        <f t="shared" si="12"/>
        <v>0</v>
      </c>
      <c r="N83" s="21">
        <f t="shared" si="12"/>
        <v>0</v>
      </c>
      <c r="O83" s="21">
        <f t="shared" si="12"/>
        <v>0</v>
      </c>
      <c r="P83" s="21">
        <f t="shared" si="12"/>
        <v>0</v>
      </c>
      <c r="Q83" s="21">
        <f t="shared" si="12"/>
        <v>0</v>
      </c>
      <c r="R83" s="21">
        <f t="shared" si="12"/>
        <v>0</v>
      </c>
      <c r="S83" s="21">
        <f t="shared" si="12"/>
        <v>0</v>
      </c>
      <c r="T83" s="21">
        <f t="shared" si="12"/>
        <v>0</v>
      </c>
      <c r="U83" s="21">
        <f t="shared" si="12"/>
        <v>0</v>
      </c>
      <c r="V83" s="21">
        <f t="shared" si="12"/>
        <v>0</v>
      </c>
      <c r="W83" s="21">
        <f t="shared" si="12"/>
        <v>0</v>
      </c>
      <c r="X83" s="21">
        <f t="shared" si="12"/>
        <v>0</v>
      </c>
      <c r="Y83" s="21">
        <f t="shared" si="12"/>
        <v>0</v>
      </c>
      <c r="Z83" s="21">
        <f t="shared" si="12"/>
        <v>0</v>
      </c>
      <c r="AA83" s="21">
        <f t="shared" si="12"/>
        <v>0</v>
      </c>
      <c r="AB83" s="21">
        <f t="shared" si="12"/>
        <v>0</v>
      </c>
      <c r="AC83" s="21">
        <f t="shared" si="12"/>
        <v>0</v>
      </c>
      <c r="AD83" s="21">
        <f t="shared" si="12"/>
        <v>0</v>
      </c>
      <c r="AE83" s="21">
        <f t="shared" si="12"/>
        <v>0</v>
      </c>
      <c r="AF83" s="21">
        <f t="shared" si="12"/>
        <v>0</v>
      </c>
      <c r="AG83" s="21">
        <f t="shared" si="12"/>
        <v>0</v>
      </c>
      <c r="AH83" s="21">
        <f t="shared" si="12"/>
        <v>0</v>
      </c>
      <c r="AI83" s="21">
        <f t="shared" si="12"/>
        <v>0</v>
      </c>
      <c r="AJ83" s="21">
        <f t="shared" si="12"/>
        <v>0</v>
      </c>
      <c r="AK83" s="21">
        <f t="shared" si="12"/>
        <v>0</v>
      </c>
      <c r="AL83" s="21">
        <f t="shared" si="12"/>
        <v>0</v>
      </c>
      <c r="AM83" s="21">
        <f t="shared" si="12"/>
        <v>0</v>
      </c>
      <c r="AN83" s="21">
        <f t="shared" si="12"/>
        <v>0</v>
      </c>
      <c r="AO83" s="21">
        <f t="shared" si="12"/>
        <v>0</v>
      </c>
      <c r="AP83" s="21">
        <f t="shared" si="12"/>
        <v>0</v>
      </c>
      <c r="AQ83" s="21">
        <f t="shared" si="12"/>
        <v>0</v>
      </c>
      <c r="AR83" s="21">
        <f t="shared" si="12"/>
        <v>0</v>
      </c>
      <c r="AS83" s="21">
        <f t="shared" si="12"/>
        <v>0</v>
      </c>
      <c r="AT83" s="21">
        <f t="shared" si="12"/>
        <v>0</v>
      </c>
      <c r="AU83" s="21">
        <f t="shared" si="12"/>
        <v>0</v>
      </c>
      <c r="AV83" s="21">
        <f t="shared" si="12"/>
        <v>0</v>
      </c>
      <c r="AW83" s="21">
        <f t="shared" si="12"/>
        <v>0</v>
      </c>
      <c r="AX83" s="21">
        <f t="shared" si="12"/>
        <v>0</v>
      </c>
      <c r="AY83" s="21">
        <f t="shared" si="12"/>
        <v>0</v>
      </c>
      <c r="AZ83" s="21">
        <f t="shared" si="12"/>
        <v>0</v>
      </c>
      <c r="BA83" s="21">
        <f t="shared" si="12"/>
        <v>0</v>
      </c>
      <c r="BB83" s="21">
        <f t="shared" si="8"/>
        <v>0</v>
      </c>
    </row>
    <row r="84" spans="1:54">
      <c r="A84" s="456"/>
      <c r="B84" s="226">
        <v>2024</v>
      </c>
      <c r="C84" s="21">
        <f t="shared" si="6"/>
        <v>0</v>
      </c>
      <c r="D84" s="21">
        <f t="shared" si="12"/>
        <v>0</v>
      </c>
      <c r="E84" s="21">
        <f t="shared" si="12"/>
        <v>0</v>
      </c>
      <c r="F84" s="21">
        <f t="shared" si="12"/>
        <v>0</v>
      </c>
      <c r="G84" s="21">
        <f t="shared" si="12"/>
        <v>0</v>
      </c>
      <c r="H84" s="21">
        <f t="shared" si="12"/>
        <v>0</v>
      </c>
      <c r="I84" s="21">
        <f t="shared" si="12"/>
        <v>0</v>
      </c>
      <c r="J84" s="21">
        <f t="shared" si="12"/>
        <v>0</v>
      </c>
      <c r="K84" s="21">
        <f t="shared" si="12"/>
        <v>0</v>
      </c>
      <c r="L84" s="21">
        <f t="shared" si="12"/>
        <v>0</v>
      </c>
      <c r="M84" s="21">
        <f t="shared" si="12"/>
        <v>0</v>
      </c>
      <c r="N84" s="21">
        <f t="shared" si="12"/>
        <v>0</v>
      </c>
      <c r="O84" s="21">
        <f t="shared" si="12"/>
        <v>0</v>
      </c>
      <c r="P84" s="21">
        <f t="shared" si="12"/>
        <v>0</v>
      </c>
      <c r="Q84" s="21">
        <f t="shared" si="12"/>
        <v>0</v>
      </c>
      <c r="R84" s="21">
        <f t="shared" si="12"/>
        <v>0</v>
      </c>
      <c r="S84" s="21">
        <f t="shared" si="12"/>
        <v>0</v>
      </c>
      <c r="T84" s="21">
        <f t="shared" si="12"/>
        <v>0</v>
      </c>
      <c r="U84" s="21">
        <f t="shared" si="12"/>
        <v>0</v>
      </c>
      <c r="V84" s="21">
        <f t="shared" si="12"/>
        <v>0</v>
      </c>
      <c r="W84" s="21">
        <f t="shared" si="12"/>
        <v>0</v>
      </c>
      <c r="X84" s="21">
        <f t="shared" si="12"/>
        <v>0</v>
      </c>
      <c r="Y84" s="21">
        <f t="shared" si="12"/>
        <v>0</v>
      </c>
      <c r="Z84" s="21">
        <f t="shared" si="12"/>
        <v>0</v>
      </c>
      <c r="AA84" s="21">
        <f t="shared" si="12"/>
        <v>0</v>
      </c>
      <c r="AB84" s="21">
        <f t="shared" si="12"/>
        <v>0</v>
      </c>
      <c r="AC84" s="21">
        <f t="shared" si="12"/>
        <v>0</v>
      </c>
      <c r="AD84" s="21">
        <f t="shared" si="12"/>
        <v>0</v>
      </c>
      <c r="AE84" s="21">
        <f t="shared" si="12"/>
        <v>0</v>
      </c>
      <c r="AF84" s="21">
        <f t="shared" si="12"/>
        <v>0</v>
      </c>
      <c r="AG84" s="21">
        <f t="shared" si="12"/>
        <v>0</v>
      </c>
      <c r="AH84" s="21">
        <f t="shared" si="12"/>
        <v>0</v>
      </c>
      <c r="AI84" s="21">
        <f t="shared" si="12"/>
        <v>0</v>
      </c>
      <c r="AJ84" s="21">
        <f t="shared" si="12"/>
        <v>0</v>
      </c>
      <c r="AK84" s="21">
        <f t="shared" si="12"/>
        <v>0</v>
      </c>
      <c r="AL84" s="21">
        <f t="shared" si="12"/>
        <v>0</v>
      </c>
      <c r="AM84" s="21">
        <f t="shared" si="12"/>
        <v>0</v>
      </c>
      <c r="AN84" s="21">
        <f t="shared" si="12"/>
        <v>0</v>
      </c>
      <c r="AO84" s="21">
        <f t="shared" si="12"/>
        <v>0</v>
      </c>
      <c r="AP84" s="21">
        <f t="shared" si="12"/>
        <v>0</v>
      </c>
      <c r="AQ84" s="21">
        <f t="shared" si="12"/>
        <v>0</v>
      </c>
      <c r="AR84" s="21">
        <f t="shared" si="12"/>
        <v>0</v>
      </c>
      <c r="AS84" s="21">
        <f t="shared" si="12"/>
        <v>0</v>
      </c>
      <c r="AT84" s="21">
        <f t="shared" si="12"/>
        <v>0</v>
      </c>
      <c r="AU84" s="21">
        <f t="shared" si="12"/>
        <v>0</v>
      </c>
      <c r="AV84" s="21">
        <f t="shared" si="12"/>
        <v>0</v>
      </c>
      <c r="AW84" s="21">
        <f t="shared" si="12"/>
        <v>0</v>
      </c>
      <c r="AX84" s="21">
        <f t="shared" si="12"/>
        <v>0</v>
      </c>
      <c r="AY84" s="21">
        <f t="shared" si="12"/>
        <v>0</v>
      </c>
      <c r="AZ84" s="21">
        <f t="shared" si="12"/>
        <v>0</v>
      </c>
      <c r="BA84" s="21">
        <f t="shared" si="12"/>
        <v>0</v>
      </c>
      <c r="BB84" s="21">
        <f t="shared" si="8"/>
        <v>0</v>
      </c>
    </row>
    <row r="85" spans="1:54">
      <c r="A85" s="456"/>
      <c r="B85" s="228">
        <v>2025</v>
      </c>
      <c r="C85" s="21">
        <f t="shared" si="6"/>
        <v>0</v>
      </c>
      <c r="D85" s="21">
        <f t="shared" si="12"/>
        <v>0</v>
      </c>
      <c r="E85" s="21">
        <f t="shared" si="12"/>
        <v>0</v>
      </c>
      <c r="F85" s="21">
        <f t="shared" si="12"/>
        <v>0</v>
      </c>
      <c r="G85" s="21">
        <f t="shared" si="12"/>
        <v>0</v>
      </c>
      <c r="H85" s="21">
        <f t="shared" si="12"/>
        <v>0</v>
      </c>
      <c r="I85" s="21">
        <f t="shared" si="12"/>
        <v>0</v>
      </c>
      <c r="J85" s="21">
        <f t="shared" si="12"/>
        <v>0</v>
      </c>
      <c r="K85" s="21">
        <f t="shared" si="12"/>
        <v>0</v>
      </c>
      <c r="L85" s="21">
        <f t="shared" si="12"/>
        <v>0</v>
      </c>
      <c r="M85" s="21">
        <f t="shared" si="12"/>
        <v>0</v>
      </c>
      <c r="N85" s="21">
        <f t="shared" si="12"/>
        <v>0</v>
      </c>
      <c r="O85" s="21">
        <f t="shared" si="12"/>
        <v>0</v>
      </c>
      <c r="P85" s="21">
        <f t="shared" si="12"/>
        <v>0</v>
      </c>
      <c r="Q85" s="21">
        <f t="shared" si="12"/>
        <v>0</v>
      </c>
      <c r="R85" s="21">
        <f t="shared" si="12"/>
        <v>0</v>
      </c>
      <c r="S85" s="21">
        <f t="shared" si="12"/>
        <v>0</v>
      </c>
      <c r="T85" s="21">
        <f t="shared" si="12"/>
        <v>0</v>
      </c>
      <c r="U85" s="21">
        <f t="shared" si="12"/>
        <v>0</v>
      </c>
      <c r="V85" s="21">
        <f t="shared" si="12"/>
        <v>0</v>
      </c>
      <c r="W85" s="21">
        <f t="shared" si="12"/>
        <v>0</v>
      </c>
      <c r="X85" s="21">
        <f t="shared" si="12"/>
        <v>0</v>
      </c>
      <c r="Y85" s="21">
        <f t="shared" si="12"/>
        <v>0</v>
      </c>
      <c r="Z85" s="21">
        <f t="shared" si="12"/>
        <v>0</v>
      </c>
      <c r="AA85" s="21">
        <f t="shared" si="12"/>
        <v>0</v>
      </c>
      <c r="AB85" s="21">
        <f t="shared" si="12"/>
        <v>0</v>
      </c>
      <c r="AC85" s="21">
        <f t="shared" si="12"/>
        <v>0</v>
      </c>
      <c r="AD85" s="21">
        <f t="shared" si="12"/>
        <v>0</v>
      </c>
      <c r="AE85" s="21">
        <f t="shared" si="12"/>
        <v>0</v>
      </c>
      <c r="AF85" s="21">
        <f t="shared" si="12"/>
        <v>0</v>
      </c>
      <c r="AG85" s="21">
        <f t="shared" si="12"/>
        <v>0</v>
      </c>
      <c r="AH85" s="21">
        <f t="shared" si="12"/>
        <v>0</v>
      </c>
      <c r="AI85" s="21">
        <f t="shared" si="12"/>
        <v>0</v>
      </c>
      <c r="AJ85" s="21">
        <f t="shared" si="12"/>
        <v>0</v>
      </c>
      <c r="AK85" s="21">
        <f t="shared" si="12"/>
        <v>0</v>
      </c>
      <c r="AL85" s="21">
        <f t="shared" si="12"/>
        <v>0</v>
      </c>
      <c r="AM85" s="21">
        <f t="shared" si="12"/>
        <v>0</v>
      </c>
      <c r="AN85" s="21">
        <f t="shared" si="12"/>
        <v>0</v>
      </c>
      <c r="AO85" s="21">
        <f t="shared" si="12"/>
        <v>0</v>
      </c>
      <c r="AP85" s="21">
        <f t="shared" si="12"/>
        <v>0</v>
      </c>
      <c r="AQ85" s="21">
        <f t="shared" si="12"/>
        <v>0</v>
      </c>
      <c r="AR85" s="21">
        <f t="shared" si="12"/>
        <v>0</v>
      </c>
      <c r="AS85" s="21">
        <f t="shared" si="12"/>
        <v>0</v>
      </c>
      <c r="AT85" s="21">
        <f t="shared" si="12"/>
        <v>0</v>
      </c>
      <c r="AU85" s="21">
        <f t="shared" si="12"/>
        <v>0</v>
      </c>
      <c r="AV85" s="21">
        <f t="shared" si="12"/>
        <v>0</v>
      </c>
      <c r="AW85" s="21">
        <f t="shared" si="12"/>
        <v>0</v>
      </c>
      <c r="AX85" s="21">
        <f t="shared" si="12"/>
        <v>0</v>
      </c>
      <c r="AY85" s="21">
        <f t="shared" si="12"/>
        <v>0</v>
      </c>
      <c r="AZ85" s="21">
        <f t="shared" si="12"/>
        <v>0</v>
      </c>
      <c r="BA85" s="21">
        <f t="shared" si="12"/>
        <v>0</v>
      </c>
      <c r="BB85" s="21">
        <f t="shared" si="8"/>
        <v>0</v>
      </c>
    </row>
    <row r="86" spans="1:54">
      <c r="A86" s="456"/>
      <c r="B86" s="226">
        <v>2026</v>
      </c>
      <c r="C86" s="21">
        <f t="shared" si="6"/>
        <v>0</v>
      </c>
      <c r="D86" s="21">
        <f t="shared" si="12"/>
        <v>0</v>
      </c>
      <c r="E86" s="21">
        <f t="shared" si="12"/>
        <v>0</v>
      </c>
      <c r="F86" s="21">
        <f t="shared" si="12"/>
        <v>0</v>
      </c>
      <c r="G86" s="21">
        <f t="shared" si="12"/>
        <v>0</v>
      </c>
      <c r="H86" s="21">
        <f t="shared" si="12"/>
        <v>0</v>
      </c>
      <c r="I86" s="21">
        <f t="shared" si="12"/>
        <v>0</v>
      </c>
      <c r="J86" s="21">
        <f t="shared" si="12"/>
        <v>0</v>
      </c>
      <c r="K86" s="21">
        <f t="shared" si="12"/>
        <v>0</v>
      </c>
      <c r="L86" s="21">
        <f t="shared" si="12"/>
        <v>0</v>
      </c>
      <c r="M86" s="21">
        <f t="shared" si="12"/>
        <v>0</v>
      </c>
      <c r="N86" s="21">
        <f t="shared" si="12"/>
        <v>0</v>
      </c>
      <c r="O86" s="21">
        <f t="shared" si="12"/>
        <v>0</v>
      </c>
      <c r="P86" s="21">
        <f t="shared" si="12"/>
        <v>0</v>
      </c>
      <c r="Q86" s="21">
        <f t="shared" si="12"/>
        <v>0</v>
      </c>
      <c r="R86" s="21">
        <f t="shared" si="12"/>
        <v>0</v>
      </c>
      <c r="S86" s="21">
        <f t="shared" si="12"/>
        <v>0</v>
      </c>
      <c r="T86" s="21">
        <f t="shared" si="12"/>
        <v>0</v>
      </c>
      <c r="U86" s="21">
        <f t="shared" si="12"/>
        <v>0</v>
      </c>
      <c r="V86" s="21">
        <f t="shared" si="12"/>
        <v>0</v>
      </c>
      <c r="W86" s="21">
        <f t="shared" si="12"/>
        <v>0</v>
      </c>
      <c r="X86" s="21">
        <f t="shared" si="12"/>
        <v>0</v>
      </c>
      <c r="Y86" s="21">
        <f t="shared" si="12"/>
        <v>0</v>
      </c>
      <c r="Z86" s="21">
        <f t="shared" si="12"/>
        <v>0</v>
      </c>
      <c r="AA86" s="21">
        <f t="shared" si="12"/>
        <v>0</v>
      </c>
      <c r="AB86" s="21">
        <f t="shared" si="12"/>
        <v>0</v>
      </c>
      <c r="AC86" s="21">
        <f t="shared" si="12"/>
        <v>0</v>
      </c>
      <c r="AD86" s="21">
        <f t="shared" si="12"/>
        <v>0</v>
      </c>
      <c r="AE86" s="21">
        <f t="shared" si="12"/>
        <v>0</v>
      </c>
      <c r="AF86" s="21">
        <f t="shared" si="12"/>
        <v>0</v>
      </c>
      <c r="AG86" s="21">
        <f t="shared" si="12"/>
        <v>0</v>
      </c>
      <c r="AH86" s="21">
        <f t="shared" si="12"/>
        <v>0</v>
      </c>
      <c r="AI86" s="21">
        <f t="shared" si="12"/>
        <v>0</v>
      </c>
      <c r="AJ86" s="21">
        <f t="shared" si="12"/>
        <v>0</v>
      </c>
      <c r="AK86" s="21">
        <f t="shared" si="12"/>
        <v>0</v>
      </c>
      <c r="AL86" s="21">
        <f t="shared" si="12"/>
        <v>0</v>
      </c>
      <c r="AM86" s="21">
        <f t="shared" si="12"/>
        <v>0</v>
      </c>
      <c r="AN86" s="21">
        <f t="shared" si="12"/>
        <v>0</v>
      </c>
      <c r="AO86" s="21">
        <f t="shared" si="12"/>
        <v>0</v>
      </c>
      <c r="AP86" s="21">
        <f t="shared" si="12"/>
        <v>0</v>
      </c>
      <c r="AQ86" s="21">
        <f t="shared" si="12"/>
        <v>0</v>
      </c>
      <c r="AR86" s="21">
        <f t="shared" si="12"/>
        <v>0</v>
      </c>
      <c r="AS86" s="21">
        <f t="shared" si="12"/>
        <v>0</v>
      </c>
      <c r="AT86" s="21">
        <f t="shared" si="12"/>
        <v>0</v>
      </c>
      <c r="AU86" s="21">
        <f t="shared" si="12"/>
        <v>0</v>
      </c>
      <c r="AV86" s="21">
        <f t="shared" si="12"/>
        <v>0</v>
      </c>
      <c r="AW86" s="21">
        <f t="shared" si="12"/>
        <v>0</v>
      </c>
      <c r="AX86" s="21">
        <f t="shared" si="12"/>
        <v>0</v>
      </c>
      <c r="AY86" s="21">
        <f t="shared" si="12"/>
        <v>0</v>
      </c>
      <c r="AZ86" s="21">
        <f t="shared" si="12"/>
        <v>0</v>
      </c>
      <c r="BA86" s="21">
        <f t="shared" si="12"/>
        <v>0</v>
      </c>
      <c r="BB86" s="21">
        <f t="shared" si="8"/>
        <v>0</v>
      </c>
    </row>
    <row r="87" spans="1:54">
      <c r="A87" s="456"/>
      <c r="B87" s="228">
        <v>2027</v>
      </c>
      <c r="C87" s="21">
        <f t="shared" si="6"/>
        <v>0</v>
      </c>
      <c r="D87" s="21">
        <f t="shared" si="12"/>
        <v>0</v>
      </c>
      <c r="E87" s="21">
        <f t="shared" si="12"/>
        <v>0</v>
      </c>
      <c r="F87" s="21">
        <f t="shared" si="12"/>
        <v>0</v>
      </c>
      <c r="G87" s="21">
        <f t="shared" si="12"/>
        <v>0</v>
      </c>
      <c r="H87" s="21">
        <f t="shared" si="12"/>
        <v>0</v>
      </c>
      <c r="I87" s="21">
        <f t="shared" si="12"/>
        <v>0</v>
      </c>
      <c r="J87" s="21">
        <f t="shared" si="12"/>
        <v>0</v>
      </c>
      <c r="K87" s="21">
        <f t="shared" si="12"/>
        <v>0</v>
      </c>
      <c r="L87" s="21">
        <f t="shared" si="12"/>
        <v>0</v>
      </c>
      <c r="M87" s="21">
        <f t="shared" si="12"/>
        <v>0</v>
      </c>
      <c r="N87" s="21">
        <f t="shared" si="12"/>
        <v>0</v>
      </c>
      <c r="O87" s="21">
        <f t="shared" si="12"/>
        <v>0</v>
      </c>
      <c r="P87" s="21">
        <f t="shared" si="12"/>
        <v>0</v>
      </c>
      <c r="Q87" s="21">
        <f t="shared" si="12"/>
        <v>0</v>
      </c>
      <c r="R87" s="21">
        <f t="shared" si="12"/>
        <v>0</v>
      </c>
      <c r="S87" s="21">
        <f t="shared" si="12"/>
        <v>0</v>
      </c>
      <c r="T87" s="21">
        <f t="shared" si="12"/>
        <v>0</v>
      </c>
      <c r="U87" s="21">
        <f t="shared" si="12"/>
        <v>0</v>
      </c>
      <c r="V87" s="21">
        <f t="shared" si="12"/>
        <v>0</v>
      </c>
      <c r="W87" s="21">
        <f t="shared" si="12"/>
        <v>0</v>
      </c>
      <c r="X87" s="21">
        <f t="shared" si="12"/>
        <v>0</v>
      </c>
      <c r="Y87" s="21">
        <f t="shared" si="12"/>
        <v>0</v>
      </c>
      <c r="Z87" s="21">
        <f t="shared" si="12"/>
        <v>0</v>
      </c>
      <c r="AA87" s="21">
        <f t="shared" si="12"/>
        <v>0</v>
      </c>
      <c r="AB87" s="21">
        <f t="shared" si="12"/>
        <v>0</v>
      </c>
      <c r="AC87" s="21">
        <f t="shared" si="12"/>
        <v>0</v>
      </c>
      <c r="AD87" s="21">
        <f t="shared" si="12"/>
        <v>0</v>
      </c>
      <c r="AE87" s="21">
        <f t="shared" si="12"/>
        <v>0</v>
      </c>
      <c r="AF87" s="21">
        <f t="shared" si="12"/>
        <v>0</v>
      </c>
      <c r="AG87" s="21">
        <f t="shared" si="12"/>
        <v>0</v>
      </c>
      <c r="AH87" s="21">
        <f t="shared" si="12"/>
        <v>0</v>
      </c>
      <c r="AI87" s="21">
        <f t="shared" si="12"/>
        <v>0</v>
      </c>
      <c r="AJ87" s="21">
        <f t="shared" si="12"/>
        <v>0</v>
      </c>
      <c r="AK87" s="21">
        <f t="shared" si="12"/>
        <v>0</v>
      </c>
      <c r="AL87" s="21">
        <f t="shared" si="12"/>
        <v>0</v>
      </c>
      <c r="AM87" s="21">
        <f t="shared" ref="D87:BA90" si="13">AM60*AM$36</f>
        <v>0</v>
      </c>
      <c r="AN87" s="21">
        <f t="shared" si="13"/>
        <v>0</v>
      </c>
      <c r="AO87" s="21">
        <f t="shared" si="13"/>
        <v>0</v>
      </c>
      <c r="AP87" s="21">
        <f t="shared" si="13"/>
        <v>0</v>
      </c>
      <c r="AQ87" s="21">
        <f t="shared" si="13"/>
        <v>0</v>
      </c>
      <c r="AR87" s="21">
        <f t="shared" si="13"/>
        <v>0</v>
      </c>
      <c r="AS87" s="21">
        <f t="shared" si="13"/>
        <v>0</v>
      </c>
      <c r="AT87" s="21">
        <f t="shared" si="13"/>
        <v>0</v>
      </c>
      <c r="AU87" s="21">
        <f t="shared" si="13"/>
        <v>0</v>
      </c>
      <c r="AV87" s="21">
        <f t="shared" si="13"/>
        <v>0</v>
      </c>
      <c r="AW87" s="21">
        <f t="shared" si="13"/>
        <v>0</v>
      </c>
      <c r="AX87" s="21">
        <f t="shared" si="13"/>
        <v>0</v>
      </c>
      <c r="AY87" s="21">
        <f t="shared" si="13"/>
        <v>0</v>
      </c>
      <c r="AZ87" s="21">
        <f t="shared" si="13"/>
        <v>0</v>
      </c>
      <c r="BA87" s="21">
        <f t="shared" si="13"/>
        <v>0</v>
      </c>
      <c r="BB87" s="21">
        <f t="shared" si="8"/>
        <v>0</v>
      </c>
    </row>
    <row r="88" spans="1:54">
      <c r="A88" s="456"/>
      <c r="B88" s="226">
        <v>2028</v>
      </c>
      <c r="C88" s="21">
        <f t="shared" si="6"/>
        <v>0</v>
      </c>
      <c r="D88" s="21">
        <f t="shared" si="13"/>
        <v>0</v>
      </c>
      <c r="E88" s="21">
        <f t="shared" si="13"/>
        <v>0</v>
      </c>
      <c r="F88" s="21">
        <f t="shared" si="13"/>
        <v>0</v>
      </c>
      <c r="G88" s="21">
        <f t="shared" si="13"/>
        <v>0</v>
      </c>
      <c r="H88" s="21">
        <f t="shared" si="13"/>
        <v>0</v>
      </c>
      <c r="I88" s="21">
        <f t="shared" si="13"/>
        <v>0</v>
      </c>
      <c r="J88" s="21">
        <f t="shared" si="13"/>
        <v>0</v>
      </c>
      <c r="K88" s="21">
        <f t="shared" si="13"/>
        <v>0</v>
      </c>
      <c r="L88" s="21">
        <f t="shared" si="13"/>
        <v>0</v>
      </c>
      <c r="M88" s="21">
        <f t="shared" si="13"/>
        <v>0</v>
      </c>
      <c r="N88" s="21">
        <f t="shared" si="13"/>
        <v>0</v>
      </c>
      <c r="O88" s="21">
        <f t="shared" si="13"/>
        <v>0</v>
      </c>
      <c r="P88" s="21">
        <f t="shared" si="13"/>
        <v>0</v>
      </c>
      <c r="Q88" s="21">
        <f t="shared" si="13"/>
        <v>0</v>
      </c>
      <c r="R88" s="21">
        <f t="shared" si="13"/>
        <v>0</v>
      </c>
      <c r="S88" s="21">
        <f t="shared" si="13"/>
        <v>0</v>
      </c>
      <c r="T88" s="21">
        <f t="shared" si="13"/>
        <v>0</v>
      </c>
      <c r="U88" s="21">
        <f t="shared" si="13"/>
        <v>0</v>
      </c>
      <c r="V88" s="21">
        <f t="shared" si="13"/>
        <v>0</v>
      </c>
      <c r="W88" s="21">
        <f t="shared" si="13"/>
        <v>0</v>
      </c>
      <c r="X88" s="21">
        <f t="shared" si="13"/>
        <v>0</v>
      </c>
      <c r="Y88" s="21">
        <f t="shared" si="13"/>
        <v>0</v>
      </c>
      <c r="Z88" s="21">
        <f t="shared" si="13"/>
        <v>0</v>
      </c>
      <c r="AA88" s="21">
        <f t="shared" si="13"/>
        <v>0</v>
      </c>
      <c r="AB88" s="21">
        <f t="shared" si="13"/>
        <v>0</v>
      </c>
      <c r="AC88" s="21">
        <f t="shared" si="13"/>
        <v>0</v>
      </c>
      <c r="AD88" s="21">
        <f t="shared" si="13"/>
        <v>0</v>
      </c>
      <c r="AE88" s="21">
        <f t="shared" si="13"/>
        <v>0</v>
      </c>
      <c r="AF88" s="21">
        <f t="shared" si="13"/>
        <v>0</v>
      </c>
      <c r="AG88" s="21">
        <f t="shared" si="13"/>
        <v>0</v>
      </c>
      <c r="AH88" s="21">
        <f t="shared" si="13"/>
        <v>0</v>
      </c>
      <c r="AI88" s="21">
        <f t="shared" si="13"/>
        <v>0</v>
      </c>
      <c r="AJ88" s="21">
        <f t="shared" si="13"/>
        <v>0</v>
      </c>
      <c r="AK88" s="21">
        <f t="shared" si="13"/>
        <v>0</v>
      </c>
      <c r="AL88" s="21">
        <f t="shared" si="13"/>
        <v>0</v>
      </c>
      <c r="AM88" s="21">
        <f t="shared" si="13"/>
        <v>0</v>
      </c>
      <c r="AN88" s="21">
        <f t="shared" si="13"/>
        <v>0</v>
      </c>
      <c r="AO88" s="21">
        <f t="shared" si="13"/>
        <v>0</v>
      </c>
      <c r="AP88" s="21">
        <f t="shared" si="13"/>
        <v>0</v>
      </c>
      <c r="AQ88" s="21">
        <f t="shared" si="13"/>
        <v>0</v>
      </c>
      <c r="AR88" s="21">
        <f t="shared" si="13"/>
        <v>0</v>
      </c>
      <c r="AS88" s="21">
        <f t="shared" si="13"/>
        <v>0</v>
      </c>
      <c r="AT88" s="21">
        <f t="shared" si="13"/>
        <v>0</v>
      </c>
      <c r="AU88" s="21">
        <f t="shared" si="13"/>
        <v>0</v>
      </c>
      <c r="AV88" s="21">
        <f t="shared" si="13"/>
        <v>0</v>
      </c>
      <c r="AW88" s="21">
        <f t="shared" si="13"/>
        <v>0</v>
      </c>
      <c r="AX88" s="21">
        <f t="shared" si="13"/>
        <v>0</v>
      </c>
      <c r="AY88" s="21">
        <f t="shared" si="13"/>
        <v>0</v>
      </c>
      <c r="AZ88" s="21">
        <f t="shared" si="13"/>
        <v>0</v>
      </c>
      <c r="BA88" s="21">
        <f t="shared" si="13"/>
        <v>0</v>
      </c>
      <c r="BB88" s="21">
        <f t="shared" si="8"/>
        <v>0</v>
      </c>
    </row>
    <row r="89" spans="1:54">
      <c r="A89" s="456"/>
      <c r="B89" s="228">
        <v>2029</v>
      </c>
      <c r="C89" s="21">
        <f t="shared" si="6"/>
        <v>0</v>
      </c>
      <c r="D89" s="21">
        <f t="shared" si="13"/>
        <v>0</v>
      </c>
      <c r="E89" s="21">
        <f t="shared" si="13"/>
        <v>0</v>
      </c>
      <c r="F89" s="21">
        <f t="shared" si="13"/>
        <v>0</v>
      </c>
      <c r="G89" s="21">
        <f t="shared" si="13"/>
        <v>0</v>
      </c>
      <c r="H89" s="21">
        <f t="shared" si="13"/>
        <v>0</v>
      </c>
      <c r="I89" s="21">
        <f t="shared" si="13"/>
        <v>0</v>
      </c>
      <c r="J89" s="21">
        <f t="shared" si="13"/>
        <v>0</v>
      </c>
      <c r="K89" s="21">
        <f t="shared" si="13"/>
        <v>0</v>
      </c>
      <c r="L89" s="21">
        <f t="shared" si="13"/>
        <v>0</v>
      </c>
      <c r="M89" s="21">
        <f t="shared" si="13"/>
        <v>0</v>
      </c>
      <c r="N89" s="21">
        <f t="shared" si="13"/>
        <v>0</v>
      </c>
      <c r="O89" s="21">
        <f t="shared" si="13"/>
        <v>0</v>
      </c>
      <c r="P89" s="21">
        <f t="shared" si="13"/>
        <v>0</v>
      </c>
      <c r="Q89" s="21">
        <f t="shared" si="13"/>
        <v>0</v>
      </c>
      <c r="R89" s="21">
        <f t="shared" si="13"/>
        <v>0</v>
      </c>
      <c r="S89" s="21">
        <f t="shared" si="13"/>
        <v>0</v>
      </c>
      <c r="T89" s="21">
        <f t="shared" si="13"/>
        <v>0</v>
      </c>
      <c r="U89" s="21">
        <f t="shared" si="13"/>
        <v>0</v>
      </c>
      <c r="V89" s="21">
        <f t="shared" si="13"/>
        <v>0</v>
      </c>
      <c r="W89" s="21">
        <f t="shared" si="13"/>
        <v>0</v>
      </c>
      <c r="X89" s="21">
        <f t="shared" si="13"/>
        <v>0</v>
      </c>
      <c r="Y89" s="21">
        <f t="shared" si="13"/>
        <v>0</v>
      </c>
      <c r="Z89" s="21">
        <f t="shared" si="13"/>
        <v>0</v>
      </c>
      <c r="AA89" s="21">
        <f t="shared" si="13"/>
        <v>0</v>
      </c>
      <c r="AB89" s="21">
        <f t="shared" si="13"/>
        <v>0</v>
      </c>
      <c r="AC89" s="21">
        <f t="shared" si="13"/>
        <v>0</v>
      </c>
      <c r="AD89" s="21">
        <f t="shared" si="13"/>
        <v>0</v>
      </c>
      <c r="AE89" s="21">
        <f t="shared" si="13"/>
        <v>0</v>
      </c>
      <c r="AF89" s="21">
        <f t="shared" si="13"/>
        <v>0</v>
      </c>
      <c r="AG89" s="21">
        <f t="shared" si="13"/>
        <v>0</v>
      </c>
      <c r="AH89" s="21">
        <f t="shared" si="13"/>
        <v>0</v>
      </c>
      <c r="AI89" s="21">
        <f t="shared" si="13"/>
        <v>0</v>
      </c>
      <c r="AJ89" s="21">
        <f t="shared" si="13"/>
        <v>0</v>
      </c>
      <c r="AK89" s="21">
        <f t="shared" si="13"/>
        <v>0</v>
      </c>
      <c r="AL89" s="21">
        <f t="shared" si="13"/>
        <v>0</v>
      </c>
      <c r="AM89" s="21">
        <f t="shared" si="13"/>
        <v>0</v>
      </c>
      <c r="AN89" s="21">
        <f t="shared" si="13"/>
        <v>0</v>
      </c>
      <c r="AO89" s="21">
        <f t="shared" si="13"/>
        <v>0</v>
      </c>
      <c r="AP89" s="21">
        <f t="shared" si="13"/>
        <v>0</v>
      </c>
      <c r="AQ89" s="21">
        <f t="shared" si="13"/>
        <v>0</v>
      </c>
      <c r="AR89" s="21">
        <f t="shared" si="13"/>
        <v>0</v>
      </c>
      <c r="AS89" s="21">
        <f t="shared" si="13"/>
        <v>0</v>
      </c>
      <c r="AT89" s="21">
        <f t="shared" si="13"/>
        <v>0</v>
      </c>
      <c r="AU89" s="21">
        <f t="shared" si="13"/>
        <v>0</v>
      </c>
      <c r="AV89" s="21">
        <f t="shared" si="13"/>
        <v>0</v>
      </c>
      <c r="AW89" s="21">
        <f t="shared" si="13"/>
        <v>0</v>
      </c>
      <c r="AX89" s="21">
        <f t="shared" si="13"/>
        <v>0</v>
      </c>
      <c r="AY89" s="21">
        <f t="shared" si="13"/>
        <v>0</v>
      </c>
      <c r="AZ89" s="21">
        <f t="shared" si="13"/>
        <v>0</v>
      </c>
      <c r="BA89" s="21">
        <f t="shared" si="13"/>
        <v>0</v>
      </c>
      <c r="BB89" s="21">
        <f t="shared" si="8"/>
        <v>0</v>
      </c>
    </row>
    <row r="90" spans="1:54">
      <c r="A90" s="456"/>
      <c r="B90" s="226">
        <v>2030</v>
      </c>
      <c r="C90" s="21">
        <f t="shared" si="6"/>
        <v>0</v>
      </c>
      <c r="D90" s="21">
        <f t="shared" si="13"/>
        <v>0</v>
      </c>
      <c r="E90" s="21">
        <f t="shared" si="13"/>
        <v>0</v>
      </c>
      <c r="F90" s="21">
        <f t="shared" si="13"/>
        <v>0</v>
      </c>
      <c r="G90" s="21">
        <f t="shared" si="13"/>
        <v>0</v>
      </c>
      <c r="H90" s="21">
        <f t="shared" si="13"/>
        <v>0</v>
      </c>
      <c r="I90" s="21">
        <f t="shared" si="13"/>
        <v>0</v>
      </c>
      <c r="J90" s="21">
        <f t="shared" si="13"/>
        <v>0</v>
      </c>
      <c r="K90" s="21">
        <f t="shared" si="13"/>
        <v>0</v>
      </c>
      <c r="L90" s="21">
        <f t="shared" si="13"/>
        <v>0</v>
      </c>
      <c r="M90" s="21">
        <f t="shared" si="13"/>
        <v>0</v>
      </c>
      <c r="N90" s="21">
        <f t="shared" si="13"/>
        <v>0</v>
      </c>
      <c r="O90" s="21">
        <f t="shared" si="13"/>
        <v>0</v>
      </c>
      <c r="P90" s="21">
        <f t="shared" si="13"/>
        <v>0</v>
      </c>
      <c r="Q90" s="21">
        <f t="shared" si="13"/>
        <v>0</v>
      </c>
      <c r="R90" s="21">
        <f t="shared" si="13"/>
        <v>0</v>
      </c>
      <c r="S90" s="21">
        <f t="shared" si="13"/>
        <v>0</v>
      </c>
      <c r="T90" s="21">
        <f t="shared" si="13"/>
        <v>0</v>
      </c>
      <c r="U90" s="21">
        <f t="shared" si="13"/>
        <v>0</v>
      </c>
      <c r="V90" s="21">
        <f t="shared" si="13"/>
        <v>0</v>
      </c>
      <c r="W90" s="21">
        <f t="shared" si="13"/>
        <v>0</v>
      </c>
      <c r="X90" s="21">
        <f t="shared" si="13"/>
        <v>0</v>
      </c>
      <c r="Y90" s="21">
        <f t="shared" si="13"/>
        <v>0</v>
      </c>
      <c r="Z90" s="21">
        <f t="shared" si="13"/>
        <v>0</v>
      </c>
      <c r="AA90" s="21">
        <f t="shared" si="13"/>
        <v>0</v>
      </c>
      <c r="AB90" s="21">
        <f t="shared" si="13"/>
        <v>0</v>
      </c>
      <c r="AC90" s="21">
        <f t="shared" si="13"/>
        <v>0</v>
      </c>
      <c r="AD90" s="21">
        <f t="shared" si="13"/>
        <v>0</v>
      </c>
      <c r="AE90" s="21">
        <f t="shared" si="13"/>
        <v>0</v>
      </c>
      <c r="AF90" s="21">
        <f t="shared" si="13"/>
        <v>0</v>
      </c>
      <c r="AG90" s="21">
        <f t="shared" si="13"/>
        <v>0</v>
      </c>
      <c r="AH90" s="21">
        <f t="shared" si="13"/>
        <v>0</v>
      </c>
      <c r="AI90" s="21">
        <f t="shared" si="13"/>
        <v>0</v>
      </c>
      <c r="AJ90" s="21">
        <f t="shared" si="13"/>
        <v>0</v>
      </c>
      <c r="AK90" s="21">
        <f t="shared" si="13"/>
        <v>0</v>
      </c>
      <c r="AL90" s="21">
        <f t="shared" si="13"/>
        <v>0</v>
      </c>
      <c r="AM90" s="21">
        <f t="shared" si="13"/>
        <v>0</v>
      </c>
      <c r="AN90" s="21">
        <f t="shared" si="13"/>
        <v>0</v>
      </c>
      <c r="AO90" s="21">
        <f t="shared" si="13"/>
        <v>0</v>
      </c>
      <c r="AP90" s="21">
        <f t="shared" si="13"/>
        <v>0</v>
      </c>
      <c r="AQ90" s="21">
        <f t="shared" si="13"/>
        <v>0</v>
      </c>
      <c r="AR90" s="21">
        <f t="shared" si="13"/>
        <v>0</v>
      </c>
      <c r="AS90" s="21">
        <f t="shared" si="13"/>
        <v>0</v>
      </c>
      <c r="AT90" s="21">
        <f t="shared" si="13"/>
        <v>0</v>
      </c>
      <c r="AU90" s="21">
        <f t="shared" si="13"/>
        <v>0</v>
      </c>
      <c r="AV90" s="21">
        <f t="shared" si="13"/>
        <v>0</v>
      </c>
      <c r="AW90" s="21">
        <f t="shared" si="13"/>
        <v>0</v>
      </c>
      <c r="AX90" s="21">
        <f t="shared" si="13"/>
        <v>0</v>
      </c>
      <c r="AY90" s="21">
        <f t="shared" si="13"/>
        <v>0</v>
      </c>
      <c r="AZ90" s="21">
        <f t="shared" si="13"/>
        <v>0</v>
      </c>
      <c r="BA90" s="21">
        <f t="shared" si="13"/>
        <v>0</v>
      </c>
      <c r="BB90" s="21">
        <f t="shared" si="8"/>
        <v>0</v>
      </c>
    </row>
    <row r="91" spans="1:54" s="63" customFormat="1"/>
    <row r="92" spans="1:54">
      <c r="A92" s="456" t="s">
        <v>231</v>
      </c>
      <c r="B92" s="226" t="s">
        <v>225</v>
      </c>
      <c r="C92" t="str">
        <f>C34</f>
        <v>AL</v>
      </c>
      <c r="D92" t="str">
        <f t="shared" ref="D92:BA92" si="14">D34</f>
        <v>AK</v>
      </c>
      <c r="E92" t="str">
        <f t="shared" si="14"/>
        <v>AZ</v>
      </c>
      <c r="F92" t="str">
        <f t="shared" si="14"/>
        <v>AR</v>
      </c>
      <c r="G92" t="str">
        <f t="shared" si="14"/>
        <v>CA</v>
      </c>
      <c r="H92" t="str">
        <f t="shared" si="14"/>
        <v>CO</v>
      </c>
      <c r="I92" t="str">
        <f t="shared" si="14"/>
        <v>CT</v>
      </c>
      <c r="J92" t="str">
        <f t="shared" si="14"/>
        <v>DE</v>
      </c>
      <c r="K92" t="str">
        <f t="shared" si="14"/>
        <v>DC</v>
      </c>
      <c r="L92" t="str">
        <f t="shared" si="14"/>
        <v>FL</v>
      </c>
      <c r="M92" t="str">
        <f t="shared" si="14"/>
        <v>GA</v>
      </c>
      <c r="N92" t="str">
        <f t="shared" si="14"/>
        <v>HI</v>
      </c>
      <c r="O92" t="str">
        <f t="shared" si="14"/>
        <v>ID</v>
      </c>
      <c r="P92" t="str">
        <f t="shared" si="14"/>
        <v>IL</v>
      </c>
      <c r="Q92" t="str">
        <f t="shared" si="14"/>
        <v>IN</v>
      </c>
      <c r="R92" t="str">
        <f t="shared" si="14"/>
        <v>IA</v>
      </c>
      <c r="S92" t="str">
        <f t="shared" si="14"/>
        <v>KS</v>
      </c>
      <c r="T92" t="str">
        <f t="shared" si="14"/>
        <v>KY</v>
      </c>
      <c r="U92" t="str">
        <f t="shared" si="14"/>
        <v>LA</v>
      </c>
      <c r="V92" t="str">
        <f t="shared" si="14"/>
        <v>ME</v>
      </c>
      <c r="W92" t="str">
        <f t="shared" si="14"/>
        <v>MD</v>
      </c>
      <c r="X92" t="str">
        <f t="shared" si="14"/>
        <v>MA</v>
      </c>
      <c r="Y92" t="str">
        <f t="shared" si="14"/>
        <v>MI</v>
      </c>
      <c r="Z92" t="str">
        <f t="shared" si="14"/>
        <v>MN</v>
      </c>
      <c r="AA92" t="str">
        <f t="shared" si="14"/>
        <v>MS</v>
      </c>
      <c r="AB92" t="str">
        <f t="shared" si="14"/>
        <v>MO</v>
      </c>
      <c r="AC92" t="str">
        <f t="shared" si="14"/>
        <v>MT</v>
      </c>
      <c r="AD92" t="str">
        <f t="shared" si="14"/>
        <v>NE</v>
      </c>
      <c r="AE92" t="str">
        <f t="shared" si="14"/>
        <v>NV</v>
      </c>
      <c r="AF92" t="str">
        <f t="shared" si="14"/>
        <v>NH</v>
      </c>
      <c r="AG92" t="str">
        <f t="shared" si="14"/>
        <v>NJ</v>
      </c>
      <c r="AH92" t="str">
        <f t="shared" si="14"/>
        <v>NM</v>
      </c>
      <c r="AI92" t="str">
        <f t="shared" si="14"/>
        <v>NY</v>
      </c>
      <c r="AJ92" t="str">
        <f t="shared" si="14"/>
        <v>NC</v>
      </c>
      <c r="AK92" t="str">
        <f t="shared" si="14"/>
        <v>ND</v>
      </c>
      <c r="AL92" t="str">
        <f t="shared" si="14"/>
        <v>OH</v>
      </c>
      <c r="AM92" t="str">
        <f t="shared" si="14"/>
        <v>OK</v>
      </c>
      <c r="AN92" t="str">
        <f t="shared" si="14"/>
        <v>OR</v>
      </c>
      <c r="AO92" t="str">
        <f t="shared" si="14"/>
        <v>PA</v>
      </c>
      <c r="AP92" t="str">
        <f t="shared" si="14"/>
        <v>RI</v>
      </c>
      <c r="AQ92" t="str">
        <f t="shared" si="14"/>
        <v>SC</v>
      </c>
      <c r="AR92" t="str">
        <f t="shared" si="14"/>
        <v>SD</v>
      </c>
      <c r="AS92" t="str">
        <f t="shared" si="14"/>
        <v>TN</v>
      </c>
      <c r="AT92" t="str">
        <f t="shared" si="14"/>
        <v>TX</v>
      </c>
      <c r="AU92" t="str">
        <f t="shared" si="14"/>
        <v>UT</v>
      </c>
      <c r="AV92" t="str">
        <f t="shared" si="14"/>
        <v>VT</v>
      </c>
      <c r="AW92" t="str">
        <f t="shared" si="14"/>
        <v>VA</v>
      </c>
      <c r="AX92" t="str">
        <f t="shared" si="14"/>
        <v>WA</v>
      </c>
      <c r="AY92" t="str">
        <f t="shared" si="14"/>
        <v>WV</v>
      </c>
      <c r="AZ92" t="str">
        <f t="shared" si="14"/>
        <v>WI</v>
      </c>
      <c r="BA92" t="str">
        <f t="shared" si="14"/>
        <v>WY</v>
      </c>
      <c r="BB92" t="s">
        <v>96</v>
      </c>
    </row>
    <row r="93" spans="1:54">
      <c r="A93" s="456"/>
      <c r="B93" s="226" t="s">
        <v>11</v>
      </c>
    </row>
    <row r="94" spans="1:54">
      <c r="A94" s="456"/>
      <c r="B94" s="228">
        <v>2007</v>
      </c>
      <c r="C94" s="21">
        <f t="shared" ref="C94:AH94" si="15">C40*Indoor_savings_year_WaterSense_labeled_home</f>
        <v>0</v>
      </c>
      <c r="D94" s="21">
        <f t="shared" si="15"/>
        <v>0</v>
      </c>
      <c r="E94" s="21">
        <f t="shared" si="15"/>
        <v>0</v>
      </c>
      <c r="F94" s="21">
        <f t="shared" si="15"/>
        <v>0</v>
      </c>
      <c r="G94" s="21">
        <f t="shared" si="15"/>
        <v>0</v>
      </c>
      <c r="H94" s="21">
        <f t="shared" si="15"/>
        <v>0</v>
      </c>
      <c r="I94" s="21">
        <f t="shared" si="15"/>
        <v>0</v>
      </c>
      <c r="J94" s="21">
        <f t="shared" si="15"/>
        <v>0</v>
      </c>
      <c r="K94" s="21">
        <f t="shared" si="15"/>
        <v>0</v>
      </c>
      <c r="L94" s="21">
        <f t="shared" si="15"/>
        <v>0</v>
      </c>
      <c r="M94" s="21">
        <f t="shared" si="15"/>
        <v>0</v>
      </c>
      <c r="N94" s="21">
        <f t="shared" si="15"/>
        <v>0</v>
      </c>
      <c r="O94" s="21">
        <f t="shared" si="15"/>
        <v>0</v>
      </c>
      <c r="P94" s="21">
        <f t="shared" si="15"/>
        <v>0</v>
      </c>
      <c r="Q94" s="21">
        <f t="shared" si="15"/>
        <v>0</v>
      </c>
      <c r="R94" s="21">
        <f t="shared" si="15"/>
        <v>0</v>
      </c>
      <c r="S94" s="21">
        <f t="shared" si="15"/>
        <v>0</v>
      </c>
      <c r="T94" s="21">
        <f t="shared" si="15"/>
        <v>0</v>
      </c>
      <c r="U94" s="21">
        <f t="shared" si="15"/>
        <v>0</v>
      </c>
      <c r="V94" s="21">
        <f t="shared" si="15"/>
        <v>0</v>
      </c>
      <c r="W94" s="21">
        <f t="shared" si="15"/>
        <v>0</v>
      </c>
      <c r="X94" s="21">
        <f t="shared" si="15"/>
        <v>0</v>
      </c>
      <c r="Y94" s="21">
        <f t="shared" si="15"/>
        <v>0</v>
      </c>
      <c r="Z94" s="21">
        <f t="shared" si="15"/>
        <v>0</v>
      </c>
      <c r="AA94" s="21">
        <f t="shared" si="15"/>
        <v>0</v>
      </c>
      <c r="AB94" s="21">
        <f t="shared" si="15"/>
        <v>0</v>
      </c>
      <c r="AC94" s="21">
        <f t="shared" si="15"/>
        <v>0</v>
      </c>
      <c r="AD94" s="21">
        <f t="shared" si="15"/>
        <v>0</v>
      </c>
      <c r="AE94" s="21">
        <f t="shared" si="15"/>
        <v>0</v>
      </c>
      <c r="AF94" s="21">
        <f t="shared" si="15"/>
        <v>0</v>
      </c>
      <c r="AG94" s="21">
        <f t="shared" si="15"/>
        <v>0</v>
      </c>
      <c r="AH94" s="21">
        <f t="shared" si="15"/>
        <v>0</v>
      </c>
      <c r="AI94" s="21">
        <f t="shared" ref="AI94:BA94" si="16">AI40*Indoor_savings_year_WaterSense_labeled_home</f>
        <v>0</v>
      </c>
      <c r="AJ94" s="21">
        <f t="shared" si="16"/>
        <v>0</v>
      </c>
      <c r="AK94" s="21">
        <f t="shared" si="16"/>
        <v>0</v>
      </c>
      <c r="AL94" s="21">
        <f t="shared" si="16"/>
        <v>0</v>
      </c>
      <c r="AM94" s="21">
        <f t="shared" si="16"/>
        <v>0</v>
      </c>
      <c r="AN94" s="21">
        <f t="shared" si="16"/>
        <v>0</v>
      </c>
      <c r="AO94" s="21">
        <f t="shared" si="16"/>
        <v>0</v>
      </c>
      <c r="AP94" s="21">
        <f t="shared" si="16"/>
        <v>0</v>
      </c>
      <c r="AQ94" s="21">
        <f t="shared" si="16"/>
        <v>0</v>
      </c>
      <c r="AR94" s="21">
        <f t="shared" si="16"/>
        <v>0</v>
      </c>
      <c r="AS94" s="21">
        <f t="shared" si="16"/>
        <v>0</v>
      </c>
      <c r="AT94" s="21">
        <f t="shared" si="16"/>
        <v>0</v>
      </c>
      <c r="AU94" s="21">
        <f t="shared" si="16"/>
        <v>0</v>
      </c>
      <c r="AV94" s="21">
        <f t="shared" si="16"/>
        <v>0</v>
      </c>
      <c r="AW94" s="21">
        <f t="shared" si="16"/>
        <v>0</v>
      </c>
      <c r="AX94" s="21">
        <f t="shared" si="16"/>
        <v>0</v>
      </c>
      <c r="AY94" s="21">
        <f t="shared" si="16"/>
        <v>0</v>
      </c>
      <c r="AZ94" s="21">
        <f t="shared" si="16"/>
        <v>0</v>
      </c>
      <c r="BA94" s="21">
        <f t="shared" si="16"/>
        <v>0</v>
      </c>
      <c r="BB94" s="21">
        <f t="shared" ref="BB94:BB117" si="17">SUM(C94:BA94)</f>
        <v>0</v>
      </c>
    </row>
    <row r="95" spans="1:54">
      <c r="A95" s="456"/>
      <c r="B95" s="226">
        <v>2008</v>
      </c>
      <c r="C95" s="21">
        <f t="shared" ref="C95:AH95" si="18">C41*Indoor_savings_year_WaterSense_labeled_home</f>
        <v>0</v>
      </c>
      <c r="D95" s="21">
        <f t="shared" si="18"/>
        <v>0</v>
      </c>
      <c r="E95" s="21">
        <f t="shared" si="18"/>
        <v>0</v>
      </c>
      <c r="F95" s="21">
        <f t="shared" si="18"/>
        <v>0</v>
      </c>
      <c r="G95" s="21">
        <f t="shared" si="18"/>
        <v>0</v>
      </c>
      <c r="H95" s="21">
        <f t="shared" si="18"/>
        <v>0</v>
      </c>
      <c r="I95" s="21">
        <f t="shared" si="18"/>
        <v>0</v>
      </c>
      <c r="J95" s="21">
        <f t="shared" si="18"/>
        <v>0</v>
      </c>
      <c r="K95" s="21">
        <f t="shared" si="18"/>
        <v>0</v>
      </c>
      <c r="L95" s="21">
        <f t="shared" si="18"/>
        <v>0</v>
      </c>
      <c r="M95" s="21">
        <f t="shared" si="18"/>
        <v>0</v>
      </c>
      <c r="N95" s="21">
        <f t="shared" si="18"/>
        <v>0</v>
      </c>
      <c r="O95" s="21">
        <f t="shared" si="18"/>
        <v>0</v>
      </c>
      <c r="P95" s="21">
        <f t="shared" si="18"/>
        <v>0</v>
      </c>
      <c r="Q95" s="21">
        <f t="shared" si="18"/>
        <v>0</v>
      </c>
      <c r="R95" s="21">
        <f t="shared" si="18"/>
        <v>0</v>
      </c>
      <c r="S95" s="21">
        <f t="shared" si="18"/>
        <v>0</v>
      </c>
      <c r="T95" s="21">
        <f t="shared" si="18"/>
        <v>0</v>
      </c>
      <c r="U95" s="21">
        <f t="shared" si="18"/>
        <v>0</v>
      </c>
      <c r="V95" s="21">
        <f t="shared" si="18"/>
        <v>0</v>
      </c>
      <c r="W95" s="21">
        <f t="shared" si="18"/>
        <v>0</v>
      </c>
      <c r="X95" s="21">
        <f t="shared" si="18"/>
        <v>0</v>
      </c>
      <c r="Y95" s="21">
        <f t="shared" si="18"/>
        <v>0</v>
      </c>
      <c r="Z95" s="21">
        <f t="shared" si="18"/>
        <v>0</v>
      </c>
      <c r="AA95" s="21">
        <f t="shared" si="18"/>
        <v>0</v>
      </c>
      <c r="AB95" s="21">
        <f t="shared" si="18"/>
        <v>0</v>
      </c>
      <c r="AC95" s="21">
        <f t="shared" si="18"/>
        <v>0</v>
      </c>
      <c r="AD95" s="21">
        <f t="shared" si="18"/>
        <v>0</v>
      </c>
      <c r="AE95" s="21">
        <f t="shared" si="18"/>
        <v>0</v>
      </c>
      <c r="AF95" s="21">
        <f t="shared" si="18"/>
        <v>0</v>
      </c>
      <c r="AG95" s="21">
        <f t="shared" si="18"/>
        <v>0</v>
      </c>
      <c r="AH95" s="21">
        <f t="shared" si="18"/>
        <v>0</v>
      </c>
      <c r="AI95" s="21">
        <f t="shared" ref="AI95:BA95" si="19">AI41*Indoor_savings_year_WaterSense_labeled_home</f>
        <v>0</v>
      </c>
      <c r="AJ95" s="21">
        <f t="shared" si="19"/>
        <v>0</v>
      </c>
      <c r="AK95" s="21">
        <f t="shared" si="19"/>
        <v>0</v>
      </c>
      <c r="AL95" s="21">
        <f t="shared" si="19"/>
        <v>0</v>
      </c>
      <c r="AM95" s="21">
        <f t="shared" si="19"/>
        <v>0</v>
      </c>
      <c r="AN95" s="21">
        <f t="shared" si="19"/>
        <v>0</v>
      </c>
      <c r="AO95" s="21">
        <f t="shared" si="19"/>
        <v>0</v>
      </c>
      <c r="AP95" s="21">
        <f t="shared" si="19"/>
        <v>0</v>
      </c>
      <c r="AQ95" s="21">
        <f t="shared" si="19"/>
        <v>0</v>
      </c>
      <c r="AR95" s="21">
        <f t="shared" si="19"/>
        <v>0</v>
      </c>
      <c r="AS95" s="21">
        <f t="shared" si="19"/>
        <v>0</v>
      </c>
      <c r="AT95" s="21">
        <f t="shared" si="19"/>
        <v>0</v>
      </c>
      <c r="AU95" s="21">
        <f t="shared" si="19"/>
        <v>0</v>
      </c>
      <c r="AV95" s="21">
        <f t="shared" si="19"/>
        <v>0</v>
      </c>
      <c r="AW95" s="21">
        <f t="shared" si="19"/>
        <v>0</v>
      </c>
      <c r="AX95" s="21">
        <f t="shared" si="19"/>
        <v>0</v>
      </c>
      <c r="AY95" s="21">
        <f t="shared" si="19"/>
        <v>0</v>
      </c>
      <c r="AZ95" s="21">
        <f t="shared" si="19"/>
        <v>0</v>
      </c>
      <c r="BA95" s="21">
        <f t="shared" si="19"/>
        <v>0</v>
      </c>
      <c r="BB95" s="21">
        <f t="shared" si="17"/>
        <v>0</v>
      </c>
    </row>
    <row r="96" spans="1:54">
      <c r="A96" s="456"/>
      <c r="B96" s="228">
        <v>2009</v>
      </c>
      <c r="C96" s="21">
        <f t="shared" ref="C96:AH96" si="20">C42*Indoor_savings_year_WaterSense_labeled_home</f>
        <v>0</v>
      </c>
      <c r="D96" s="21">
        <f t="shared" si="20"/>
        <v>0</v>
      </c>
      <c r="E96" s="21">
        <f t="shared" si="20"/>
        <v>0</v>
      </c>
      <c r="F96" s="21">
        <f t="shared" si="20"/>
        <v>0</v>
      </c>
      <c r="G96" s="21">
        <f t="shared" si="20"/>
        <v>0</v>
      </c>
      <c r="H96" s="21">
        <f t="shared" si="20"/>
        <v>0</v>
      </c>
      <c r="I96" s="21">
        <f t="shared" si="20"/>
        <v>0</v>
      </c>
      <c r="J96" s="21">
        <f t="shared" si="20"/>
        <v>0</v>
      </c>
      <c r="K96" s="21">
        <f t="shared" si="20"/>
        <v>0</v>
      </c>
      <c r="L96" s="21">
        <f t="shared" si="20"/>
        <v>0</v>
      </c>
      <c r="M96" s="21">
        <f t="shared" si="20"/>
        <v>0</v>
      </c>
      <c r="N96" s="21">
        <f t="shared" si="20"/>
        <v>0</v>
      </c>
      <c r="O96" s="21">
        <f t="shared" si="20"/>
        <v>0</v>
      </c>
      <c r="P96" s="21">
        <f t="shared" si="20"/>
        <v>0</v>
      </c>
      <c r="Q96" s="21">
        <f t="shared" si="20"/>
        <v>0</v>
      </c>
      <c r="R96" s="21">
        <f t="shared" si="20"/>
        <v>0</v>
      </c>
      <c r="S96" s="21">
        <f t="shared" si="20"/>
        <v>0</v>
      </c>
      <c r="T96" s="21">
        <f t="shared" si="20"/>
        <v>0</v>
      </c>
      <c r="U96" s="21">
        <f t="shared" si="20"/>
        <v>0</v>
      </c>
      <c r="V96" s="21">
        <f t="shared" si="20"/>
        <v>0</v>
      </c>
      <c r="W96" s="21">
        <f t="shared" si="20"/>
        <v>0</v>
      </c>
      <c r="X96" s="21">
        <f t="shared" si="20"/>
        <v>0</v>
      </c>
      <c r="Y96" s="21">
        <f t="shared" si="20"/>
        <v>0</v>
      </c>
      <c r="Z96" s="21">
        <f t="shared" si="20"/>
        <v>0</v>
      </c>
      <c r="AA96" s="21">
        <f t="shared" si="20"/>
        <v>0</v>
      </c>
      <c r="AB96" s="21">
        <f t="shared" si="20"/>
        <v>0</v>
      </c>
      <c r="AC96" s="21">
        <f t="shared" si="20"/>
        <v>0</v>
      </c>
      <c r="AD96" s="21">
        <f t="shared" si="20"/>
        <v>0</v>
      </c>
      <c r="AE96" s="21">
        <f t="shared" si="20"/>
        <v>0</v>
      </c>
      <c r="AF96" s="21">
        <f t="shared" si="20"/>
        <v>0</v>
      </c>
      <c r="AG96" s="21">
        <f t="shared" si="20"/>
        <v>0</v>
      </c>
      <c r="AH96" s="21">
        <f t="shared" si="20"/>
        <v>0</v>
      </c>
      <c r="AI96" s="21">
        <f t="shared" ref="AI96:BA96" si="21">AI42*Indoor_savings_year_WaterSense_labeled_home</f>
        <v>0</v>
      </c>
      <c r="AJ96" s="21">
        <f t="shared" si="21"/>
        <v>0</v>
      </c>
      <c r="AK96" s="21">
        <f t="shared" si="21"/>
        <v>0</v>
      </c>
      <c r="AL96" s="21">
        <f t="shared" si="21"/>
        <v>0</v>
      </c>
      <c r="AM96" s="21">
        <f t="shared" si="21"/>
        <v>0</v>
      </c>
      <c r="AN96" s="21">
        <f t="shared" si="21"/>
        <v>0</v>
      </c>
      <c r="AO96" s="21">
        <f t="shared" si="21"/>
        <v>0</v>
      </c>
      <c r="AP96" s="21">
        <f t="shared" si="21"/>
        <v>0</v>
      </c>
      <c r="AQ96" s="21">
        <f t="shared" si="21"/>
        <v>0</v>
      </c>
      <c r="AR96" s="21">
        <f t="shared" si="21"/>
        <v>0</v>
      </c>
      <c r="AS96" s="21">
        <f t="shared" si="21"/>
        <v>0</v>
      </c>
      <c r="AT96" s="21">
        <f t="shared" si="21"/>
        <v>0</v>
      </c>
      <c r="AU96" s="21">
        <f t="shared" si="21"/>
        <v>0</v>
      </c>
      <c r="AV96" s="21">
        <f t="shared" si="21"/>
        <v>0</v>
      </c>
      <c r="AW96" s="21">
        <f t="shared" si="21"/>
        <v>0</v>
      </c>
      <c r="AX96" s="21">
        <f t="shared" si="21"/>
        <v>0</v>
      </c>
      <c r="AY96" s="21">
        <f t="shared" si="21"/>
        <v>0</v>
      </c>
      <c r="AZ96" s="21">
        <f t="shared" si="21"/>
        <v>0</v>
      </c>
      <c r="BA96" s="21">
        <f t="shared" si="21"/>
        <v>0</v>
      </c>
      <c r="BB96" s="21">
        <f t="shared" si="17"/>
        <v>0</v>
      </c>
    </row>
    <row r="97" spans="1:54">
      <c r="A97" s="456"/>
      <c r="B97" s="226">
        <v>2010</v>
      </c>
      <c r="C97" s="21">
        <f t="shared" ref="C97:AH97" si="22">C43*Indoor_savings_year_WaterSense_labeled_home</f>
        <v>0</v>
      </c>
      <c r="D97" s="21">
        <f t="shared" si="22"/>
        <v>0</v>
      </c>
      <c r="E97" s="21">
        <f t="shared" si="22"/>
        <v>0</v>
      </c>
      <c r="F97" s="21">
        <f t="shared" si="22"/>
        <v>0</v>
      </c>
      <c r="G97" s="21">
        <f t="shared" si="22"/>
        <v>0</v>
      </c>
      <c r="H97" s="21">
        <f t="shared" si="22"/>
        <v>0</v>
      </c>
      <c r="I97" s="21">
        <f t="shared" si="22"/>
        <v>0</v>
      </c>
      <c r="J97" s="21">
        <f t="shared" si="22"/>
        <v>0</v>
      </c>
      <c r="K97" s="21">
        <f t="shared" si="22"/>
        <v>0</v>
      </c>
      <c r="L97" s="21">
        <f t="shared" si="22"/>
        <v>0</v>
      </c>
      <c r="M97" s="21">
        <f t="shared" si="22"/>
        <v>0</v>
      </c>
      <c r="N97" s="21">
        <f t="shared" si="22"/>
        <v>0</v>
      </c>
      <c r="O97" s="21">
        <f t="shared" si="22"/>
        <v>0</v>
      </c>
      <c r="P97" s="21">
        <f t="shared" si="22"/>
        <v>0</v>
      </c>
      <c r="Q97" s="21">
        <f t="shared" si="22"/>
        <v>0</v>
      </c>
      <c r="R97" s="21">
        <f t="shared" si="22"/>
        <v>0</v>
      </c>
      <c r="S97" s="21">
        <f t="shared" si="22"/>
        <v>0</v>
      </c>
      <c r="T97" s="21">
        <f t="shared" si="22"/>
        <v>0</v>
      </c>
      <c r="U97" s="21">
        <f t="shared" si="22"/>
        <v>0</v>
      </c>
      <c r="V97" s="21">
        <f t="shared" si="22"/>
        <v>0</v>
      </c>
      <c r="W97" s="21">
        <f t="shared" si="22"/>
        <v>0</v>
      </c>
      <c r="X97" s="21">
        <f t="shared" si="22"/>
        <v>0</v>
      </c>
      <c r="Y97" s="21">
        <f t="shared" si="22"/>
        <v>0</v>
      </c>
      <c r="Z97" s="21">
        <f t="shared" si="22"/>
        <v>0</v>
      </c>
      <c r="AA97" s="21">
        <f t="shared" si="22"/>
        <v>0</v>
      </c>
      <c r="AB97" s="21">
        <f t="shared" si="22"/>
        <v>0</v>
      </c>
      <c r="AC97" s="21">
        <f t="shared" si="22"/>
        <v>0</v>
      </c>
      <c r="AD97" s="21">
        <f t="shared" si="22"/>
        <v>0</v>
      </c>
      <c r="AE97" s="21">
        <f t="shared" si="22"/>
        <v>0</v>
      </c>
      <c r="AF97" s="21">
        <f t="shared" si="22"/>
        <v>0</v>
      </c>
      <c r="AG97" s="21">
        <f t="shared" si="22"/>
        <v>0</v>
      </c>
      <c r="AH97" s="21">
        <f t="shared" si="22"/>
        <v>0</v>
      </c>
      <c r="AI97" s="21">
        <f t="shared" ref="AI97:BA97" si="23">AI43*Indoor_savings_year_WaterSense_labeled_home</f>
        <v>0</v>
      </c>
      <c r="AJ97" s="21">
        <f t="shared" si="23"/>
        <v>0</v>
      </c>
      <c r="AK97" s="21">
        <f t="shared" si="23"/>
        <v>0</v>
      </c>
      <c r="AL97" s="21">
        <f t="shared" si="23"/>
        <v>0</v>
      </c>
      <c r="AM97" s="21">
        <f t="shared" si="23"/>
        <v>0</v>
      </c>
      <c r="AN97" s="21">
        <f t="shared" si="23"/>
        <v>0</v>
      </c>
      <c r="AO97" s="21">
        <f t="shared" si="23"/>
        <v>0</v>
      </c>
      <c r="AP97" s="21">
        <f t="shared" si="23"/>
        <v>0</v>
      </c>
      <c r="AQ97" s="21">
        <f t="shared" si="23"/>
        <v>0</v>
      </c>
      <c r="AR97" s="21">
        <f t="shared" si="23"/>
        <v>0</v>
      </c>
      <c r="AS97" s="21">
        <f t="shared" si="23"/>
        <v>0</v>
      </c>
      <c r="AT97" s="21">
        <f t="shared" si="23"/>
        <v>0</v>
      </c>
      <c r="AU97" s="21">
        <f t="shared" si="23"/>
        <v>0</v>
      </c>
      <c r="AV97" s="21">
        <f t="shared" si="23"/>
        <v>0</v>
      </c>
      <c r="AW97" s="21">
        <f t="shared" si="23"/>
        <v>0</v>
      </c>
      <c r="AX97" s="21">
        <f t="shared" si="23"/>
        <v>0</v>
      </c>
      <c r="AY97" s="21">
        <f t="shared" si="23"/>
        <v>0</v>
      </c>
      <c r="AZ97" s="21">
        <f t="shared" si="23"/>
        <v>0</v>
      </c>
      <c r="BA97" s="21">
        <f t="shared" si="23"/>
        <v>0</v>
      </c>
      <c r="BB97" s="21">
        <f t="shared" si="17"/>
        <v>0</v>
      </c>
    </row>
    <row r="98" spans="1:54">
      <c r="A98" s="456"/>
      <c r="B98" s="228">
        <v>2011</v>
      </c>
      <c r="C98" s="21">
        <f t="shared" ref="C98:AH98" si="24">C44*Indoor_savings_year_WaterSense_labeled_home</f>
        <v>0</v>
      </c>
      <c r="D98" s="21">
        <f t="shared" si="24"/>
        <v>0</v>
      </c>
      <c r="E98" s="21">
        <f t="shared" si="24"/>
        <v>0</v>
      </c>
      <c r="F98" s="21">
        <f t="shared" si="24"/>
        <v>0</v>
      </c>
      <c r="G98" s="21">
        <f t="shared" si="24"/>
        <v>0</v>
      </c>
      <c r="H98" s="21">
        <f t="shared" si="24"/>
        <v>0</v>
      </c>
      <c r="I98" s="21">
        <f t="shared" si="24"/>
        <v>0</v>
      </c>
      <c r="J98" s="21">
        <f t="shared" si="24"/>
        <v>0</v>
      </c>
      <c r="K98" s="21">
        <f t="shared" si="24"/>
        <v>0</v>
      </c>
      <c r="L98" s="21">
        <f t="shared" si="24"/>
        <v>0</v>
      </c>
      <c r="M98" s="21">
        <f t="shared" si="24"/>
        <v>0</v>
      </c>
      <c r="N98" s="21">
        <f t="shared" si="24"/>
        <v>0</v>
      </c>
      <c r="O98" s="21">
        <f t="shared" si="24"/>
        <v>0</v>
      </c>
      <c r="P98" s="21">
        <f t="shared" si="24"/>
        <v>0</v>
      </c>
      <c r="Q98" s="21">
        <f t="shared" si="24"/>
        <v>0</v>
      </c>
      <c r="R98" s="21">
        <f t="shared" si="24"/>
        <v>0</v>
      </c>
      <c r="S98" s="21">
        <f t="shared" si="24"/>
        <v>0</v>
      </c>
      <c r="T98" s="21">
        <f t="shared" si="24"/>
        <v>0</v>
      </c>
      <c r="U98" s="21">
        <f t="shared" si="24"/>
        <v>0</v>
      </c>
      <c r="V98" s="21">
        <f t="shared" si="24"/>
        <v>0</v>
      </c>
      <c r="W98" s="21">
        <f t="shared" si="24"/>
        <v>0</v>
      </c>
      <c r="X98" s="21">
        <f t="shared" si="24"/>
        <v>0</v>
      </c>
      <c r="Y98" s="21">
        <f t="shared" si="24"/>
        <v>0</v>
      </c>
      <c r="Z98" s="21">
        <f t="shared" si="24"/>
        <v>0</v>
      </c>
      <c r="AA98" s="21">
        <f t="shared" si="24"/>
        <v>0</v>
      </c>
      <c r="AB98" s="21">
        <f t="shared" si="24"/>
        <v>0</v>
      </c>
      <c r="AC98" s="21">
        <f t="shared" si="24"/>
        <v>0</v>
      </c>
      <c r="AD98" s="21">
        <f t="shared" si="24"/>
        <v>0</v>
      </c>
      <c r="AE98" s="21">
        <f t="shared" si="24"/>
        <v>0</v>
      </c>
      <c r="AF98" s="21">
        <f t="shared" si="24"/>
        <v>0</v>
      </c>
      <c r="AG98" s="21">
        <f t="shared" si="24"/>
        <v>0</v>
      </c>
      <c r="AH98" s="21">
        <f t="shared" si="24"/>
        <v>0</v>
      </c>
      <c r="AI98" s="21">
        <f t="shared" ref="AI98:BA98" si="25">AI44*Indoor_savings_year_WaterSense_labeled_home</f>
        <v>0</v>
      </c>
      <c r="AJ98" s="21">
        <f t="shared" si="25"/>
        <v>0</v>
      </c>
      <c r="AK98" s="21">
        <f t="shared" si="25"/>
        <v>0</v>
      </c>
      <c r="AL98" s="21">
        <f t="shared" si="25"/>
        <v>0</v>
      </c>
      <c r="AM98" s="21">
        <f t="shared" si="25"/>
        <v>0</v>
      </c>
      <c r="AN98" s="21">
        <f t="shared" si="25"/>
        <v>0</v>
      </c>
      <c r="AO98" s="21">
        <f t="shared" si="25"/>
        <v>0</v>
      </c>
      <c r="AP98" s="21">
        <f t="shared" si="25"/>
        <v>0</v>
      </c>
      <c r="AQ98" s="21">
        <f t="shared" si="25"/>
        <v>0</v>
      </c>
      <c r="AR98" s="21">
        <f t="shared" si="25"/>
        <v>0</v>
      </c>
      <c r="AS98" s="21">
        <f t="shared" si="25"/>
        <v>0</v>
      </c>
      <c r="AT98" s="21">
        <f t="shared" si="25"/>
        <v>0</v>
      </c>
      <c r="AU98" s="21">
        <f t="shared" si="25"/>
        <v>0</v>
      </c>
      <c r="AV98" s="21">
        <f t="shared" si="25"/>
        <v>0</v>
      </c>
      <c r="AW98" s="21">
        <f t="shared" si="25"/>
        <v>0</v>
      </c>
      <c r="AX98" s="21">
        <f t="shared" si="25"/>
        <v>0</v>
      </c>
      <c r="AY98" s="21">
        <f t="shared" si="25"/>
        <v>0</v>
      </c>
      <c r="AZ98" s="21">
        <f t="shared" si="25"/>
        <v>0</v>
      </c>
      <c r="BA98" s="21">
        <f t="shared" si="25"/>
        <v>0</v>
      </c>
      <c r="BB98" s="21">
        <f t="shared" si="17"/>
        <v>0</v>
      </c>
    </row>
    <row r="99" spans="1:54">
      <c r="A99" s="456"/>
      <c r="B99" s="226">
        <v>2012</v>
      </c>
      <c r="C99" s="21">
        <f t="shared" ref="C99:AH99" si="26">C45*Indoor_savings_year_WaterSense_labeled_home</f>
        <v>0</v>
      </c>
      <c r="D99" s="21">
        <f t="shared" si="26"/>
        <v>0</v>
      </c>
      <c r="E99" s="21">
        <f t="shared" si="26"/>
        <v>0</v>
      </c>
      <c r="F99" s="21">
        <f t="shared" si="26"/>
        <v>0</v>
      </c>
      <c r="G99" s="21">
        <f t="shared" si="26"/>
        <v>0</v>
      </c>
      <c r="H99" s="21">
        <f t="shared" si="26"/>
        <v>0</v>
      </c>
      <c r="I99" s="21">
        <f t="shared" si="26"/>
        <v>0</v>
      </c>
      <c r="J99" s="21">
        <f t="shared" si="26"/>
        <v>0</v>
      </c>
      <c r="K99" s="21">
        <f t="shared" si="26"/>
        <v>0</v>
      </c>
      <c r="L99" s="21">
        <f t="shared" si="26"/>
        <v>0</v>
      </c>
      <c r="M99" s="21">
        <f t="shared" si="26"/>
        <v>0</v>
      </c>
      <c r="N99" s="21">
        <f t="shared" si="26"/>
        <v>0</v>
      </c>
      <c r="O99" s="21">
        <f t="shared" si="26"/>
        <v>0</v>
      </c>
      <c r="P99" s="21">
        <f t="shared" si="26"/>
        <v>0</v>
      </c>
      <c r="Q99" s="21">
        <f t="shared" si="26"/>
        <v>0</v>
      </c>
      <c r="R99" s="21">
        <f t="shared" si="26"/>
        <v>0</v>
      </c>
      <c r="S99" s="21">
        <f t="shared" si="26"/>
        <v>0</v>
      </c>
      <c r="T99" s="21">
        <f t="shared" si="26"/>
        <v>0</v>
      </c>
      <c r="U99" s="21">
        <f t="shared" si="26"/>
        <v>0</v>
      </c>
      <c r="V99" s="21">
        <f t="shared" si="26"/>
        <v>0</v>
      </c>
      <c r="W99" s="21">
        <f t="shared" si="26"/>
        <v>0</v>
      </c>
      <c r="X99" s="21">
        <f t="shared" si="26"/>
        <v>0</v>
      </c>
      <c r="Y99" s="21">
        <f t="shared" si="26"/>
        <v>0</v>
      </c>
      <c r="Z99" s="21">
        <f t="shared" si="26"/>
        <v>0</v>
      </c>
      <c r="AA99" s="21">
        <f t="shared" si="26"/>
        <v>0</v>
      </c>
      <c r="AB99" s="21">
        <f t="shared" si="26"/>
        <v>0</v>
      </c>
      <c r="AC99" s="21">
        <f t="shared" si="26"/>
        <v>0</v>
      </c>
      <c r="AD99" s="21">
        <f t="shared" si="26"/>
        <v>0</v>
      </c>
      <c r="AE99" s="21">
        <f t="shared" si="26"/>
        <v>0</v>
      </c>
      <c r="AF99" s="21">
        <f t="shared" si="26"/>
        <v>0</v>
      </c>
      <c r="AG99" s="21">
        <f t="shared" si="26"/>
        <v>0</v>
      </c>
      <c r="AH99" s="21">
        <f t="shared" si="26"/>
        <v>0</v>
      </c>
      <c r="AI99" s="21">
        <f t="shared" ref="AI99:BA99" si="27">AI45*Indoor_savings_year_WaterSense_labeled_home</f>
        <v>0</v>
      </c>
      <c r="AJ99" s="21">
        <f t="shared" si="27"/>
        <v>0</v>
      </c>
      <c r="AK99" s="21">
        <f t="shared" si="27"/>
        <v>0</v>
      </c>
      <c r="AL99" s="21">
        <f t="shared" si="27"/>
        <v>0</v>
      </c>
      <c r="AM99" s="21">
        <f t="shared" si="27"/>
        <v>0</v>
      </c>
      <c r="AN99" s="21">
        <f t="shared" si="27"/>
        <v>0</v>
      </c>
      <c r="AO99" s="21">
        <f t="shared" si="27"/>
        <v>0</v>
      </c>
      <c r="AP99" s="21">
        <f t="shared" si="27"/>
        <v>0</v>
      </c>
      <c r="AQ99" s="21">
        <f t="shared" si="27"/>
        <v>0</v>
      </c>
      <c r="AR99" s="21">
        <f t="shared" si="27"/>
        <v>0</v>
      </c>
      <c r="AS99" s="21">
        <f t="shared" si="27"/>
        <v>0</v>
      </c>
      <c r="AT99" s="21">
        <f t="shared" si="27"/>
        <v>0</v>
      </c>
      <c r="AU99" s="21">
        <f t="shared" si="27"/>
        <v>0</v>
      </c>
      <c r="AV99" s="21">
        <f t="shared" si="27"/>
        <v>0</v>
      </c>
      <c r="AW99" s="21">
        <f t="shared" si="27"/>
        <v>0</v>
      </c>
      <c r="AX99" s="21">
        <f t="shared" si="27"/>
        <v>0</v>
      </c>
      <c r="AY99" s="21">
        <f t="shared" si="27"/>
        <v>0</v>
      </c>
      <c r="AZ99" s="21">
        <f t="shared" si="27"/>
        <v>0</v>
      </c>
      <c r="BA99" s="21">
        <f t="shared" si="27"/>
        <v>0</v>
      </c>
      <c r="BB99" s="21">
        <f t="shared" si="17"/>
        <v>0</v>
      </c>
    </row>
    <row r="100" spans="1:54">
      <c r="A100" s="456"/>
      <c r="B100" s="228">
        <v>2013</v>
      </c>
      <c r="C100" s="21">
        <f t="shared" ref="C100:AH100" si="28">C46*Indoor_savings_year_WaterSense_labeled_home</f>
        <v>0</v>
      </c>
      <c r="D100" s="21">
        <f t="shared" si="28"/>
        <v>0</v>
      </c>
      <c r="E100" s="21">
        <f t="shared" si="28"/>
        <v>0</v>
      </c>
      <c r="F100" s="21">
        <f t="shared" si="28"/>
        <v>0</v>
      </c>
      <c r="G100" s="21">
        <f t="shared" si="28"/>
        <v>0</v>
      </c>
      <c r="H100" s="21">
        <f t="shared" si="28"/>
        <v>0</v>
      </c>
      <c r="I100" s="21">
        <f t="shared" si="28"/>
        <v>0</v>
      </c>
      <c r="J100" s="21">
        <f t="shared" si="28"/>
        <v>0</v>
      </c>
      <c r="K100" s="21">
        <f t="shared" si="28"/>
        <v>0</v>
      </c>
      <c r="L100" s="21">
        <f t="shared" si="28"/>
        <v>0</v>
      </c>
      <c r="M100" s="21">
        <f t="shared" si="28"/>
        <v>0</v>
      </c>
      <c r="N100" s="21">
        <f t="shared" si="28"/>
        <v>0</v>
      </c>
      <c r="O100" s="21">
        <f t="shared" si="28"/>
        <v>0</v>
      </c>
      <c r="P100" s="21">
        <f t="shared" si="28"/>
        <v>0</v>
      </c>
      <c r="Q100" s="21">
        <f t="shared" si="28"/>
        <v>0</v>
      </c>
      <c r="R100" s="21">
        <f t="shared" si="28"/>
        <v>0</v>
      </c>
      <c r="S100" s="21">
        <f t="shared" si="28"/>
        <v>0</v>
      </c>
      <c r="T100" s="21">
        <f t="shared" si="28"/>
        <v>0</v>
      </c>
      <c r="U100" s="21">
        <f t="shared" si="28"/>
        <v>0</v>
      </c>
      <c r="V100" s="21">
        <f t="shared" si="28"/>
        <v>0</v>
      </c>
      <c r="W100" s="21">
        <f t="shared" si="28"/>
        <v>0</v>
      </c>
      <c r="X100" s="21">
        <f t="shared" si="28"/>
        <v>0</v>
      </c>
      <c r="Y100" s="21">
        <f t="shared" si="28"/>
        <v>0</v>
      </c>
      <c r="Z100" s="21">
        <f t="shared" si="28"/>
        <v>0</v>
      </c>
      <c r="AA100" s="21">
        <f t="shared" si="28"/>
        <v>0</v>
      </c>
      <c r="AB100" s="21">
        <f t="shared" si="28"/>
        <v>0</v>
      </c>
      <c r="AC100" s="21">
        <f t="shared" si="28"/>
        <v>0</v>
      </c>
      <c r="AD100" s="21">
        <f t="shared" si="28"/>
        <v>0</v>
      </c>
      <c r="AE100" s="21">
        <f t="shared" si="28"/>
        <v>0</v>
      </c>
      <c r="AF100" s="21">
        <f t="shared" si="28"/>
        <v>0</v>
      </c>
      <c r="AG100" s="21">
        <f t="shared" si="28"/>
        <v>0</v>
      </c>
      <c r="AH100" s="21">
        <f t="shared" si="28"/>
        <v>0</v>
      </c>
      <c r="AI100" s="21">
        <f t="shared" ref="AI100:BA100" si="29">AI46*Indoor_savings_year_WaterSense_labeled_home</f>
        <v>0</v>
      </c>
      <c r="AJ100" s="21">
        <f t="shared" si="29"/>
        <v>0</v>
      </c>
      <c r="AK100" s="21">
        <f t="shared" si="29"/>
        <v>0</v>
      </c>
      <c r="AL100" s="21">
        <f t="shared" si="29"/>
        <v>0</v>
      </c>
      <c r="AM100" s="21">
        <f t="shared" si="29"/>
        <v>0</v>
      </c>
      <c r="AN100" s="21">
        <f t="shared" si="29"/>
        <v>0</v>
      </c>
      <c r="AO100" s="21">
        <f t="shared" si="29"/>
        <v>0</v>
      </c>
      <c r="AP100" s="21">
        <f t="shared" si="29"/>
        <v>0</v>
      </c>
      <c r="AQ100" s="21">
        <f t="shared" si="29"/>
        <v>0</v>
      </c>
      <c r="AR100" s="21">
        <f t="shared" si="29"/>
        <v>0</v>
      </c>
      <c r="AS100" s="21">
        <f t="shared" si="29"/>
        <v>0</v>
      </c>
      <c r="AT100" s="21">
        <f t="shared" si="29"/>
        <v>0</v>
      </c>
      <c r="AU100" s="21">
        <f t="shared" si="29"/>
        <v>0</v>
      </c>
      <c r="AV100" s="21">
        <f t="shared" si="29"/>
        <v>0</v>
      </c>
      <c r="AW100" s="21">
        <f t="shared" si="29"/>
        <v>0</v>
      </c>
      <c r="AX100" s="21">
        <f t="shared" si="29"/>
        <v>0</v>
      </c>
      <c r="AY100" s="21">
        <f t="shared" si="29"/>
        <v>0</v>
      </c>
      <c r="AZ100" s="21">
        <f t="shared" si="29"/>
        <v>0</v>
      </c>
      <c r="BA100" s="21">
        <f t="shared" si="29"/>
        <v>0</v>
      </c>
      <c r="BB100" s="21">
        <f t="shared" si="17"/>
        <v>0</v>
      </c>
    </row>
    <row r="101" spans="1:54">
      <c r="A101" s="456"/>
      <c r="B101" s="226">
        <v>2014</v>
      </c>
      <c r="C101" s="21">
        <f t="shared" ref="C101:AH101" si="30">C47*Indoor_savings_year_WaterSense_labeled_home</f>
        <v>0</v>
      </c>
      <c r="D101" s="21">
        <f t="shared" si="30"/>
        <v>0</v>
      </c>
      <c r="E101" s="21">
        <f t="shared" si="30"/>
        <v>0</v>
      </c>
      <c r="F101" s="21">
        <f t="shared" si="30"/>
        <v>0</v>
      </c>
      <c r="G101" s="21">
        <f t="shared" si="30"/>
        <v>0</v>
      </c>
      <c r="H101" s="21">
        <f t="shared" si="30"/>
        <v>0</v>
      </c>
      <c r="I101" s="21">
        <f t="shared" si="30"/>
        <v>0</v>
      </c>
      <c r="J101" s="21">
        <f t="shared" si="30"/>
        <v>0</v>
      </c>
      <c r="K101" s="21">
        <f t="shared" si="30"/>
        <v>0</v>
      </c>
      <c r="L101" s="21">
        <f t="shared" si="30"/>
        <v>0</v>
      </c>
      <c r="M101" s="21">
        <f t="shared" si="30"/>
        <v>0</v>
      </c>
      <c r="N101" s="21">
        <f t="shared" si="30"/>
        <v>0</v>
      </c>
      <c r="O101" s="21">
        <f t="shared" si="30"/>
        <v>0</v>
      </c>
      <c r="P101" s="21">
        <f t="shared" si="30"/>
        <v>0</v>
      </c>
      <c r="Q101" s="21">
        <f t="shared" si="30"/>
        <v>0</v>
      </c>
      <c r="R101" s="21">
        <f t="shared" si="30"/>
        <v>0</v>
      </c>
      <c r="S101" s="21">
        <f t="shared" si="30"/>
        <v>0</v>
      </c>
      <c r="T101" s="21">
        <f t="shared" si="30"/>
        <v>0</v>
      </c>
      <c r="U101" s="21">
        <f t="shared" si="30"/>
        <v>0</v>
      </c>
      <c r="V101" s="21">
        <f t="shared" si="30"/>
        <v>0</v>
      </c>
      <c r="W101" s="21">
        <f t="shared" si="30"/>
        <v>0</v>
      </c>
      <c r="X101" s="21">
        <f t="shared" si="30"/>
        <v>0</v>
      </c>
      <c r="Y101" s="21">
        <f t="shared" si="30"/>
        <v>0</v>
      </c>
      <c r="Z101" s="21">
        <f t="shared" si="30"/>
        <v>0</v>
      </c>
      <c r="AA101" s="21">
        <f t="shared" si="30"/>
        <v>0</v>
      </c>
      <c r="AB101" s="21">
        <f t="shared" si="30"/>
        <v>0</v>
      </c>
      <c r="AC101" s="21">
        <f t="shared" si="30"/>
        <v>0</v>
      </c>
      <c r="AD101" s="21">
        <f t="shared" si="30"/>
        <v>0</v>
      </c>
      <c r="AE101" s="21">
        <f t="shared" si="30"/>
        <v>0</v>
      </c>
      <c r="AF101" s="21">
        <f t="shared" si="30"/>
        <v>0</v>
      </c>
      <c r="AG101" s="21">
        <f t="shared" si="30"/>
        <v>0</v>
      </c>
      <c r="AH101" s="21">
        <f t="shared" si="30"/>
        <v>0</v>
      </c>
      <c r="AI101" s="21">
        <f t="shared" ref="AI101:BA101" si="31">AI47*Indoor_savings_year_WaterSense_labeled_home</f>
        <v>0</v>
      </c>
      <c r="AJ101" s="21">
        <f t="shared" si="31"/>
        <v>0</v>
      </c>
      <c r="AK101" s="21">
        <f t="shared" si="31"/>
        <v>0</v>
      </c>
      <c r="AL101" s="21">
        <f t="shared" si="31"/>
        <v>0</v>
      </c>
      <c r="AM101" s="21">
        <f t="shared" si="31"/>
        <v>0</v>
      </c>
      <c r="AN101" s="21">
        <f t="shared" si="31"/>
        <v>0</v>
      </c>
      <c r="AO101" s="21">
        <f t="shared" si="31"/>
        <v>0</v>
      </c>
      <c r="AP101" s="21">
        <f t="shared" si="31"/>
        <v>0</v>
      </c>
      <c r="AQ101" s="21">
        <f t="shared" si="31"/>
        <v>0</v>
      </c>
      <c r="AR101" s="21">
        <f t="shared" si="31"/>
        <v>0</v>
      </c>
      <c r="AS101" s="21">
        <f t="shared" si="31"/>
        <v>0</v>
      </c>
      <c r="AT101" s="21">
        <f t="shared" si="31"/>
        <v>0</v>
      </c>
      <c r="AU101" s="21">
        <f t="shared" si="31"/>
        <v>0</v>
      </c>
      <c r="AV101" s="21">
        <f t="shared" si="31"/>
        <v>0</v>
      </c>
      <c r="AW101" s="21">
        <f t="shared" si="31"/>
        <v>0</v>
      </c>
      <c r="AX101" s="21">
        <f t="shared" si="31"/>
        <v>0</v>
      </c>
      <c r="AY101" s="21">
        <f t="shared" si="31"/>
        <v>0</v>
      </c>
      <c r="AZ101" s="21">
        <f t="shared" si="31"/>
        <v>0</v>
      </c>
      <c r="BA101" s="21">
        <f t="shared" si="31"/>
        <v>0</v>
      </c>
      <c r="BB101" s="21">
        <f t="shared" si="17"/>
        <v>0</v>
      </c>
    </row>
    <row r="102" spans="1:54">
      <c r="A102" s="456"/>
      <c r="B102" s="228">
        <v>2015</v>
      </c>
      <c r="C102" s="21">
        <f t="shared" ref="C102:AH102" si="32">C48*Indoor_savings_year_WaterSense_labeled_home</f>
        <v>0</v>
      </c>
      <c r="D102" s="21">
        <f t="shared" si="32"/>
        <v>0</v>
      </c>
      <c r="E102" s="21">
        <f t="shared" si="32"/>
        <v>0</v>
      </c>
      <c r="F102" s="21">
        <f t="shared" si="32"/>
        <v>0</v>
      </c>
      <c r="G102" s="21">
        <f t="shared" si="32"/>
        <v>0</v>
      </c>
      <c r="H102" s="21">
        <f t="shared" si="32"/>
        <v>0</v>
      </c>
      <c r="I102" s="21">
        <f t="shared" si="32"/>
        <v>0</v>
      </c>
      <c r="J102" s="21">
        <f t="shared" si="32"/>
        <v>0</v>
      </c>
      <c r="K102" s="21">
        <f t="shared" si="32"/>
        <v>0</v>
      </c>
      <c r="L102" s="21">
        <f t="shared" si="32"/>
        <v>0</v>
      </c>
      <c r="M102" s="21">
        <f t="shared" si="32"/>
        <v>0</v>
      </c>
      <c r="N102" s="21">
        <f t="shared" si="32"/>
        <v>0</v>
      </c>
      <c r="O102" s="21">
        <f t="shared" si="32"/>
        <v>0</v>
      </c>
      <c r="P102" s="21">
        <f t="shared" si="32"/>
        <v>0</v>
      </c>
      <c r="Q102" s="21">
        <f t="shared" si="32"/>
        <v>0</v>
      </c>
      <c r="R102" s="21">
        <f t="shared" si="32"/>
        <v>0</v>
      </c>
      <c r="S102" s="21">
        <f t="shared" si="32"/>
        <v>0</v>
      </c>
      <c r="T102" s="21">
        <f t="shared" si="32"/>
        <v>0</v>
      </c>
      <c r="U102" s="21">
        <f t="shared" si="32"/>
        <v>0</v>
      </c>
      <c r="V102" s="21">
        <f t="shared" si="32"/>
        <v>0</v>
      </c>
      <c r="W102" s="21">
        <f t="shared" si="32"/>
        <v>0</v>
      </c>
      <c r="X102" s="21">
        <f t="shared" si="32"/>
        <v>0</v>
      </c>
      <c r="Y102" s="21">
        <f t="shared" si="32"/>
        <v>0</v>
      </c>
      <c r="Z102" s="21">
        <f t="shared" si="32"/>
        <v>0</v>
      </c>
      <c r="AA102" s="21">
        <f t="shared" si="32"/>
        <v>0</v>
      </c>
      <c r="AB102" s="21">
        <f t="shared" si="32"/>
        <v>0</v>
      </c>
      <c r="AC102" s="21">
        <f t="shared" si="32"/>
        <v>0</v>
      </c>
      <c r="AD102" s="21">
        <f t="shared" si="32"/>
        <v>0</v>
      </c>
      <c r="AE102" s="21">
        <f t="shared" si="32"/>
        <v>0</v>
      </c>
      <c r="AF102" s="21">
        <f t="shared" si="32"/>
        <v>0</v>
      </c>
      <c r="AG102" s="21">
        <f t="shared" si="32"/>
        <v>0</v>
      </c>
      <c r="AH102" s="21">
        <f t="shared" si="32"/>
        <v>0</v>
      </c>
      <c r="AI102" s="21">
        <f t="shared" ref="AI102:BA102" si="33">AI48*Indoor_savings_year_WaterSense_labeled_home</f>
        <v>0</v>
      </c>
      <c r="AJ102" s="21">
        <f t="shared" si="33"/>
        <v>0</v>
      </c>
      <c r="AK102" s="21">
        <f t="shared" si="33"/>
        <v>0</v>
      </c>
      <c r="AL102" s="21">
        <f t="shared" si="33"/>
        <v>0</v>
      </c>
      <c r="AM102" s="21">
        <f t="shared" si="33"/>
        <v>0</v>
      </c>
      <c r="AN102" s="21">
        <f t="shared" si="33"/>
        <v>0</v>
      </c>
      <c r="AO102" s="21">
        <f t="shared" si="33"/>
        <v>0</v>
      </c>
      <c r="AP102" s="21">
        <f t="shared" si="33"/>
        <v>0</v>
      </c>
      <c r="AQ102" s="21">
        <f t="shared" si="33"/>
        <v>0</v>
      </c>
      <c r="AR102" s="21">
        <f t="shared" si="33"/>
        <v>0</v>
      </c>
      <c r="AS102" s="21">
        <f t="shared" si="33"/>
        <v>0</v>
      </c>
      <c r="AT102" s="21">
        <f t="shared" si="33"/>
        <v>0</v>
      </c>
      <c r="AU102" s="21">
        <f t="shared" si="33"/>
        <v>0</v>
      </c>
      <c r="AV102" s="21">
        <f t="shared" si="33"/>
        <v>0</v>
      </c>
      <c r="AW102" s="21">
        <f t="shared" si="33"/>
        <v>0</v>
      </c>
      <c r="AX102" s="21">
        <f t="shared" si="33"/>
        <v>0</v>
      </c>
      <c r="AY102" s="21">
        <f t="shared" si="33"/>
        <v>0</v>
      </c>
      <c r="AZ102" s="21">
        <f t="shared" si="33"/>
        <v>0</v>
      </c>
      <c r="BA102" s="21">
        <f t="shared" si="33"/>
        <v>0</v>
      </c>
      <c r="BB102" s="21">
        <f t="shared" si="17"/>
        <v>0</v>
      </c>
    </row>
    <row r="103" spans="1:54">
      <c r="A103" s="456"/>
      <c r="B103" s="226">
        <v>2016</v>
      </c>
      <c r="C103" s="21">
        <f t="shared" ref="C103:AH103" si="34">C49*Indoor_savings_year_WaterSense_labeled_home</f>
        <v>0</v>
      </c>
      <c r="D103" s="21">
        <f t="shared" si="34"/>
        <v>0</v>
      </c>
      <c r="E103" s="21">
        <f t="shared" si="34"/>
        <v>0</v>
      </c>
      <c r="F103" s="21">
        <f t="shared" si="34"/>
        <v>0</v>
      </c>
      <c r="G103" s="21">
        <f t="shared" si="34"/>
        <v>0</v>
      </c>
      <c r="H103" s="21">
        <f t="shared" si="34"/>
        <v>0</v>
      </c>
      <c r="I103" s="21">
        <f t="shared" si="34"/>
        <v>0</v>
      </c>
      <c r="J103" s="21">
        <f t="shared" si="34"/>
        <v>0</v>
      </c>
      <c r="K103" s="21">
        <f t="shared" si="34"/>
        <v>0</v>
      </c>
      <c r="L103" s="21">
        <f t="shared" si="34"/>
        <v>0</v>
      </c>
      <c r="M103" s="21">
        <f t="shared" si="34"/>
        <v>0</v>
      </c>
      <c r="N103" s="21">
        <f t="shared" si="34"/>
        <v>0</v>
      </c>
      <c r="O103" s="21">
        <f t="shared" si="34"/>
        <v>0</v>
      </c>
      <c r="P103" s="21">
        <f t="shared" si="34"/>
        <v>0</v>
      </c>
      <c r="Q103" s="21">
        <f t="shared" si="34"/>
        <v>0</v>
      </c>
      <c r="R103" s="21">
        <f t="shared" si="34"/>
        <v>0</v>
      </c>
      <c r="S103" s="21">
        <f t="shared" si="34"/>
        <v>0</v>
      </c>
      <c r="T103" s="21">
        <f t="shared" si="34"/>
        <v>0</v>
      </c>
      <c r="U103" s="21">
        <f t="shared" si="34"/>
        <v>0</v>
      </c>
      <c r="V103" s="21">
        <f t="shared" si="34"/>
        <v>0</v>
      </c>
      <c r="W103" s="21">
        <f t="shared" si="34"/>
        <v>0</v>
      </c>
      <c r="X103" s="21">
        <f t="shared" si="34"/>
        <v>0</v>
      </c>
      <c r="Y103" s="21">
        <f t="shared" si="34"/>
        <v>0</v>
      </c>
      <c r="Z103" s="21">
        <f t="shared" si="34"/>
        <v>0</v>
      </c>
      <c r="AA103" s="21">
        <f t="shared" si="34"/>
        <v>0</v>
      </c>
      <c r="AB103" s="21">
        <f t="shared" si="34"/>
        <v>0</v>
      </c>
      <c r="AC103" s="21">
        <f t="shared" si="34"/>
        <v>0</v>
      </c>
      <c r="AD103" s="21">
        <f t="shared" si="34"/>
        <v>0</v>
      </c>
      <c r="AE103" s="21">
        <f t="shared" si="34"/>
        <v>0</v>
      </c>
      <c r="AF103" s="21">
        <f t="shared" si="34"/>
        <v>0</v>
      </c>
      <c r="AG103" s="21">
        <f t="shared" si="34"/>
        <v>0</v>
      </c>
      <c r="AH103" s="21">
        <f t="shared" si="34"/>
        <v>0</v>
      </c>
      <c r="AI103" s="21">
        <f t="shared" ref="AI103:BA103" si="35">AI49*Indoor_savings_year_WaterSense_labeled_home</f>
        <v>0</v>
      </c>
      <c r="AJ103" s="21">
        <f t="shared" si="35"/>
        <v>0</v>
      </c>
      <c r="AK103" s="21">
        <f t="shared" si="35"/>
        <v>0</v>
      </c>
      <c r="AL103" s="21">
        <f t="shared" si="35"/>
        <v>0</v>
      </c>
      <c r="AM103" s="21">
        <f t="shared" si="35"/>
        <v>0</v>
      </c>
      <c r="AN103" s="21">
        <f t="shared" si="35"/>
        <v>0</v>
      </c>
      <c r="AO103" s="21">
        <f t="shared" si="35"/>
        <v>0</v>
      </c>
      <c r="AP103" s="21">
        <f t="shared" si="35"/>
        <v>0</v>
      </c>
      <c r="AQ103" s="21">
        <f t="shared" si="35"/>
        <v>0</v>
      </c>
      <c r="AR103" s="21">
        <f t="shared" si="35"/>
        <v>0</v>
      </c>
      <c r="AS103" s="21">
        <f t="shared" si="35"/>
        <v>0</v>
      </c>
      <c r="AT103" s="21">
        <f t="shared" si="35"/>
        <v>0</v>
      </c>
      <c r="AU103" s="21">
        <f t="shared" si="35"/>
        <v>0</v>
      </c>
      <c r="AV103" s="21">
        <f t="shared" si="35"/>
        <v>0</v>
      </c>
      <c r="AW103" s="21">
        <f t="shared" si="35"/>
        <v>0</v>
      </c>
      <c r="AX103" s="21">
        <f t="shared" si="35"/>
        <v>0</v>
      </c>
      <c r="AY103" s="21">
        <f t="shared" si="35"/>
        <v>0</v>
      </c>
      <c r="AZ103" s="21">
        <f t="shared" si="35"/>
        <v>0</v>
      </c>
      <c r="BA103" s="21">
        <f t="shared" si="35"/>
        <v>0</v>
      </c>
      <c r="BB103" s="21">
        <f t="shared" si="17"/>
        <v>0</v>
      </c>
    </row>
    <row r="104" spans="1:54">
      <c r="A104" s="456"/>
      <c r="B104" s="228">
        <v>2017</v>
      </c>
      <c r="C104" s="21">
        <f t="shared" ref="C104:AH104" si="36">C50*Indoor_savings_year_WaterSense_labeled_home</f>
        <v>0</v>
      </c>
      <c r="D104" s="21">
        <f t="shared" si="36"/>
        <v>0</v>
      </c>
      <c r="E104" s="21">
        <f t="shared" si="36"/>
        <v>0</v>
      </c>
      <c r="F104" s="21">
        <f t="shared" si="36"/>
        <v>0</v>
      </c>
      <c r="G104" s="21">
        <f t="shared" si="36"/>
        <v>0</v>
      </c>
      <c r="H104" s="21">
        <f t="shared" si="36"/>
        <v>0</v>
      </c>
      <c r="I104" s="21">
        <f t="shared" si="36"/>
        <v>0</v>
      </c>
      <c r="J104" s="21">
        <f t="shared" si="36"/>
        <v>0</v>
      </c>
      <c r="K104" s="21">
        <f t="shared" si="36"/>
        <v>0</v>
      </c>
      <c r="L104" s="21">
        <f t="shared" si="36"/>
        <v>0</v>
      </c>
      <c r="M104" s="21">
        <f t="shared" si="36"/>
        <v>0</v>
      </c>
      <c r="N104" s="21">
        <f t="shared" si="36"/>
        <v>0</v>
      </c>
      <c r="O104" s="21">
        <f t="shared" si="36"/>
        <v>0</v>
      </c>
      <c r="P104" s="21">
        <f t="shared" si="36"/>
        <v>0</v>
      </c>
      <c r="Q104" s="21">
        <f t="shared" si="36"/>
        <v>0</v>
      </c>
      <c r="R104" s="21">
        <f t="shared" si="36"/>
        <v>0</v>
      </c>
      <c r="S104" s="21">
        <f t="shared" si="36"/>
        <v>0</v>
      </c>
      <c r="T104" s="21">
        <f t="shared" si="36"/>
        <v>0</v>
      </c>
      <c r="U104" s="21">
        <f t="shared" si="36"/>
        <v>0</v>
      </c>
      <c r="V104" s="21">
        <f t="shared" si="36"/>
        <v>0</v>
      </c>
      <c r="W104" s="21">
        <f t="shared" si="36"/>
        <v>0</v>
      </c>
      <c r="X104" s="21">
        <f t="shared" si="36"/>
        <v>0</v>
      </c>
      <c r="Y104" s="21">
        <f t="shared" si="36"/>
        <v>0</v>
      </c>
      <c r="Z104" s="21">
        <f t="shared" si="36"/>
        <v>0</v>
      </c>
      <c r="AA104" s="21">
        <f t="shared" si="36"/>
        <v>0</v>
      </c>
      <c r="AB104" s="21">
        <f t="shared" si="36"/>
        <v>0</v>
      </c>
      <c r="AC104" s="21">
        <f t="shared" si="36"/>
        <v>0</v>
      </c>
      <c r="AD104" s="21">
        <f t="shared" si="36"/>
        <v>0</v>
      </c>
      <c r="AE104" s="21">
        <f t="shared" si="36"/>
        <v>0</v>
      </c>
      <c r="AF104" s="21">
        <f t="shared" si="36"/>
        <v>0</v>
      </c>
      <c r="AG104" s="21">
        <f t="shared" si="36"/>
        <v>0</v>
      </c>
      <c r="AH104" s="21">
        <f t="shared" si="36"/>
        <v>0</v>
      </c>
      <c r="AI104" s="21">
        <f t="shared" ref="AI104:BA104" si="37">AI50*Indoor_savings_year_WaterSense_labeled_home</f>
        <v>0</v>
      </c>
      <c r="AJ104" s="21">
        <f t="shared" si="37"/>
        <v>0</v>
      </c>
      <c r="AK104" s="21">
        <f t="shared" si="37"/>
        <v>0</v>
      </c>
      <c r="AL104" s="21">
        <f t="shared" si="37"/>
        <v>0</v>
      </c>
      <c r="AM104" s="21">
        <f t="shared" si="37"/>
        <v>0</v>
      </c>
      <c r="AN104" s="21">
        <f t="shared" si="37"/>
        <v>0</v>
      </c>
      <c r="AO104" s="21">
        <f t="shared" si="37"/>
        <v>0</v>
      </c>
      <c r="AP104" s="21">
        <f t="shared" si="37"/>
        <v>0</v>
      </c>
      <c r="AQ104" s="21">
        <f t="shared" si="37"/>
        <v>0</v>
      </c>
      <c r="AR104" s="21">
        <f t="shared" si="37"/>
        <v>0</v>
      </c>
      <c r="AS104" s="21">
        <f t="shared" si="37"/>
        <v>0</v>
      </c>
      <c r="AT104" s="21">
        <f t="shared" si="37"/>
        <v>0</v>
      </c>
      <c r="AU104" s="21">
        <f t="shared" si="37"/>
        <v>0</v>
      </c>
      <c r="AV104" s="21">
        <f t="shared" si="37"/>
        <v>0</v>
      </c>
      <c r="AW104" s="21">
        <f t="shared" si="37"/>
        <v>0</v>
      </c>
      <c r="AX104" s="21">
        <f t="shared" si="37"/>
        <v>0</v>
      </c>
      <c r="AY104" s="21">
        <f t="shared" si="37"/>
        <v>0</v>
      </c>
      <c r="AZ104" s="21">
        <f t="shared" si="37"/>
        <v>0</v>
      </c>
      <c r="BA104" s="21">
        <f t="shared" si="37"/>
        <v>0</v>
      </c>
      <c r="BB104" s="21">
        <f t="shared" si="17"/>
        <v>0</v>
      </c>
    </row>
    <row r="105" spans="1:54">
      <c r="A105" s="456"/>
      <c r="B105" s="226">
        <v>2018</v>
      </c>
      <c r="C105" s="21">
        <f>C51*Indoor_savings_year_WaterSense_labeled_home</f>
        <v>0</v>
      </c>
      <c r="D105" s="21">
        <f t="shared" ref="D105:AH105" si="38">D51*Indoor_savings_year_WaterSense_labeled_home</f>
        <v>0</v>
      </c>
      <c r="E105" s="21">
        <f t="shared" si="38"/>
        <v>0</v>
      </c>
      <c r="F105" s="21">
        <f t="shared" si="38"/>
        <v>0</v>
      </c>
      <c r="G105" s="21">
        <f t="shared" si="38"/>
        <v>0</v>
      </c>
      <c r="H105" s="21">
        <f t="shared" si="38"/>
        <v>0</v>
      </c>
      <c r="I105" s="21">
        <f t="shared" si="38"/>
        <v>0</v>
      </c>
      <c r="J105" s="21">
        <f t="shared" si="38"/>
        <v>0</v>
      </c>
      <c r="K105" s="21">
        <f t="shared" si="38"/>
        <v>0</v>
      </c>
      <c r="L105" s="21">
        <f t="shared" si="38"/>
        <v>0</v>
      </c>
      <c r="M105" s="21">
        <f t="shared" si="38"/>
        <v>0</v>
      </c>
      <c r="N105" s="21">
        <f t="shared" si="38"/>
        <v>0</v>
      </c>
      <c r="O105" s="21">
        <f t="shared" si="38"/>
        <v>0</v>
      </c>
      <c r="P105" s="21">
        <f t="shared" si="38"/>
        <v>0</v>
      </c>
      <c r="Q105" s="21">
        <f t="shared" si="38"/>
        <v>0</v>
      </c>
      <c r="R105" s="21">
        <f t="shared" si="38"/>
        <v>0</v>
      </c>
      <c r="S105" s="21">
        <f t="shared" si="38"/>
        <v>0</v>
      </c>
      <c r="T105" s="21">
        <f t="shared" si="38"/>
        <v>0</v>
      </c>
      <c r="U105" s="21">
        <f t="shared" si="38"/>
        <v>0</v>
      </c>
      <c r="V105" s="21">
        <f t="shared" si="38"/>
        <v>0</v>
      </c>
      <c r="W105" s="21">
        <f t="shared" si="38"/>
        <v>0</v>
      </c>
      <c r="X105" s="21">
        <f t="shared" si="38"/>
        <v>0</v>
      </c>
      <c r="Y105" s="21">
        <f t="shared" si="38"/>
        <v>0</v>
      </c>
      <c r="Z105" s="21">
        <f t="shared" si="38"/>
        <v>0</v>
      </c>
      <c r="AA105" s="21">
        <f t="shared" si="38"/>
        <v>0</v>
      </c>
      <c r="AB105" s="21">
        <f t="shared" si="38"/>
        <v>0</v>
      </c>
      <c r="AC105" s="21">
        <f t="shared" si="38"/>
        <v>0</v>
      </c>
      <c r="AD105" s="21">
        <f t="shared" si="38"/>
        <v>0</v>
      </c>
      <c r="AE105" s="21">
        <f t="shared" si="38"/>
        <v>0</v>
      </c>
      <c r="AF105" s="21">
        <f t="shared" si="38"/>
        <v>0</v>
      </c>
      <c r="AG105" s="21">
        <f t="shared" si="38"/>
        <v>0</v>
      </c>
      <c r="AH105" s="21">
        <f t="shared" si="38"/>
        <v>0</v>
      </c>
      <c r="AI105" s="21">
        <f t="shared" ref="AI105:BA105" si="39">AI51*Indoor_savings_year_WaterSense_labeled_home</f>
        <v>0</v>
      </c>
      <c r="AJ105" s="21">
        <f t="shared" si="39"/>
        <v>0</v>
      </c>
      <c r="AK105" s="21">
        <f t="shared" si="39"/>
        <v>0</v>
      </c>
      <c r="AL105" s="21">
        <f t="shared" si="39"/>
        <v>0</v>
      </c>
      <c r="AM105" s="21">
        <f t="shared" si="39"/>
        <v>0</v>
      </c>
      <c r="AN105" s="21">
        <f t="shared" si="39"/>
        <v>0</v>
      </c>
      <c r="AO105" s="21">
        <f t="shared" si="39"/>
        <v>0</v>
      </c>
      <c r="AP105" s="21">
        <f t="shared" si="39"/>
        <v>0</v>
      </c>
      <c r="AQ105" s="21">
        <f t="shared" si="39"/>
        <v>0</v>
      </c>
      <c r="AR105" s="21">
        <f t="shared" si="39"/>
        <v>0</v>
      </c>
      <c r="AS105" s="21">
        <f t="shared" si="39"/>
        <v>0</v>
      </c>
      <c r="AT105" s="21">
        <f t="shared" si="39"/>
        <v>0</v>
      </c>
      <c r="AU105" s="21">
        <f t="shared" si="39"/>
        <v>0</v>
      </c>
      <c r="AV105" s="21">
        <f t="shared" si="39"/>
        <v>0</v>
      </c>
      <c r="AW105" s="21">
        <f t="shared" si="39"/>
        <v>0</v>
      </c>
      <c r="AX105" s="21">
        <f t="shared" si="39"/>
        <v>0</v>
      </c>
      <c r="AY105" s="21">
        <f t="shared" si="39"/>
        <v>0</v>
      </c>
      <c r="AZ105" s="21">
        <f t="shared" si="39"/>
        <v>0</v>
      </c>
      <c r="BA105" s="21">
        <f t="shared" si="39"/>
        <v>0</v>
      </c>
      <c r="BB105" s="21">
        <f t="shared" si="17"/>
        <v>0</v>
      </c>
    </row>
    <row r="106" spans="1:54">
      <c r="A106" s="456"/>
      <c r="B106" s="228">
        <v>2019</v>
      </c>
      <c r="C106" s="21">
        <f>C52*Indoor_savings_year_WaterSense_labeled_home</f>
        <v>0</v>
      </c>
      <c r="D106" s="21">
        <f t="shared" ref="D106:AH106" si="40">D52*Indoor_savings_year_WaterSense_labeled_home</f>
        <v>0</v>
      </c>
      <c r="E106" s="21">
        <f t="shared" si="40"/>
        <v>0</v>
      </c>
      <c r="F106" s="21">
        <f t="shared" si="40"/>
        <v>0</v>
      </c>
      <c r="G106" s="21">
        <f t="shared" si="40"/>
        <v>0</v>
      </c>
      <c r="H106" s="21">
        <f t="shared" si="40"/>
        <v>0</v>
      </c>
      <c r="I106" s="21">
        <f t="shared" si="40"/>
        <v>0</v>
      </c>
      <c r="J106" s="21">
        <f t="shared" si="40"/>
        <v>0</v>
      </c>
      <c r="K106" s="21">
        <f t="shared" si="40"/>
        <v>0</v>
      </c>
      <c r="L106" s="21">
        <f t="shared" si="40"/>
        <v>0</v>
      </c>
      <c r="M106" s="21">
        <f t="shared" si="40"/>
        <v>0</v>
      </c>
      <c r="N106" s="21">
        <f t="shared" si="40"/>
        <v>0</v>
      </c>
      <c r="O106" s="21">
        <f t="shared" si="40"/>
        <v>0</v>
      </c>
      <c r="P106" s="21">
        <f t="shared" si="40"/>
        <v>0</v>
      </c>
      <c r="Q106" s="21">
        <f t="shared" si="40"/>
        <v>0</v>
      </c>
      <c r="R106" s="21">
        <f t="shared" si="40"/>
        <v>0</v>
      </c>
      <c r="S106" s="21">
        <f t="shared" si="40"/>
        <v>0</v>
      </c>
      <c r="T106" s="21">
        <f t="shared" si="40"/>
        <v>0</v>
      </c>
      <c r="U106" s="21">
        <f t="shared" si="40"/>
        <v>0</v>
      </c>
      <c r="V106" s="21">
        <f t="shared" si="40"/>
        <v>0</v>
      </c>
      <c r="W106" s="21">
        <f t="shared" si="40"/>
        <v>0</v>
      </c>
      <c r="X106" s="21">
        <f t="shared" si="40"/>
        <v>0</v>
      </c>
      <c r="Y106" s="21">
        <f t="shared" si="40"/>
        <v>0</v>
      </c>
      <c r="Z106" s="21">
        <f t="shared" si="40"/>
        <v>0</v>
      </c>
      <c r="AA106" s="21">
        <f t="shared" si="40"/>
        <v>0</v>
      </c>
      <c r="AB106" s="21">
        <f t="shared" si="40"/>
        <v>0</v>
      </c>
      <c r="AC106" s="21">
        <f t="shared" si="40"/>
        <v>0</v>
      </c>
      <c r="AD106" s="21">
        <f t="shared" si="40"/>
        <v>0</v>
      </c>
      <c r="AE106" s="21">
        <f t="shared" si="40"/>
        <v>0</v>
      </c>
      <c r="AF106" s="21">
        <f t="shared" si="40"/>
        <v>0</v>
      </c>
      <c r="AG106" s="21">
        <f t="shared" si="40"/>
        <v>0</v>
      </c>
      <c r="AH106" s="21">
        <f t="shared" si="40"/>
        <v>0</v>
      </c>
      <c r="AI106" s="21">
        <f t="shared" ref="AI106:BA106" si="41">AI52*Indoor_savings_year_WaterSense_labeled_home</f>
        <v>0</v>
      </c>
      <c r="AJ106" s="21">
        <f t="shared" si="41"/>
        <v>0</v>
      </c>
      <c r="AK106" s="21">
        <f t="shared" si="41"/>
        <v>0</v>
      </c>
      <c r="AL106" s="21">
        <f t="shared" si="41"/>
        <v>0</v>
      </c>
      <c r="AM106" s="21">
        <f t="shared" si="41"/>
        <v>0</v>
      </c>
      <c r="AN106" s="21">
        <f t="shared" si="41"/>
        <v>0</v>
      </c>
      <c r="AO106" s="21">
        <f t="shared" si="41"/>
        <v>0</v>
      </c>
      <c r="AP106" s="21">
        <f t="shared" si="41"/>
        <v>0</v>
      </c>
      <c r="AQ106" s="21">
        <f t="shared" si="41"/>
        <v>0</v>
      </c>
      <c r="AR106" s="21">
        <f t="shared" si="41"/>
        <v>0</v>
      </c>
      <c r="AS106" s="21">
        <f t="shared" si="41"/>
        <v>0</v>
      </c>
      <c r="AT106" s="21">
        <f t="shared" si="41"/>
        <v>0</v>
      </c>
      <c r="AU106" s="21">
        <f t="shared" si="41"/>
        <v>0</v>
      </c>
      <c r="AV106" s="21">
        <f t="shared" si="41"/>
        <v>0</v>
      </c>
      <c r="AW106" s="21">
        <f t="shared" si="41"/>
        <v>0</v>
      </c>
      <c r="AX106" s="21">
        <f t="shared" si="41"/>
        <v>0</v>
      </c>
      <c r="AY106" s="21">
        <f t="shared" si="41"/>
        <v>0</v>
      </c>
      <c r="AZ106" s="21">
        <f t="shared" si="41"/>
        <v>0</v>
      </c>
      <c r="BA106" s="21">
        <f t="shared" si="41"/>
        <v>0</v>
      </c>
      <c r="BB106" s="21">
        <f t="shared" si="17"/>
        <v>0</v>
      </c>
    </row>
    <row r="107" spans="1:54">
      <c r="A107" s="456"/>
      <c r="B107" s="226">
        <v>2020</v>
      </c>
      <c r="C107" s="21">
        <f t="shared" ref="C107:AH107" si="42">C53*Indoor_savings_year_WaterSense_labeled_home</f>
        <v>0</v>
      </c>
      <c r="D107" s="21">
        <f t="shared" si="42"/>
        <v>0</v>
      </c>
      <c r="E107" s="21">
        <f t="shared" si="42"/>
        <v>0</v>
      </c>
      <c r="F107" s="21">
        <f t="shared" si="42"/>
        <v>0</v>
      </c>
      <c r="G107" s="21">
        <f t="shared" si="42"/>
        <v>0</v>
      </c>
      <c r="H107" s="21">
        <f t="shared" si="42"/>
        <v>0</v>
      </c>
      <c r="I107" s="21">
        <f t="shared" si="42"/>
        <v>0</v>
      </c>
      <c r="J107" s="21">
        <f t="shared" si="42"/>
        <v>0</v>
      </c>
      <c r="K107" s="21">
        <f t="shared" si="42"/>
        <v>0</v>
      </c>
      <c r="L107" s="21">
        <f t="shared" si="42"/>
        <v>0</v>
      </c>
      <c r="M107" s="21">
        <f t="shared" si="42"/>
        <v>0</v>
      </c>
      <c r="N107" s="21">
        <f t="shared" si="42"/>
        <v>0</v>
      </c>
      <c r="O107" s="21">
        <f t="shared" si="42"/>
        <v>0</v>
      </c>
      <c r="P107" s="21">
        <f t="shared" si="42"/>
        <v>0</v>
      </c>
      <c r="Q107" s="21">
        <f t="shared" si="42"/>
        <v>0</v>
      </c>
      <c r="R107" s="21">
        <f t="shared" si="42"/>
        <v>0</v>
      </c>
      <c r="S107" s="21">
        <f t="shared" si="42"/>
        <v>0</v>
      </c>
      <c r="T107" s="21">
        <f t="shared" si="42"/>
        <v>0</v>
      </c>
      <c r="U107" s="21">
        <f t="shared" si="42"/>
        <v>0</v>
      </c>
      <c r="V107" s="21">
        <f t="shared" si="42"/>
        <v>0</v>
      </c>
      <c r="W107" s="21">
        <f t="shared" si="42"/>
        <v>0</v>
      </c>
      <c r="X107" s="21">
        <f t="shared" si="42"/>
        <v>0</v>
      </c>
      <c r="Y107" s="21">
        <f t="shared" si="42"/>
        <v>0</v>
      </c>
      <c r="Z107" s="21">
        <f t="shared" si="42"/>
        <v>0</v>
      </c>
      <c r="AA107" s="21">
        <f t="shared" si="42"/>
        <v>0</v>
      </c>
      <c r="AB107" s="21">
        <f t="shared" si="42"/>
        <v>0</v>
      </c>
      <c r="AC107" s="21">
        <f t="shared" si="42"/>
        <v>0</v>
      </c>
      <c r="AD107" s="21">
        <f t="shared" si="42"/>
        <v>0</v>
      </c>
      <c r="AE107" s="21">
        <f t="shared" si="42"/>
        <v>0</v>
      </c>
      <c r="AF107" s="21">
        <f t="shared" si="42"/>
        <v>0</v>
      </c>
      <c r="AG107" s="21">
        <f t="shared" si="42"/>
        <v>0</v>
      </c>
      <c r="AH107" s="21">
        <f t="shared" si="42"/>
        <v>0</v>
      </c>
      <c r="AI107" s="21">
        <f t="shared" ref="AI107:BA107" si="43">AI53*Indoor_savings_year_WaterSense_labeled_home</f>
        <v>0</v>
      </c>
      <c r="AJ107" s="21">
        <f t="shared" si="43"/>
        <v>0</v>
      </c>
      <c r="AK107" s="21">
        <f t="shared" si="43"/>
        <v>0</v>
      </c>
      <c r="AL107" s="21">
        <f t="shared" si="43"/>
        <v>0</v>
      </c>
      <c r="AM107" s="21">
        <f t="shared" si="43"/>
        <v>0</v>
      </c>
      <c r="AN107" s="21">
        <f t="shared" si="43"/>
        <v>0</v>
      </c>
      <c r="AO107" s="21">
        <f t="shared" si="43"/>
        <v>0</v>
      </c>
      <c r="AP107" s="21">
        <f t="shared" si="43"/>
        <v>0</v>
      </c>
      <c r="AQ107" s="21">
        <f t="shared" si="43"/>
        <v>0</v>
      </c>
      <c r="AR107" s="21">
        <f t="shared" si="43"/>
        <v>0</v>
      </c>
      <c r="AS107" s="21">
        <f t="shared" si="43"/>
        <v>0</v>
      </c>
      <c r="AT107" s="21">
        <f t="shared" si="43"/>
        <v>0</v>
      </c>
      <c r="AU107" s="21">
        <f t="shared" si="43"/>
        <v>0</v>
      </c>
      <c r="AV107" s="21">
        <f t="shared" si="43"/>
        <v>0</v>
      </c>
      <c r="AW107" s="21">
        <f t="shared" si="43"/>
        <v>0</v>
      </c>
      <c r="AX107" s="21">
        <f t="shared" si="43"/>
        <v>0</v>
      </c>
      <c r="AY107" s="21">
        <f t="shared" si="43"/>
        <v>0</v>
      </c>
      <c r="AZ107" s="21">
        <f t="shared" si="43"/>
        <v>0</v>
      </c>
      <c r="BA107" s="21">
        <f t="shared" si="43"/>
        <v>0</v>
      </c>
      <c r="BB107" s="21">
        <f t="shared" si="17"/>
        <v>0</v>
      </c>
    </row>
    <row r="108" spans="1:54">
      <c r="A108" s="456"/>
      <c r="B108" s="228">
        <v>2021</v>
      </c>
      <c r="C108" s="21">
        <f t="shared" ref="C108:AH108" si="44">C54*Indoor_savings_year_WaterSense_labeled_home</f>
        <v>0</v>
      </c>
      <c r="D108" s="21">
        <f t="shared" si="44"/>
        <v>0</v>
      </c>
      <c r="E108" s="21">
        <f t="shared" si="44"/>
        <v>0</v>
      </c>
      <c r="F108" s="21">
        <f t="shared" si="44"/>
        <v>0</v>
      </c>
      <c r="G108" s="21">
        <f t="shared" si="44"/>
        <v>0</v>
      </c>
      <c r="H108" s="21">
        <f t="shared" si="44"/>
        <v>0</v>
      </c>
      <c r="I108" s="21">
        <f t="shared" si="44"/>
        <v>0</v>
      </c>
      <c r="J108" s="21">
        <f t="shared" si="44"/>
        <v>0</v>
      </c>
      <c r="K108" s="21">
        <f t="shared" si="44"/>
        <v>0</v>
      </c>
      <c r="L108" s="21">
        <f t="shared" si="44"/>
        <v>0</v>
      </c>
      <c r="M108" s="21">
        <f t="shared" si="44"/>
        <v>0</v>
      </c>
      <c r="N108" s="21">
        <f t="shared" si="44"/>
        <v>0</v>
      </c>
      <c r="O108" s="21">
        <f t="shared" si="44"/>
        <v>0</v>
      </c>
      <c r="P108" s="21">
        <f t="shared" si="44"/>
        <v>0</v>
      </c>
      <c r="Q108" s="21">
        <f t="shared" si="44"/>
        <v>0</v>
      </c>
      <c r="R108" s="21">
        <f t="shared" si="44"/>
        <v>0</v>
      </c>
      <c r="S108" s="21">
        <f t="shared" si="44"/>
        <v>0</v>
      </c>
      <c r="T108" s="21">
        <f t="shared" si="44"/>
        <v>0</v>
      </c>
      <c r="U108" s="21">
        <f t="shared" si="44"/>
        <v>0</v>
      </c>
      <c r="V108" s="21">
        <f t="shared" si="44"/>
        <v>0</v>
      </c>
      <c r="W108" s="21">
        <f t="shared" si="44"/>
        <v>0</v>
      </c>
      <c r="X108" s="21">
        <f t="shared" si="44"/>
        <v>0</v>
      </c>
      <c r="Y108" s="21">
        <f t="shared" si="44"/>
        <v>0</v>
      </c>
      <c r="Z108" s="21">
        <f t="shared" si="44"/>
        <v>0</v>
      </c>
      <c r="AA108" s="21">
        <f t="shared" si="44"/>
        <v>0</v>
      </c>
      <c r="AB108" s="21">
        <f t="shared" si="44"/>
        <v>0</v>
      </c>
      <c r="AC108" s="21">
        <f t="shared" si="44"/>
        <v>0</v>
      </c>
      <c r="AD108" s="21">
        <f t="shared" si="44"/>
        <v>0</v>
      </c>
      <c r="AE108" s="21">
        <f t="shared" si="44"/>
        <v>0</v>
      </c>
      <c r="AF108" s="21">
        <f t="shared" si="44"/>
        <v>0</v>
      </c>
      <c r="AG108" s="21">
        <f t="shared" si="44"/>
        <v>0</v>
      </c>
      <c r="AH108" s="21">
        <f t="shared" si="44"/>
        <v>0</v>
      </c>
      <c r="AI108" s="21">
        <f t="shared" ref="AI108:BA108" si="45">AI54*Indoor_savings_year_WaterSense_labeled_home</f>
        <v>0</v>
      </c>
      <c r="AJ108" s="21">
        <f t="shared" si="45"/>
        <v>0</v>
      </c>
      <c r="AK108" s="21">
        <f t="shared" si="45"/>
        <v>0</v>
      </c>
      <c r="AL108" s="21">
        <f t="shared" si="45"/>
        <v>0</v>
      </c>
      <c r="AM108" s="21">
        <f t="shared" si="45"/>
        <v>0</v>
      </c>
      <c r="AN108" s="21">
        <f t="shared" si="45"/>
        <v>0</v>
      </c>
      <c r="AO108" s="21">
        <f t="shared" si="45"/>
        <v>0</v>
      </c>
      <c r="AP108" s="21">
        <f t="shared" si="45"/>
        <v>0</v>
      </c>
      <c r="AQ108" s="21">
        <f t="shared" si="45"/>
        <v>0</v>
      </c>
      <c r="AR108" s="21">
        <f t="shared" si="45"/>
        <v>0</v>
      </c>
      <c r="AS108" s="21">
        <f t="shared" si="45"/>
        <v>0</v>
      </c>
      <c r="AT108" s="21">
        <f t="shared" si="45"/>
        <v>0</v>
      </c>
      <c r="AU108" s="21">
        <f t="shared" si="45"/>
        <v>0</v>
      </c>
      <c r="AV108" s="21">
        <f t="shared" si="45"/>
        <v>0</v>
      </c>
      <c r="AW108" s="21">
        <f t="shared" si="45"/>
        <v>0</v>
      </c>
      <c r="AX108" s="21">
        <f t="shared" si="45"/>
        <v>0</v>
      </c>
      <c r="AY108" s="21">
        <f t="shared" si="45"/>
        <v>0</v>
      </c>
      <c r="AZ108" s="21">
        <f t="shared" si="45"/>
        <v>0</v>
      </c>
      <c r="BA108" s="21">
        <f t="shared" si="45"/>
        <v>0</v>
      </c>
      <c r="BB108" s="21">
        <f t="shared" si="17"/>
        <v>0</v>
      </c>
    </row>
    <row r="109" spans="1:54">
      <c r="A109" s="456"/>
      <c r="B109" s="226">
        <v>2022</v>
      </c>
      <c r="C109" s="21">
        <f t="shared" ref="C109:AH109" si="46">C55*Indoor_savings_year_WaterSense_labeled_home</f>
        <v>0</v>
      </c>
      <c r="D109" s="21">
        <f t="shared" si="46"/>
        <v>0</v>
      </c>
      <c r="E109" s="21">
        <f t="shared" si="46"/>
        <v>0</v>
      </c>
      <c r="F109" s="21">
        <f t="shared" si="46"/>
        <v>0</v>
      </c>
      <c r="G109" s="21">
        <f t="shared" si="46"/>
        <v>0</v>
      </c>
      <c r="H109" s="21">
        <f t="shared" si="46"/>
        <v>0</v>
      </c>
      <c r="I109" s="21">
        <f t="shared" si="46"/>
        <v>0</v>
      </c>
      <c r="J109" s="21">
        <f t="shared" si="46"/>
        <v>0</v>
      </c>
      <c r="K109" s="21">
        <f t="shared" si="46"/>
        <v>0</v>
      </c>
      <c r="L109" s="21">
        <f t="shared" si="46"/>
        <v>0</v>
      </c>
      <c r="M109" s="21">
        <f t="shared" si="46"/>
        <v>0</v>
      </c>
      <c r="N109" s="21">
        <f t="shared" si="46"/>
        <v>0</v>
      </c>
      <c r="O109" s="21">
        <f t="shared" si="46"/>
        <v>0</v>
      </c>
      <c r="P109" s="21">
        <f t="shared" si="46"/>
        <v>0</v>
      </c>
      <c r="Q109" s="21">
        <f t="shared" si="46"/>
        <v>0</v>
      </c>
      <c r="R109" s="21">
        <f t="shared" si="46"/>
        <v>0</v>
      </c>
      <c r="S109" s="21">
        <f t="shared" si="46"/>
        <v>0</v>
      </c>
      <c r="T109" s="21">
        <f t="shared" si="46"/>
        <v>0</v>
      </c>
      <c r="U109" s="21">
        <f t="shared" si="46"/>
        <v>0</v>
      </c>
      <c r="V109" s="21">
        <f t="shared" si="46"/>
        <v>0</v>
      </c>
      <c r="W109" s="21">
        <f t="shared" si="46"/>
        <v>0</v>
      </c>
      <c r="X109" s="21">
        <f t="shared" si="46"/>
        <v>0</v>
      </c>
      <c r="Y109" s="21">
        <f t="shared" si="46"/>
        <v>0</v>
      </c>
      <c r="Z109" s="21">
        <f t="shared" si="46"/>
        <v>0</v>
      </c>
      <c r="AA109" s="21">
        <f t="shared" si="46"/>
        <v>0</v>
      </c>
      <c r="AB109" s="21">
        <f t="shared" si="46"/>
        <v>0</v>
      </c>
      <c r="AC109" s="21">
        <f t="shared" si="46"/>
        <v>0</v>
      </c>
      <c r="AD109" s="21">
        <f t="shared" si="46"/>
        <v>0</v>
      </c>
      <c r="AE109" s="21">
        <f t="shared" si="46"/>
        <v>0</v>
      </c>
      <c r="AF109" s="21">
        <f t="shared" si="46"/>
        <v>0</v>
      </c>
      <c r="AG109" s="21">
        <f t="shared" si="46"/>
        <v>0</v>
      </c>
      <c r="AH109" s="21">
        <f t="shared" si="46"/>
        <v>0</v>
      </c>
      <c r="AI109" s="21">
        <f t="shared" ref="AI109:BA109" si="47">AI55*Indoor_savings_year_WaterSense_labeled_home</f>
        <v>0</v>
      </c>
      <c r="AJ109" s="21">
        <f t="shared" si="47"/>
        <v>0</v>
      </c>
      <c r="AK109" s="21">
        <f t="shared" si="47"/>
        <v>0</v>
      </c>
      <c r="AL109" s="21">
        <f t="shared" si="47"/>
        <v>0</v>
      </c>
      <c r="AM109" s="21">
        <f t="shared" si="47"/>
        <v>0</v>
      </c>
      <c r="AN109" s="21">
        <f t="shared" si="47"/>
        <v>0</v>
      </c>
      <c r="AO109" s="21">
        <f t="shared" si="47"/>
        <v>0</v>
      </c>
      <c r="AP109" s="21">
        <f t="shared" si="47"/>
        <v>0</v>
      </c>
      <c r="AQ109" s="21">
        <f t="shared" si="47"/>
        <v>0</v>
      </c>
      <c r="AR109" s="21">
        <f t="shared" si="47"/>
        <v>0</v>
      </c>
      <c r="AS109" s="21">
        <f t="shared" si="47"/>
        <v>0</v>
      </c>
      <c r="AT109" s="21">
        <f t="shared" si="47"/>
        <v>0</v>
      </c>
      <c r="AU109" s="21">
        <f t="shared" si="47"/>
        <v>0</v>
      </c>
      <c r="AV109" s="21">
        <f t="shared" si="47"/>
        <v>0</v>
      </c>
      <c r="AW109" s="21">
        <f t="shared" si="47"/>
        <v>0</v>
      </c>
      <c r="AX109" s="21">
        <f t="shared" si="47"/>
        <v>0</v>
      </c>
      <c r="AY109" s="21">
        <f t="shared" si="47"/>
        <v>0</v>
      </c>
      <c r="AZ109" s="21">
        <f t="shared" si="47"/>
        <v>0</v>
      </c>
      <c r="BA109" s="21">
        <f t="shared" si="47"/>
        <v>0</v>
      </c>
      <c r="BB109" s="21">
        <f t="shared" si="17"/>
        <v>0</v>
      </c>
    </row>
    <row r="110" spans="1:54">
      <c r="A110" s="456"/>
      <c r="B110" s="228">
        <v>2023</v>
      </c>
      <c r="C110" s="21">
        <f t="shared" ref="C110:AH110" si="48">C56*Indoor_savings_year_WaterSense_labeled_home</f>
        <v>0</v>
      </c>
      <c r="D110" s="21">
        <f t="shared" si="48"/>
        <v>0</v>
      </c>
      <c r="E110" s="21">
        <f t="shared" si="48"/>
        <v>0</v>
      </c>
      <c r="F110" s="21">
        <f t="shared" si="48"/>
        <v>0</v>
      </c>
      <c r="G110" s="21">
        <f t="shared" si="48"/>
        <v>0</v>
      </c>
      <c r="H110" s="21">
        <f t="shared" si="48"/>
        <v>0</v>
      </c>
      <c r="I110" s="21">
        <f t="shared" si="48"/>
        <v>0</v>
      </c>
      <c r="J110" s="21">
        <f t="shared" si="48"/>
        <v>0</v>
      </c>
      <c r="K110" s="21">
        <f t="shared" si="48"/>
        <v>0</v>
      </c>
      <c r="L110" s="21">
        <f t="shared" si="48"/>
        <v>0</v>
      </c>
      <c r="M110" s="21">
        <f t="shared" si="48"/>
        <v>0</v>
      </c>
      <c r="N110" s="21">
        <f t="shared" si="48"/>
        <v>0</v>
      </c>
      <c r="O110" s="21">
        <f t="shared" si="48"/>
        <v>0</v>
      </c>
      <c r="P110" s="21">
        <f t="shared" si="48"/>
        <v>0</v>
      </c>
      <c r="Q110" s="21">
        <f t="shared" si="48"/>
        <v>0</v>
      </c>
      <c r="R110" s="21">
        <f t="shared" si="48"/>
        <v>0</v>
      </c>
      <c r="S110" s="21">
        <f t="shared" si="48"/>
        <v>0</v>
      </c>
      <c r="T110" s="21">
        <f t="shared" si="48"/>
        <v>0</v>
      </c>
      <c r="U110" s="21">
        <f t="shared" si="48"/>
        <v>0</v>
      </c>
      <c r="V110" s="21">
        <f t="shared" si="48"/>
        <v>0</v>
      </c>
      <c r="W110" s="21">
        <f t="shared" si="48"/>
        <v>0</v>
      </c>
      <c r="X110" s="21">
        <f t="shared" si="48"/>
        <v>0</v>
      </c>
      <c r="Y110" s="21">
        <f t="shared" si="48"/>
        <v>0</v>
      </c>
      <c r="Z110" s="21">
        <f t="shared" si="48"/>
        <v>0</v>
      </c>
      <c r="AA110" s="21">
        <f t="shared" si="48"/>
        <v>0</v>
      </c>
      <c r="AB110" s="21">
        <f t="shared" si="48"/>
        <v>0</v>
      </c>
      <c r="AC110" s="21">
        <f t="shared" si="48"/>
        <v>0</v>
      </c>
      <c r="AD110" s="21">
        <f t="shared" si="48"/>
        <v>0</v>
      </c>
      <c r="AE110" s="21">
        <f t="shared" si="48"/>
        <v>0</v>
      </c>
      <c r="AF110" s="21">
        <f t="shared" si="48"/>
        <v>0</v>
      </c>
      <c r="AG110" s="21">
        <f t="shared" si="48"/>
        <v>0</v>
      </c>
      <c r="AH110" s="21">
        <f t="shared" si="48"/>
        <v>0</v>
      </c>
      <c r="AI110" s="21">
        <f t="shared" ref="AI110:BA110" si="49">AI56*Indoor_savings_year_WaterSense_labeled_home</f>
        <v>0</v>
      </c>
      <c r="AJ110" s="21">
        <f t="shared" si="49"/>
        <v>0</v>
      </c>
      <c r="AK110" s="21">
        <f t="shared" si="49"/>
        <v>0</v>
      </c>
      <c r="AL110" s="21">
        <f t="shared" si="49"/>
        <v>0</v>
      </c>
      <c r="AM110" s="21">
        <f t="shared" si="49"/>
        <v>0</v>
      </c>
      <c r="AN110" s="21">
        <f t="shared" si="49"/>
        <v>0</v>
      </c>
      <c r="AO110" s="21">
        <f t="shared" si="49"/>
        <v>0</v>
      </c>
      <c r="AP110" s="21">
        <f t="shared" si="49"/>
        <v>0</v>
      </c>
      <c r="AQ110" s="21">
        <f t="shared" si="49"/>
        <v>0</v>
      </c>
      <c r="AR110" s="21">
        <f t="shared" si="49"/>
        <v>0</v>
      </c>
      <c r="AS110" s="21">
        <f t="shared" si="49"/>
        <v>0</v>
      </c>
      <c r="AT110" s="21">
        <f t="shared" si="49"/>
        <v>0</v>
      </c>
      <c r="AU110" s="21">
        <f t="shared" si="49"/>
        <v>0</v>
      </c>
      <c r="AV110" s="21">
        <f t="shared" si="49"/>
        <v>0</v>
      </c>
      <c r="AW110" s="21">
        <f t="shared" si="49"/>
        <v>0</v>
      </c>
      <c r="AX110" s="21">
        <f t="shared" si="49"/>
        <v>0</v>
      </c>
      <c r="AY110" s="21">
        <f t="shared" si="49"/>
        <v>0</v>
      </c>
      <c r="AZ110" s="21">
        <f t="shared" si="49"/>
        <v>0</v>
      </c>
      <c r="BA110" s="21">
        <f t="shared" si="49"/>
        <v>0</v>
      </c>
      <c r="BB110" s="21">
        <f t="shared" si="17"/>
        <v>0</v>
      </c>
    </row>
    <row r="111" spans="1:54">
      <c r="A111" s="456"/>
      <c r="B111" s="226">
        <v>2024</v>
      </c>
      <c r="C111" s="21">
        <f t="shared" ref="C111:AH111" si="50">C57*Indoor_savings_year_WaterSense_labeled_home</f>
        <v>0</v>
      </c>
      <c r="D111" s="21">
        <f t="shared" si="50"/>
        <v>0</v>
      </c>
      <c r="E111" s="21">
        <f t="shared" si="50"/>
        <v>0</v>
      </c>
      <c r="F111" s="21">
        <f t="shared" si="50"/>
        <v>0</v>
      </c>
      <c r="G111" s="21">
        <f t="shared" si="50"/>
        <v>0</v>
      </c>
      <c r="H111" s="21">
        <f t="shared" si="50"/>
        <v>0</v>
      </c>
      <c r="I111" s="21">
        <f t="shared" si="50"/>
        <v>0</v>
      </c>
      <c r="J111" s="21">
        <f t="shared" si="50"/>
        <v>0</v>
      </c>
      <c r="K111" s="21">
        <f t="shared" si="50"/>
        <v>0</v>
      </c>
      <c r="L111" s="21">
        <f t="shared" si="50"/>
        <v>0</v>
      </c>
      <c r="M111" s="21">
        <f t="shared" si="50"/>
        <v>0</v>
      </c>
      <c r="N111" s="21">
        <f t="shared" si="50"/>
        <v>0</v>
      </c>
      <c r="O111" s="21">
        <f t="shared" si="50"/>
        <v>0</v>
      </c>
      <c r="P111" s="21">
        <f t="shared" si="50"/>
        <v>0</v>
      </c>
      <c r="Q111" s="21">
        <f t="shared" si="50"/>
        <v>0</v>
      </c>
      <c r="R111" s="21">
        <f t="shared" si="50"/>
        <v>0</v>
      </c>
      <c r="S111" s="21">
        <f t="shared" si="50"/>
        <v>0</v>
      </c>
      <c r="T111" s="21">
        <f t="shared" si="50"/>
        <v>0</v>
      </c>
      <c r="U111" s="21">
        <f t="shared" si="50"/>
        <v>0</v>
      </c>
      <c r="V111" s="21">
        <f t="shared" si="50"/>
        <v>0</v>
      </c>
      <c r="W111" s="21">
        <f t="shared" si="50"/>
        <v>0</v>
      </c>
      <c r="X111" s="21">
        <f t="shared" si="50"/>
        <v>0</v>
      </c>
      <c r="Y111" s="21">
        <f t="shared" si="50"/>
        <v>0</v>
      </c>
      <c r="Z111" s="21">
        <f t="shared" si="50"/>
        <v>0</v>
      </c>
      <c r="AA111" s="21">
        <f t="shared" si="50"/>
        <v>0</v>
      </c>
      <c r="AB111" s="21">
        <f t="shared" si="50"/>
        <v>0</v>
      </c>
      <c r="AC111" s="21">
        <f t="shared" si="50"/>
        <v>0</v>
      </c>
      <c r="AD111" s="21">
        <f t="shared" si="50"/>
        <v>0</v>
      </c>
      <c r="AE111" s="21">
        <f t="shared" si="50"/>
        <v>0</v>
      </c>
      <c r="AF111" s="21">
        <f t="shared" si="50"/>
        <v>0</v>
      </c>
      <c r="AG111" s="21">
        <f t="shared" si="50"/>
        <v>0</v>
      </c>
      <c r="AH111" s="21">
        <f t="shared" si="50"/>
        <v>0</v>
      </c>
      <c r="AI111" s="21">
        <f t="shared" ref="AI111:BA111" si="51">AI57*Indoor_savings_year_WaterSense_labeled_home</f>
        <v>0</v>
      </c>
      <c r="AJ111" s="21">
        <f t="shared" si="51"/>
        <v>0</v>
      </c>
      <c r="AK111" s="21">
        <f t="shared" si="51"/>
        <v>0</v>
      </c>
      <c r="AL111" s="21">
        <f t="shared" si="51"/>
        <v>0</v>
      </c>
      <c r="AM111" s="21">
        <f t="shared" si="51"/>
        <v>0</v>
      </c>
      <c r="AN111" s="21">
        <f t="shared" si="51"/>
        <v>0</v>
      </c>
      <c r="AO111" s="21">
        <f t="shared" si="51"/>
        <v>0</v>
      </c>
      <c r="AP111" s="21">
        <f t="shared" si="51"/>
        <v>0</v>
      </c>
      <c r="AQ111" s="21">
        <f t="shared" si="51"/>
        <v>0</v>
      </c>
      <c r="AR111" s="21">
        <f t="shared" si="51"/>
        <v>0</v>
      </c>
      <c r="AS111" s="21">
        <f t="shared" si="51"/>
        <v>0</v>
      </c>
      <c r="AT111" s="21">
        <f t="shared" si="51"/>
        <v>0</v>
      </c>
      <c r="AU111" s="21">
        <f t="shared" si="51"/>
        <v>0</v>
      </c>
      <c r="AV111" s="21">
        <f t="shared" si="51"/>
        <v>0</v>
      </c>
      <c r="AW111" s="21">
        <f t="shared" si="51"/>
        <v>0</v>
      </c>
      <c r="AX111" s="21">
        <f t="shared" si="51"/>
        <v>0</v>
      </c>
      <c r="AY111" s="21">
        <f t="shared" si="51"/>
        <v>0</v>
      </c>
      <c r="AZ111" s="21">
        <f t="shared" si="51"/>
        <v>0</v>
      </c>
      <c r="BA111" s="21">
        <f t="shared" si="51"/>
        <v>0</v>
      </c>
      <c r="BB111" s="21">
        <f t="shared" si="17"/>
        <v>0</v>
      </c>
    </row>
    <row r="112" spans="1:54">
      <c r="A112" s="456"/>
      <c r="B112" s="228">
        <v>2025</v>
      </c>
      <c r="C112" s="21">
        <f t="shared" ref="C112:AH112" si="52">C58*Indoor_savings_year_WaterSense_labeled_home</f>
        <v>0</v>
      </c>
      <c r="D112" s="21">
        <f t="shared" si="52"/>
        <v>0</v>
      </c>
      <c r="E112" s="21">
        <f t="shared" si="52"/>
        <v>0</v>
      </c>
      <c r="F112" s="21">
        <f t="shared" si="52"/>
        <v>0</v>
      </c>
      <c r="G112" s="21">
        <f t="shared" si="52"/>
        <v>0</v>
      </c>
      <c r="H112" s="21">
        <f t="shared" si="52"/>
        <v>0</v>
      </c>
      <c r="I112" s="21">
        <f t="shared" si="52"/>
        <v>0</v>
      </c>
      <c r="J112" s="21">
        <f t="shared" si="52"/>
        <v>0</v>
      </c>
      <c r="K112" s="21">
        <f t="shared" si="52"/>
        <v>0</v>
      </c>
      <c r="L112" s="21">
        <f t="shared" si="52"/>
        <v>0</v>
      </c>
      <c r="M112" s="21">
        <f t="shared" si="52"/>
        <v>0</v>
      </c>
      <c r="N112" s="21">
        <f t="shared" si="52"/>
        <v>0</v>
      </c>
      <c r="O112" s="21">
        <f t="shared" si="52"/>
        <v>0</v>
      </c>
      <c r="P112" s="21">
        <f t="shared" si="52"/>
        <v>0</v>
      </c>
      <c r="Q112" s="21">
        <f t="shared" si="52"/>
        <v>0</v>
      </c>
      <c r="R112" s="21">
        <f t="shared" si="52"/>
        <v>0</v>
      </c>
      <c r="S112" s="21">
        <f t="shared" si="52"/>
        <v>0</v>
      </c>
      <c r="T112" s="21">
        <f t="shared" si="52"/>
        <v>0</v>
      </c>
      <c r="U112" s="21">
        <f t="shared" si="52"/>
        <v>0</v>
      </c>
      <c r="V112" s="21">
        <f t="shared" si="52"/>
        <v>0</v>
      </c>
      <c r="W112" s="21">
        <f t="shared" si="52"/>
        <v>0</v>
      </c>
      <c r="X112" s="21">
        <f t="shared" si="52"/>
        <v>0</v>
      </c>
      <c r="Y112" s="21">
        <f t="shared" si="52"/>
        <v>0</v>
      </c>
      <c r="Z112" s="21">
        <f t="shared" si="52"/>
        <v>0</v>
      </c>
      <c r="AA112" s="21">
        <f t="shared" si="52"/>
        <v>0</v>
      </c>
      <c r="AB112" s="21">
        <f t="shared" si="52"/>
        <v>0</v>
      </c>
      <c r="AC112" s="21">
        <f t="shared" si="52"/>
        <v>0</v>
      </c>
      <c r="AD112" s="21">
        <f t="shared" si="52"/>
        <v>0</v>
      </c>
      <c r="AE112" s="21">
        <f t="shared" si="52"/>
        <v>0</v>
      </c>
      <c r="AF112" s="21">
        <f t="shared" si="52"/>
        <v>0</v>
      </c>
      <c r="AG112" s="21">
        <f t="shared" si="52"/>
        <v>0</v>
      </c>
      <c r="AH112" s="21">
        <f t="shared" si="52"/>
        <v>0</v>
      </c>
      <c r="AI112" s="21">
        <f t="shared" ref="AI112:BA112" si="53">AI58*Indoor_savings_year_WaterSense_labeled_home</f>
        <v>0</v>
      </c>
      <c r="AJ112" s="21">
        <f t="shared" si="53"/>
        <v>0</v>
      </c>
      <c r="AK112" s="21">
        <f t="shared" si="53"/>
        <v>0</v>
      </c>
      <c r="AL112" s="21">
        <f t="shared" si="53"/>
        <v>0</v>
      </c>
      <c r="AM112" s="21">
        <f t="shared" si="53"/>
        <v>0</v>
      </c>
      <c r="AN112" s="21">
        <f t="shared" si="53"/>
        <v>0</v>
      </c>
      <c r="AO112" s="21">
        <f t="shared" si="53"/>
        <v>0</v>
      </c>
      <c r="AP112" s="21">
        <f t="shared" si="53"/>
        <v>0</v>
      </c>
      <c r="AQ112" s="21">
        <f t="shared" si="53"/>
        <v>0</v>
      </c>
      <c r="AR112" s="21">
        <f t="shared" si="53"/>
        <v>0</v>
      </c>
      <c r="AS112" s="21">
        <f t="shared" si="53"/>
        <v>0</v>
      </c>
      <c r="AT112" s="21">
        <f t="shared" si="53"/>
        <v>0</v>
      </c>
      <c r="AU112" s="21">
        <f t="shared" si="53"/>
        <v>0</v>
      </c>
      <c r="AV112" s="21">
        <f t="shared" si="53"/>
        <v>0</v>
      </c>
      <c r="AW112" s="21">
        <f t="shared" si="53"/>
        <v>0</v>
      </c>
      <c r="AX112" s="21">
        <f t="shared" si="53"/>
        <v>0</v>
      </c>
      <c r="AY112" s="21">
        <f t="shared" si="53"/>
        <v>0</v>
      </c>
      <c r="AZ112" s="21">
        <f t="shared" si="53"/>
        <v>0</v>
      </c>
      <c r="BA112" s="21">
        <f t="shared" si="53"/>
        <v>0</v>
      </c>
      <c r="BB112" s="21">
        <f t="shared" si="17"/>
        <v>0</v>
      </c>
    </row>
    <row r="113" spans="1:54">
      <c r="A113" s="456"/>
      <c r="B113" s="226">
        <v>2026</v>
      </c>
      <c r="C113" s="21">
        <f t="shared" ref="C113:AH113" si="54">C59*Indoor_savings_year_WaterSense_labeled_home</f>
        <v>0</v>
      </c>
      <c r="D113" s="21">
        <f t="shared" si="54"/>
        <v>0</v>
      </c>
      <c r="E113" s="21">
        <f t="shared" si="54"/>
        <v>0</v>
      </c>
      <c r="F113" s="21">
        <f t="shared" si="54"/>
        <v>0</v>
      </c>
      <c r="G113" s="21">
        <f t="shared" si="54"/>
        <v>0</v>
      </c>
      <c r="H113" s="21">
        <f t="shared" si="54"/>
        <v>0</v>
      </c>
      <c r="I113" s="21">
        <f t="shared" si="54"/>
        <v>0</v>
      </c>
      <c r="J113" s="21">
        <f t="shared" si="54"/>
        <v>0</v>
      </c>
      <c r="K113" s="21">
        <f t="shared" si="54"/>
        <v>0</v>
      </c>
      <c r="L113" s="21">
        <f t="shared" si="54"/>
        <v>0</v>
      </c>
      <c r="M113" s="21">
        <f t="shared" si="54"/>
        <v>0</v>
      </c>
      <c r="N113" s="21">
        <f t="shared" si="54"/>
        <v>0</v>
      </c>
      <c r="O113" s="21">
        <f t="shared" si="54"/>
        <v>0</v>
      </c>
      <c r="P113" s="21">
        <f t="shared" si="54"/>
        <v>0</v>
      </c>
      <c r="Q113" s="21">
        <f t="shared" si="54"/>
        <v>0</v>
      </c>
      <c r="R113" s="21">
        <f t="shared" si="54"/>
        <v>0</v>
      </c>
      <c r="S113" s="21">
        <f t="shared" si="54"/>
        <v>0</v>
      </c>
      <c r="T113" s="21">
        <f t="shared" si="54"/>
        <v>0</v>
      </c>
      <c r="U113" s="21">
        <f t="shared" si="54"/>
        <v>0</v>
      </c>
      <c r="V113" s="21">
        <f t="shared" si="54"/>
        <v>0</v>
      </c>
      <c r="W113" s="21">
        <f t="shared" si="54"/>
        <v>0</v>
      </c>
      <c r="X113" s="21">
        <f t="shared" si="54"/>
        <v>0</v>
      </c>
      <c r="Y113" s="21">
        <f t="shared" si="54"/>
        <v>0</v>
      </c>
      <c r="Z113" s="21">
        <f t="shared" si="54"/>
        <v>0</v>
      </c>
      <c r="AA113" s="21">
        <f t="shared" si="54"/>
        <v>0</v>
      </c>
      <c r="AB113" s="21">
        <f t="shared" si="54"/>
        <v>0</v>
      </c>
      <c r="AC113" s="21">
        <f t="shared" si="54"/>
        <v>0</v>
      </c>
      <c r="AD113" s="21">
        <f t="shared" si="54"/>
        <v>0</v>
      </c>
      <c r="AE113" s="21">
        <f t="shared" si="54"/>
        <v>0</v>
      </c>
      <c r="AF113" s="21">
        <f t="shared" si="54"/>
        <v>0</v>
      </c>
      <c r="AG113" s="21">
        <f t="shared" si="54"/>
        <v>0</v>
      </c>
      <c r="AH113" s="21">
        <f t="shared" si="54"/>
        <v>0</v>
      </c>
      <c r="AI113" s="21">
        <f t="shared" ref="AI113:BA113" si="55">AI59*Indoor_savings_year_WaterSense_labeled_home</f>
        <v>0</v>
      </c>
      <c r="AJ113" s="21">
        <f t="shared" si="55"/>
        <v>0</v>
      </c>
      <c r="AK113" s="21">
        <f t="shared" si="55"/>
        <v>0</v>
      </c>
      <c r="AL113" s="21">
        <f t="shared" si="55"/>
        <v>0</v>
      </c>
      <c r="AM113" s="21">
        <f t="shared" si="55"/>
        <v>0</v>
      </c>
      <c r="AN113" s="21">
        <f t="shared" si="55"/>
        <v>0</v>
      </c>
      <c r="AO113" s="21">
        <f t="shared" si="55"/>
        <v>0</v>
      </c>
      <c r="AP113" s="21">
        <f t="shared" si="55"/>
        <v>0</v>
      </c>
      <c r="AQ113" s="21">
        <f t="shared" si="55"/>
        <v>0</v>
      </c>
      <c r="AR113" s="21">
        <f t="shared" si="55"/>
        <v>0</v>
      </c>
      <c r="AS113" s="21">
        <f t="shared" si="55"/>
        <v>0</v>
      </c>
      <c r="AT113" s="21">
        <f t="shared" si="55"/>
        <v>0</v>
      </c>
      <c r="AU113" s="21">
        <f t="shared" si="55"/>
        <v>0</v>
      </c>
      <c r="AV113" s="21">
        <f t="shared" si="55"/>
        <v>0</v>
      </c>
      <c r="AW113" s="21">
        <f t="shared" si="55"/>
        <v>0</v>
      </c>
      <c r="AX113" s="21">
        <f t="shared" si="55"/>
        <v>0</v>
      </c>
      <c r="AY113" s="21">
        <f t="shared" si="55"/>
        <v>0</v>
      </c>
      <c r="AZ113" s="21">
        <f t="shared" si="55"/>
        <v>0</v>
      </c>
      <c r="BA113" s="21">
        <f t="shared" si="55"/>
        <v>0</v>
      </c>
      <c r="BB113" s="21">
        <f t="shared" si="17"/>
        <v>0</v>
      </c>
    </row>
    <row r="114" spans="1:54">
      <c r="A114" s="456"/>
      <c r="B114" s="228">
        <v>2027</v>
      </c>
      <c r="C114" s="21">
        <f t="shared" ref="C114:AH114" si="56">C60*Indoor_savings_year_WaterSense_labeled_home</f>
        <v>0</v>
      </c>
      <c r="D114" s="21">
        <f t="shared" si="56"/>
        <v>0</v>
      </c>
      <c r="E114" s="21">
        <f t="shared" si="56"/>
        <v>0</v>
      </c>
      <c r="F114" s="21">
        <f t="shared" si="56"/>
        <v>0</v>
      </c>
      <c r="G114" s="21">
        <f t="shared" si="56"/>
        <v>0</v>
      </c>
      <c r="H114" s="21">
        <f t="shared" si="56"/>
        <v>0</v>
      </c>
      <c r="I114" s="21">
        <f t="shared" si="56"/>
        <v>0</v>
      </c>
      <c r="J114" s="21">
        <f t="shared" si="56"/>
        <v>0</v>
      </c>
      <c r="K114" s="21">
        <f t="shared" si="56"/>
        <v>0</v>
      </c>
      <c r="L114" s="21">
        <f t="shared" si="56"/>
        <v>0</v>
      </c>
      <c r="M114" s="21">
        <f t="shared" si="56"/>
        <v>0</v>
      </c>
      <c r="N114" s="21">
        <f t="shared" si="56"/>
        <v>0</v>
      </c>
      <c r="O114" s="21">
        <f t="shared" si="56"/>
        <v>0</v>
      </c>
      <c r="P114" s="21">
        <f t="shared" si="56"/>
        <v>0</v>
      </c>
      <c r="Q114" s="21">
        <f t="shared" si="56"/>
        <v>0</v>
      </c>
      <c r="R114" s="21">
        <f t="shared" si="56"/>
        <v>0</v>
      </c>
      <c r="S114" s="21">
        <f t="shared" si="56"/>
        <v>0</v>
      </c>
      <c r="T114" s="21">
        <f t="shared" si="56"/>
        <v>0</v>
      </c>
      <c r="U114" s="21">
        <f t="shared" si="56"/>
        <v>0</v>
      </c>
      <c r="V114" s="21">
        <f t="shared" si="56"/>
        <v>0</v>
      </c>
      <c r="W114" s="21">
        <f t="shared" si="56"/>
        <v>0</v>
      </c>
      <c r="X114" s="21">
        <f t="shared" si="56"/>
        <v>0</v>
      </c>
      <c r="Y114" s="21">
        <f t="shared" si="56"/>
        <v>0</v>
      </c>
      <c r="Z114" s="21">
        <f t="shared" si="56"/>
        <v>0</v>
      </c>
      <c r="AA114" s="21">
        <f t="shared" si="56"/>
        <v>0</v>
      </c>
      <c r="AB114" s="21">
        <f t="shared" si="56"/>
        <v>0</v>
      </c>
      <c r="AC114" s="21">
        <f t="shared" si="56"/>
        <v>0</v>
      </c>
      <c r="AD114" s="21">
        <f t="shared" si="56"/>
        <v>0</v>
      </c>
      <c r="AE114" s="21">
        <f t="shared" si="56"/>
        <v>0</v>
      </c>
      <c r="AF114" s="21">
        <f t="shared" si="56"/>
        <v>0</v>
      </c>
      <c r="AG114" s="21">
        <f t="shared" si="56"/>
        <v>0</v>
      </c>
      <c r="AH114" s="21">
        <f t="shared" si="56"/>
        <v>0</v>
      </c>
      <c r="AI114" s="21">
        <f t="shared" ref="AI114:BA114" si="57">AI60*Indoor_savings_year_WaterSense_labeled_home</f>
        <v>0</v>
      </c>
      <c r="AJ114" s="21">
        <f t="shared" si="57"/>
        <v>0</v>
      </c>
      <c r="AK114" s="21">
        <f t="shared" si="57"/>
        <v>0</v>
      </c>
      <c r="AL114" s="21">
        <f t="shared" si="57"/>
        <v>0</v>
      </c>
      <c r="AM114" s="21">
        <f t="shared" si="57"/>
        <v>0</v>
      </c>
      <c r="AN114" s="21">
        <f t="shared" si="57"/>
        <v>0</v>
      </c>
      <c r="AO114" s="21">
        <f t="shared" si="57"/>
        <v>0</v>
      </c>
      <c r="AP114" s="21">
        <f t="shared" si="57"/>
        <v>0</v>
      </c>
      <c r="AQ114" s="21">
        <f t="shared" si="57"/>
        <v>0</v>
      </c>
      <c r="AR114" s="21">
        <f t="shared" si="57"/>
        <v>0</v>
      </c>
      <c r="AS114" s="21">
        <f t="shared" si="57"/>
        <v>0</v>
      </c>
      <c r="AT114" s="21">
        <f t="shared" si="57"/>
        <v>0</v>
      </c>
      <c r="AU114" s="21">
        <f t="shared" si="57"/>
        <v>0</v>
      </c>
      <c r="AV114" s="21">
        <f t="shared" si="57"/>
        <v>0</v>
      </c>
      <c r="AW114" s="21">
        <f t="shared" si="57"/>
        <v>0</v>
      </c>
      <c r="AX114" s="21">
        <f t="shared" si="57"/>
        <v>0</v>
      </c>
      <c r="AY114" s="21">
        <f t="shared" si="57"/>
        <v>0</v>
      </c>
      <c r="AZ114" s="21">
        <f t="shared" si="57"/>
        <v>0</v>
      </c>
      <c r="BA114" s="21">
        <f t="shared" si="57"/>
        <v>0</v>
      </c>
      <c r="BB114" s="21">
        <f t="shared" si="17"/>
        <v>0</v>
      </c>
    </row>
    <row r="115" spans="1:54">
      <c r="A115" s="456"/>
      <c r="B115" s="226">
        <v>2028</v>
      </c>
      <c r="C115" s="21">
        <f t="shared" ref="C115:AH115" si="58">C61*Indoor_savings_year_WaterSense_labeled_home</f>
        <v>0</v>
      </c>
      <c r="D115" s="21">
        <f t="shared" si="58"/>
        <v>0</v>
      </c>
      <c r="E115" s="21">
        <f t="shared" si="58"/>
        <v>0</v>
      </c>
      <c r="F115" s="21">
        <f t="shared" si="58"/>
        <v>0</v>
      </c>
      <c r="G115" s="21">
        <f t="shared" si="58"/>
        <v>0</v>
      </c>
      <c r="H115" s="21">
        <f t="shared" si="58"/>
        <v>0</v>
      </c>
      <c r="I115" s="21">
        <f t="shared" si="58"/>
        <v>0</v>
      </c>
      <c r="J115" s="21">
        <f t="shared" si="58"/>
        <v>0</v>
      </c>
      <c r="K115" s="21">
        <f t="shared" si="58"/>
        <v>0</v>
      </c>
      <c r="L115" s="21">
        <f t="shared" si="58"/>
        <v>0</v>
      </c>
      <c r="M115" s="21">
        <f t="shared" si="58"/>
        <v>0</v>
      </c>
      <c r="N115" s="21">
        <f t="shared" si="58"/>
        <v>0</v>
      </c>
      <c r="O115" s="21">
        <f t="shared" si="58"/>
        <v>0</v>
      </c>
      <c r="P115" s="21">
        <f t="shared" si="58"/>
        <v>0</v>
      </c>
      <c r="Q115" s="21">
        <f t="shared" si="58"/>
        <v>0</v>
      </c>
      <c r="R115" s="21">
        <f t="shared" si="58"/>
        <v>0</v>
      </c>
      <c r="S115" s="21">
        <f t="shared" si="58"/>
        <v>0</v>
      </c>
      <c r="T115" s="21">
        <f t="shared" si="58"/>
        <v>0</v>
      </c>
      <c r="U115" s="21">
        <f t="shared" si="58"/>
        <v>0</v>
      </c>
      <c r="V115" s="21">
        <f t="shared" si="58"/>
        <v>0</v>
      </c>
      <c r="W115" s="21">
        <f t="shared" si="58"/>
        <v>0</v>
      </c>
      <c r="X115" s="21">
        <f t="shared" si="58"/>
        <v>0</v>
      </c>
      <c r="Y115" s="21">
        <f t="shared" si="58"/>
        <v>0</v>
      </c>
      <c r="Z115" s="21">
        <f t="shared" si="58"/>
        <v>0</v>
      </c>
      <c r="AA115" s="21">
        <f t="shared" si="58"/>
        <v>0</v>
      </c>
      <c r="AB115" s="21">
        <f t="shared" si="58"/>
        <v>0</v>
      </c>
      <c r="AC115" s="21">
        <f t="shared" si="58"/>
        <v>0</v>
      </c>
      <c r="AD115" s="21">
        <f t="shared" si="58"/>
        <v>0</v>
      </c>
      <c r="AE115" s="21">
        <f t="shared" si="58"/>
        <v>0</v>
      </c>
      <c r="AF115" s="21">
        <f t="shared" si="58"/>
        <v>0</v>
      </c>
      <c r="AG115" s="21">
        <f t="shared" si="58"/>
        <v>0</v>
      </c>
      <c r="AH115" s="21">
        <f t="shared" si="58"/>
        <v>0</v>
      </c>
      <c r="AI115" s="21">
        <f t="shared" ref="AI115:BA115" si="59">AI61*Indoor_savings_year_WaterSense_labeled_home</f>
        <v>0</v>
      </c>
      <c r="AJ115" s="21">
        <f t="shared" si="59"/>
        <v>0</v>
      </c>
      <c r="AK115" s="21">
        <f t="shared" si="59"/>
        <v>0</v>
      </c>
      <c r="AL115" s="21">
        <f t="shared" si="59"/>
        <v>0</v>
      </c>
      <c r="AM115" s="21">
        <f t="shared" si="59"/>
        <v>0</v>
      </c>
      <c r="AN115" s="21">
        <f t="shared" si="59"/>
        <v>0</v>
      </c>
      <c r="AO115" s="21">
        <f t="shared" si="59"/>
        <v>0</v>
      </c>
      <c r="AP115" s="21">
        <f t="shared" si="59"/>
        <v>0</v>
      </c>
      <c r="AQ115" s="21">
        <f t="shared" si="59"/>
        <v>0</v>
      </c>
      <c r="AR115" s="21">
        <f t="shared" si="59"/>
        <v>0</v>
      </c>
      <c r="AS115" s="21">
        <f t="shared" si="59"/>
        <v>0</v>
      </c>
      <c r="AT115" s="21">
        <f t="shared" si="59"/>
        <v>0</v>
      </c>
      <c r="AU115" s="21">
        <f t="shared" si="59"/>
        <v>0</v>
      </c>
      <c r="AV115" s="21">
        <f t="shared" si="59"/>
        <v>0</v>
      </c>
      <c r="AW115" s="21">
        <f t="shared" si="59"/>
        <v>0</v>
      </c>
      <c r="AX115" s="21">
        <f t="shared" si="59"/>
        <v>0</v>
      </c>
      <c r="AY115" s="21">
        <f t="shared" si="59"/>
        <v>0</v>
      </c>
      <c r="AZ115" s="21">
        <f t="shared" si="59"/>
        <v>0</v>
      </c>
      <c r="BA115" s="21">
        <f t="shared" si="59"/>
        <v>0</v>
      </c>
      <c r="BB115" s="21">
        <f t="shared" si="17"/>
        <v>0</v>
      </c>
    </row>
    <row r="116" spans="1:54">
      <c r="A116" s="456"/>
      <c r="B116" s="228">
        <v>2029</v>
      </c>
      <c r="C116" s="21">
        <f t="shared" ref="C116:AH116" si="60">C62*Indoor_savings_year_WaterSense_labeled_home</f>
        <v>0</v>
      </c>
      <c r="D116" s="21">
        <f t="shared" si="60"/>
        <v>0</v>
      </c>
      <c r="E116" s="21">
        <f t="shared" si="60"/>
        <v>0</v>
      </c>
      <c r="F116" s="21">
        <f t="shared" si="60"/>
        <v>0</v>
      </c>
      <c r="G116" s="21">
        <f t="shared" si="60"/>
        <v>0</v>
      </c>
      <c r="H116" s="21">
        <f t="shared" si="60"/>
        <v>0</v>
      </c>
      <c r="I116" s="21">
        <f t="shared" si="60"/>
        <v>0</v>
      </c>
      <c r="J116" s="21">
        <f t="shared" si="60"/>
        <v>0</v>
      </c>
      <c r="K116" s="21">
        <f t="shared" si="60"/>
        <v>0</v>
      </c>
      <c r="L116" s="21">
        <f t="shared" si="60"/>
        <v>0</v>
      </c>
      <c r="M116" s="21">
        <f t="shared" si="60"/>
        <v>0</v>
      </c>
      <c r="N116" s="21">
        <f t="shared" si="60"/>
        <v>0</v>
      </c>
      <c r="O116" s="21">
        <f t="shared" si="60"/>
        <v>0</v>
      </c>
      <c r="P116" s="21">
        <f t="shared" si="60"/>
        <v>0</v>
      </c>
      <c r="Q116" s="21">
        <f t="shared" si="60"/>
        <v>0</v>
      </c>
      <c r="R116" s="21">
        <f t="shared" si="60"/>
        <v>0</v>
      </c>
      <c r="S116" s="21">
        <f t="shared" si="60"/>
        <v>0</v>
      </c>
      <c r="T116" s="21">
        <f t="shared" si="60"/>
        <v>0</v>
      </c>
      <c r="U116" s="21">
        <f t="shared" si="60"/>
        <v>0</v>
      </c>
      <c r="V116" s="21">
        <f t="shared" si="60"/>
        <v>0</v>
      </c>
      <c r="W116" s="21">
        <f t="shared" si="60"/>
        <v>0</v>
      </c>
      <c r="X116" s="21">
        <f t="shared" si="60"/>
        <v>0</v>
      </c>
      <c r="Y116" s="21">
        <f t="shared" si="60"/>
        <v>0</v>
      </c>
      <c r="Z116" s="21">
        <f t="shared" si="60"/>
        <v>0</v>
      </c>
      <c r="AA116" s="21">
        <f t="shared" si="60"/>
        <v>0</v>
      </c>
      <c r="AB116" s="21">
        <f t="shared" si="60"/>
        <v>0</v>
      </c>
      <c r="AC116" s="21">
        <f t="shared" si="60"/>
        <v>0</v>
      </c>
      <c r="AD116" s="21">
        <f t="shared" si="60"/>
        <v>0</v>
      </c>
      <c r="AE116" s="21">
        <f t="shared" si="60"/>
        <v>0</v>
      </c>
      <c r="AF116" s="21">
        <f t="shared" si="60"/>
        <v>0</v>
      </c>
      <c r="AG116" s="21">
        <f t="shared" si="60"/>
        <v>0</v>
      </c>
      <c r="AH116" s="21">
        <f t="shared" si="60"/>
        <v>0</v>
      </c>
      <c r="AI116" s="21">
        <f t="shared" ref="AI116:BA116" si="61">AI62*Indoor_savings_year_WaterSense_labeled_home</f>
        <v>0</v>
      </c>
      <c r="AJ116" s="21">
        <f t="shared" si="61"/>
        <v>0</v>
      </c>
      <c r="AK116" s="21">
        <f t="shared" si="61"/>
        <v>0</v>
      </c>
      <c r="AL116" s="21">
        <f t="shared" si="61"/>
        <v>0</v>
      </c>
      <c r="AM116" s="21">
        <f t="shared" si="61"/>
        <v>0</v>
      </c>
      <c r="AN116" s="21">
        <f t="shared" si="61"/>
        <v>0</v>
      </c>
      <c r="AO116" s="21">
        <f t="shared" si="61"/>
        <v>0</v>
      </c>
      <c r="AP116" s="21">
        <f t="shared" si="61"/>
        <v>0</v>
      </c>
      <c r="AQ116" s="21">
        <f t="shared" si="61"/>
        <v>0</v>
      </c>
      <c r="AR116" s="21">
        <f t="shared" si="61"/>
        <v>0</v>
      </c>
      <c r="AS116" s="21">
        <f t="shared" si="61"/>
        <v>0</v>
      </c>
      <c r="AT116" s="21">
        <f t="shared" si="61"/>
        <v>0</v>
      </c>
      <c r="AU116" s="21">
        <f t="shared" si="61"/>
        <v>0</v>
      </c>
      <c r="AV116" s="21">
        <f t="shared" si="61"/>
        <v>0</v>
      </c>
      <c r="AW116" s="21">
        <f t="shared" si="61"/>
        <v>0</v>
      </c>
      <c r="AX116" s="21">
        <f t="shared" si="61"/>
        <v>0</v>
      </c>
      <c r="AY116" s="21">
        <f t="shared" si="61"/>
        <v>0</v>
      </c>
      <c r="AZ116" s="21">
        <f t="shared" si="61"/>
        <v>0</v>
      </c>
      <c r="BA116" s="21">
        <f t="shared" si="61"/>
        <v>0</v>
      </c>
      <c r="BB116" s="21">
        <f t="shared" si="17"/>
        <v>0</v>
      </c>
    </row>
    <row r="117" spans="1:54">
      <c r="A117" s="456"/>
      <c r="B117" s="226">
        <v>2030</v>
      </c>
      <c r="C117" s="21">
        <f t="shared" ref="C117:AH117" si="62">C63*Indoor_savings_year_WaterSense_labeled_home</f>
        <v>0</v>
      </c>
      <c r="D117" s="21">
        <f t="shared" si="62"/>
        <v>0</v>
      </c>
      <c r="E117" s="21">
        <f t="shared" si="62"/>
        <v>0</v>
      </c>
      <c r="F117" s="21">
        <f t="shared" si="62"/>
        <v>0</v>
      </c>
      <c r="G117" s="21">
        <f t="shared" si="62"/>
        <v>0</v>
      </c>
      <c r="H117" s="21">
        <f t="shared" si="62"/>
        <v>0</v>
      </c>
      <c r="I117" s="21">
        <f t="shared" si="62"/>
        <v>0</v>
      </c>
      <c r="J117" s="21">
        <f t="shared" si="62"/>
        <v>0</v>
      </c>
      <c r="K117" s="21">
        <f t="shared" si="62"/>
        <v>0</v>
      </c>
      <c r="L117" s="21">
        <f t="shared" si="62"/>
        <v>0</v>
      </c>
      <c r="M117" s="21">
        <f t="shared" si="62"/>
        <v>0</v>
      </c>
      <c r="N117" s="21">
        <f t="shared" si="62"/>
        <v>0</v>
      </c>
      <c r="O117" s="21">
        <f t="shared" si="62"/>
        <v>0</v>
      </c>
      <c r="P117" s="21">
        <f t="shared" si="62"/>
        <v>0</v>
      </c>
      <c r="Q117" s="21">
        <f t="shared" si="62"/>
        <v>0</v>
      </c>
      <c r="R117" s="21">
        <f t="shared" si="62"/>
        <v>0</v>
      </c>
      <c r="S117" s="21">
        <f t="shared" si="62"/>
        <v>0</v>
      </c>
      <c r="T117" s="21">
        <f t="shared" si="62"/>
        <v>0</v>
      </c>
      <c r="U117" s="21">
        <f t="shared" si="62"/>
        <v>0</v>
      </c>
      <c r="V117" s="21">
        <f t="shared" si="62"/>
        <v>0</v>
      </c>
      <c r="W117" s="21">
        <f t="shared" si="62"/>
        <v>0</v>
      </c>
      <c r="X117" s="21">
        <f t="shared" si="62"/>
        <v>0</v>
      </c>
      <c r="Y117" s="21">
        <f t="shared" si="62"/>
        <v>0</v>
      </c>
      <c r="Z117" s="21">
        <f t="shared" si="62"/>
        <v>0</v>
      </c>
      <c r="AA117" s="21">
        <f t="shared" si="62"/>
        <v>0</v>
      </c>
      <c r="AB117" s="21">
        <f t="shared" si="62"/>
        <v>0</v>
      </c>
      <c r="AC117" s="21">
        <f t="shared" si="62"/>
        <v>0</v>
      </c>
      <c r="AD117" s="21">
        <f t="shared" si="62"/>
        <v>0</v>
      </c>
      <c r="AE117" s="21">
        <f t="shared" si="62"/>
        <v>0</v>
      </c>
      <c r="AF117" s="21">
        <f t="shared" si="62"/>
        <v>0</v>
      </c>
      <c r="AG117" s="21">
        <f t="shared" si="62"/>
        <v>0</v>
      </c>
      <c r="AH117" s="21">
        <f t="shared" si="62"/>
        <v>0</v>
      </c>
      <c r="AI117" s="21">
        <f t="shared" ref="AI117:BA117" si="63">AI63*Indoor_savings_year_WaterSense_labeled_home</f>
        <v>0</v>
      </c>
      <c r="AJ117" s="21">
        <f t="shared" si="63"/>
        <v>0</v>
      </c>
      <c r="AK117" s="21">
        <f t="shared" si="63"/>
        <v>0</v>
      </c>
      <c r="AL117" s="21">
        <f t="shared" si="63"/>
        <v>0</v>
      </c>
      <c r="AM117" s="21">
        <f t="shared" si="63"/>
        <v>0</v>
      </c>
      <c r="AN117" s="21">
        <f t="shared" si="63"/>
        <v>0</v>
      </c>
      <c r="AO117" s="21">
        <f t="shared" si="63"/>
        <v>0</v>
      </c>
      <c r="AP117" s="21">
        <f t="shared" si="63"/>
        <v>0</v>
      </c>
      <c r="AQ117" s="21">
        <f t="shared" si="63"/>
        <v>0</v>
      </c>
      <c r="AR117" s="21">
        <f t="shared" si="63"/>
        <v>0</v>
      </c>
      <c r="AS117" s="21">
        <f t="shared" si="63"/>
        <v>0</v>
      </c>
      <c r="AT117" s="21">
        <f t="shared" si="63"/>
        <v>0</v>
      </c>
      <c r="AU117" s="21">
        <f t="shared" si="63"/>
        <v>0</v>
      </c>
      <c r="AV117" s="21">
        <f t="shared" si="63"/>
        <v>0</v>
      </c>
      <c r="AW117" s="21">
        <f t="shared" si="63"/>
        <v>0</v>
      </c>
      <c r="AX117" s="21">
        <f t="shared" si="63"/>
        <v>0</v>
      </c>
      <c r="AY117" s="21">
        <f t="shared" si="63"/>
        <v>0</v>
      </c>
      <c r="AZ117" s="21">
        <f t="shared" si="63"/>
        <v>0</v>
      </c>
      <c r="BA117" s="21">
        <f t="shared" si="63"/>
        <v>0</v>
      </c>
      <c r="BB117" s="21">
        <f t="shared" si="17"/>
        <v>0</v>
      </c>
    </row>
    <row r="118" spans="1:54" s="63" customFormat="1"/>
    <row r="119" spans="1:54">
      <c r="A119" s="456" t="s">
        <v>232</v>
      </c>
      <c r="B119" s="226" t="s">
        <v>225</v>
      </c>
      <c r="C119" t="str">
        <f>C92</f>
        <v>AL</v>
      </c>
      <c r="D119" t="str">
        <f t="shared" ref="D119:BA119" si="64">D92</f>
        <v>AK</v>
      </c>
      <c r="E119" t="str">
        <f t="shared" si="64"/>
        <v>AZ</v>
      </c>
      <c r="F119" t="str">
        <f t="shared" si="64"/>
        <v>AR</v>
      </c>
      <c r="G119" t="str">
        <f t="shared" si="64"/>
        <v>CA</v>
      </c>
      <c r="H119" t="str">
        <f t="shared" si="64"/>
        <v>CO</v>
      </c>
      <c r="I119" t="str">
        <f t="shared" si="64"/>
        <v>CT</v>
      </c>
      <c r="J119" t="str">
        <f t="shared" si="64"/>
        <v>DE</v>
      </c>
      <c r="K119" t="str">
        <f t="shared" si="64"/>
        <v>DC</v>
      </c>
      <c r="L119" t="str">
        <f t="shared" si="64"/>
        <v>FL</v>
      </c>
      <c r="M119" t="str">
        <f t="shared" si="64"/>
        <v>GA</v>
      </c>
      <c r="N119" t="str">
        <f t="shared" si="64"/>
        <v>HI</v>
      </c>
      <c r="O119" t="str">
        <f t="shared" si="64"/>
        <v>ID</v>
      </c>
      <c r="P119" t="str">
        <f t="shared" si="64"/>
        <v>IL</v>
      </c>
      <c r="Q119" t="str">
        <f t="shared" si="64"/>
        <v>IN</v>
      </c>
      <c r="R119" t="str">
        <f t="shared" si="64"/>
        <v>IA</v>
      </c>
      <c r="S119" t="str">
        <f t="shared" si="64"/>
        <v>KS</v>
      </c>
      <c r="T119" t="str">
        <f t="shared" si="64"/>
        <v>KY</v>
      </c>
      <c r="U119" t="str">
        <f t="shared" si="64"/>
        <v>LA</v>
      </c>
      <c r="V119" t="str">
        <f t="shared" si="64"/>
        <v>ME</v>
      </c>
      <c r="W119" t="str">
        <f t="shared" si="64"/>
        <v>MD</v>
      </c>
      <c r="X119" t="str">
        <f t="shared" si="64"/>
        <v>MA</v>
      </c>
      <c r="Y119" t="str">
        <f t="shared" si="64"/>
        <v>MI</v>
      </c>
      <c r="Z119" t="str">
        <f t="shared" si="64"/>
        <v>MN</v>
      </c>
      <c r="AA119" t="str">
        <f t="shared" si="64"/>
        <v>MS</v>
      </c>
      <c r="AB119" t="str">
        <f t="shared" si="64"/>
        <v>MO</v>
      </c>
      <c r="AC119" t="str">
        <f t="shared" si="64"/>
        <v>MT</v>
      </c>
      <c r="AD119" t="str">
        <f t="shared" si="64"/>
        <v>NE</v>
      </c>
      <c r="AE119" t="str">
        <f t="shared" si="64"/>
        <v>NV</v>
      </c>
      <c r="AF119" t="str">
        <f t="shared" si="64"/>
        <v>NH</v>
      </c>
      <c r="AG119" t="str">
        <f t="shared" si="64"/>
        <v>NJ</v>
      </c>
      <c r="AH119" t="str">
        <f t="shared" si="64"/>
        <v>NM</v>
      </c>
      <c r="AI119" t="str">
        <f t="shared" si="64"/>
        <v>NY</v>
      </c>
      <c r="AJ119" t="str">
        <f t="shared" si="64"/>
        <v>NC</v>
      </c>
      <c r="AK119" t="str">
        <f t="shared" si="64"/>
        <v>ND</v>
      </c>
      <c r="AL119" t="str">
        <f t="shared" si="64"/>
        <v>OH</v>
      </c>
      <c r="AM119" t="str">
        <f t="shared" si="64"/>
        <v>OK</v>
      </c>
      <c r="AN119" t="str">
        <f t="shared" si="64"/>
        <v>OR</v>
      </c>
      <c r="AO119" t="str">
        <f t="shared" si="64"/>
        <v>PA</v>
      </c>
      <c r="AP119" t="str">
        <f t="shared" si="64"/>
        <v>RI</v>
      </c>
      <c r="AQ119" t="str">
        <f t="shared" si="64"/>
        <v>SC</v>
      </c>
      <c r="AR119" t="str">
        <f t="shared" si="64"/>
        <v>SD</v>
      </c>
      <c r="AS119" t="str">
        <f t="shared" si="64"/>
        <v>TN</v>
      </c>
      <c r="AT119" t="str">
        <f t="shared" si="64"/>
        <v>TX</v>
      </c>
      <c r="AU119" t="str">
        <f t="shared" si="64"/>
        <v>UT</v>
      </c>
      <c r="AV119" t="str">
        <f t="shared" si="64"/>
        <v>VT</v>
      </c>
      <c r="AW119" t="str">
        <f t="shared" si="64"/>
        <v>VA</v>
      </c>
      <c r="AX119" t="str">
        <f t="shared" si="64"/>
        <v>WA</v>
      </c>
      <c r="AY119" t="str">
        <f t="shared" si="64"/>
        <v>WV</v>
      </c>
      <c r="AZ119" t="str">
        <f t="shared" si="64"/>
        <v>WI</v>
      </c>
      <c r="BA119" t="str">
        <f t="shared" si="64"/>
        <v>WY</v>
      </c>
      <c r="BB119" t="s">
        <v>96</v>
      </c>
    </row>
    <row r="120" spans="1:54">
      <c r="A120" s="456"/>
      <c r="B120" s="226" t="s">
        <v>11</v>
      </c>
    </row>
    <row r="121" spans="1:54">
      <c r="A121" s="456"/>
      <c r="B121" s="228">
        <v>2007</v>
      </c>
      <c r="C121" s="21">
        <f>C67-C94</f>
        <v>0</v>
      </c>
      <c r="D121" s="21">
        <f t="shared" ref="D121:BA121" si="65">D67-D94</f>
        <v>0</v>
      </c>
      <c r="E121" s="21">
        <f t="shared" si="65"/>
        <v>0</v>
      </c>
      <c r="F121" s="21">
        <f t="shared" si="65"/>
        <v>0</v>
      </c>
      <c r="G121" s="21">
        <f t="shared" si="65"/>
        <v>0</v>
      </c>
      <c r="H121" s="21">
        <f t="shared" si="65"/>
        <v>0</v>
      </c>
      <c r="I121" s="21">
        <f t="shared" si="65"/>
        <v>0</v>
      </c>
      <c r="J121" s="21">
        <f t="shared" si="65"/>
        <v>0</v>
      </c>
      <c r="K121" s="21">
        <f t="shared" si="65"/>
        <v>0</v>
      </c>
      <c r="L121" s="21">
        <f t="shared" si="65"/>
        <v>0</v>
      </c>
      <c r="M121" s="21">
        <f t="shared" si="65"/>
        <v>0</v>
      </c>
      <c r="N121" s="21">
        <f t="shared" si="65"/>
        <v>0</v>
      </c>
      <c r="O121" s="21">
        <f t="shared" si="65"/>
        <v>0</v>
      </c>
      <c r="P121" s="21">
        <f t="shared" si="65"/>
        <v>0</v>
      </c>
      <c r="Q121" s="21">
        <f t="shared" si="65"/>
        <v>0</v>
      </c>
      <c r="R121" s="21">
        <f t="shared" si="65"/>
        <v>0</v>
      </c>
      <c r="S121" s="21">
        <f t="shared" si="65"/>
        <v>0</v>
      </c>
      <c r="T121" s="21">
        <f t="shared" si="65"/>
        <v>0</v>
      </c>
      <c r="U121" s="21">
        <f t="shared" si="65"/>
        <v>0</v>
      </c>
      <c r="V121" s="21">
        <f t="shared" si="65"/>
        <v>0</v>
      </c>
      <c r="W121" s="21">
        <f t="shared" si="65"/>
        <v>0</v>
      </c>
      <c r="X121" s="21">
        <f t="shared" si="65"/>
        <v>0</v>
      </c>
      <c r="Y121" s="21">
        <f t="shared" si="65"/>
        <v>0</v>
      </c>
      <c r="Z121" s="21">
        <f t="shared" si="65"/>
        <v>0</v>
      </c>
      <c r="AA121" s="21">
        <f t="shared" si="65"/>
        <v>0</v>
      </c>
      <c r="AB121" s="21">
        <f t="shared" si="65"/>
        <v>0</v>
      </c>
      <c r="AC121" s="21">
        <f t="shared" si="65"/>
        <v>0</v>
      </c>
      <c r="AD121" s="21">
        <f t="shared" si="65"/>
        <v>0</v>
      </c>
      <c r="AE121" s="21">
        <f t="shared" si="65"/>
        <v>0</v>
      </c>
      <c r="AF121" s="21">
        <f t="shared" si="65"/>
        <v>0</v>
      </c>
      <c r="AG121" s="21">
        <f t="shared" si="65"/>
        <v>0</v>
      </c>
      <c r="AH121" s="21">
        <f t="shared" si="65"/>
        <v>0</v>
      </c>
      <c r="AI121" s="21">
        <f t="shared" si="65"/>
        <v>0</v>
      </c>
      <c r="AJ121" s="21">
        <f t="shared" si="65"/>
        <v>0</v>
      </c>
      <c r="AK121" s="21">
        <f t="shared" si="65"/>
        <v>0</v>
      </c>
      <c r="AL121" s="21">
        <f t="shared" si="65"/>
        <v>0</v>
      </c>
      <c r="AM121" s="21">
        <f t="shared" si="65"/>
        <v>0</v>
      </c>
      <c r="AN121" s="21">
        <f t="shared" si="65"/>
        <v>0</v>
      </c>
      <c r="AO121" s="21">
        <f t="shared" si="65"/>
        <v>0</v>
      </c>
      <c r="AP121" s="21">
        <f t="shared" si="65"/>
        <v>0</v>
      </c>
      <c r="AQ121" s="21">
        <f t="shared" si="65"/>
        <v>0</v>
      </c>
      <c r="AR121" s="21">
        <f t="shared" si="65"/>
        <v>0</v>
      </c>
      <c r="AS121" s="21">
        <f t="shared" si="65"/>
        <v>0</v>
      </c>
      <c r="AT121" s="21">
        <f t="shared" si="65"/>
        <v>0</v>
      </c>
      <c r="AU121" s="21">
        <f t="shared" si="65"/>
        <v>0</v>
      </c>
      <c r="AV121" s="21">
        <f t="shared" si="65"/>
        <v>0</v>
      </c>
      <c r="AW121" s="21">
        <f t="shared" si="65"/>
        <v>0</v>
      </c>
      <c r="AX121" s="21">
        <f t="shared" si="65"/>
        <v>0</v>
      </c>
      <c r="AY121" s="21">
        <f t="shared" si="65"/>
        <v>0</v>
      </c>
      <c r="AZ121" s="21">
        <f t="shared" si="65"/>
        <v>0</v>
      </c>
      <c r="BA121" s="21">
        <f t="shared" si="65"/>
        <v>0</v>
      </c>
      <c r="BB121" s="21">
        <f t="shared" ref="BB121:BB144" si="66">SUM(C121:BA121)</f>
        <v>0</v>
      </c>
    </row>
    <row r="122" spans="1:54">
      <c r="A122" s="456"/>
      <c r="B122" s="226">
        <v>2008</v>
      </c>
      <c r="C122" s="21">
        <f t="shared" ref="C122:BA122" si="67">C68-C95</f>
        <v>0</v>
      </c>
      <c r="D122" s="21">
        <f t="shared" si="67"/>
        <v>0</v>
      </c>
      <c r="E122" s="21">
        <f t="shared" si="67"/>
        <v>0</v>
      </c>
      <c r="F122" s="21">
        <f t="shared" si="67"/>
        <v>0</v>
      </c>
      <c r="G122" s="21">
        <f t="shared" si="67"/>
        <v>0</v>
      </c>
      <c r="H122" s="21">
        <f t="shared" si="67"/>
        <v>0</v>
      </c>
      <c r="I122" s="21">
        <f t="shared" si="67"/>
        <v>0</v>
      </c>
      <c r="J122" s="21">
        <f t="shared" si="67"/>
        <v>0</v>
      </c>
      <c r="K122" s="21">
        <f t="shared" si="67"/>
        <v>0</v>
      </c>
      <c r="L122" s="21">
        <f t="shared" si="67"/>
        <v>0</v>
      </c>
      <c r="M122" s="21">
        <f t="shared" si="67"/>
        <v>0</v>
      </c>
      <c r="N122" s="21">
        <f t="shared" si="67"/>
        <v>0</v>
      </c>
      <c r="O122" s="21">
        <f t="shared" si="67"/>
        <v>0</v>
      </c>
      <c r="P122" s="21">
        <f t="shared" si="67"/>
        <v>0</v>
      </c>
      <c r="Q122" s="21">
        <f t="shared" si="67"/>
        <v>0</v>
      </c>
      <c r="R122" s="21">
        <f t="shared" si="67"/>
        <v>0</v>
      </c>
      <c r="S122" s="21">
        <f t="shared" si="67"/>
        <v>0</v>
      </c>
      <c r="T122" s="21">
        <f t="shared" si="67"/>
        <v>0</v>
      </c>
      <c r="U122" s="21">
        <f t="shared" si="67"/>
        <v>0</v>
      </c>
      <c r="V122" s="21">
        <f t="shared" si="67"/>
        <v>0</v>
      </c>
      <c r="W122" s="21">
        <f t="shared" si="67"/>
        <v>0</v>
      </c>
      <c r="X122" s="21">
        <f t="shared" si="67"/>
        <v>0</v>
      </c>
      <c r="Y122" s="21">
        <f t="shared" si="67"/>
        <v>0</v>
      </c>
      <c r="Z122" s="21">
        <f t="shared" si="67"/>
        <v>0</v>
      </c>
      <c r="AA122" s="21">
        <f t="shared" si="67"/>
        <v>0</v>
      </c>
      <c r="AB122" s="21">
        <f t="shared" si="67"/>
        <v>0</v>
      </c>
      <c r="AC122" s="21">
        <f t="shared" si="67"/>
        <v>0</v>
      </c>
      <c r="AD122" s="21">
        <f t="shared" si="67"/>
        <v>0</v>
      </c>
      <c r="AE122" s="21">
        <f t="shared" si="67"/>
        <v>0</v>
      </c>
      <c r="AF122" s="21">
        <f t="shared" si="67"/>
        <v>0</v>
      </c>
      <c r="AG122" s="21">
        <f t="shared" si="67"/>
        <v>0</v>
      </c>
      <c r="AH122" s="21">
        <f t="shared" si="67"/>
        <v>0</v>
      </c>
      <c r="AI122" s="21">
        <f t="shared" si="67"/>
        <v>0</v>
      </c>
      <c r="AJ122" s="21">
        <f t="shared" si="67"/>
        <v>0</v>
      </c>
      <c r="AK122" s="21">
        <f t="shared" si="67"/>
        <v>0</v>
      </c>
      <c r="AL122" s="21">
        <f t="shared" si="67"/>
        <v>0</v>
      </c>
      <c r="AM122" s="21">
        <f t="shared" si="67"/>
        <v>0</v>
      </c>
      <c r="AN122" s="21">
        <f t="shared" si="67"/>
        <v>0</v>
      </c>
      <c r="AO122" s="21">
        <f t="shared" si="67"/>
        <v>0</v>
      </c>
      <c r="AP122" s="21">
        <f t="shared" si="67"/>
        <v>0</v>
      </c>
      <c r="AQ122" s="21">
        <f t="shared" si="67"/>
        <v>0</v>
      </c>
      <c r="AR122" s="21">
        <f t="shared" si="67"/>
        <v>0</v>
      </c>
      <c r="AS122" s="21">
        <f t="shared" si="67"/>
        <v>0</v>
      </c>
      <c r="AT122" s="21">
        <f t="shared" si="67"/>
        <v>0</v>
      </c>
      <c r="AU122" s="21">
        <f t="shared" si="67"/>
        <v>0</v>
      </c>
      <c r="AV122" s="21">
        <f t="shared" si="67"/>
        <v>0</v>
      </c>
      <c r="AW122" s="21">
        <f t="shared" si="67"/>
        <v>0</v>
      </c>
      <c r="AX122" s="21">
        <f t="shared" si="67"/>
        <v>0</v>
      </c>
      <c r="AY122" s="21">
        <f t="shared" si="67"/>
        <v>0</v>
      </c>
      <c r="AZ122" s="21">
        <f t="shared" si="67"/>
        <v>0</v>
      </c>
      <c r="BA122" s="21">
        <f t="shared" si="67"/>
        <v>0</v>
      </c>
      <c r="BB122" s="21">
        <f t="shared" si="66"/>
        <v>0</v>
      </c>
    </row>
    <row r="123" spans="1:54">
      <c r="A123" s="456"/>
      <c r="B123" s="228">
        <v>2009</v>
      </c>
      <c r="C123" s="21">
        <f t="shared" ref="C123:BA123" si="68">C69-C96</f>
        <v>0</v>
      </c>
      <c r="D123" s="21">
        <f t="shared" si="68"/>
        <v>0</v>
      </c>
      <c r="E123" s="21">
        <f t="shared" si="68"/>
        <v>0</v>
      </c>
      <c r="F123" s="21">
        <f t="shared" si="68"/>
        <v>0</v>
      </c>
      <c r="G123" s="21">
        <f t="shared" si="68"/>
        <v>0</v>
      </c>
      <c r="H123" s="21">
        <f t="shared" si="68"/>
        <v>0</v>
      </c>
      <c r="I123" s="21">
        <f t="shared" si="68"/>
        <v>0</v>
      </c>
      <c r="J123" s="21">
        <f t="shared" si="68"/>
        <v>0</v>
      </c>
      <c r="K123" s="21">
        <f t="shared" si="68"/>
        <v>0</v>
      </c>
      <c r="L123" s="21">
        <f t="shared" si="68"/>
        <v>0</v>
      </c>
      <c r="M123" s="21">
        <f t="shared" si="68"/>
        <v>0</v>
      </c>
      <c r="N123" s="21">
        <f t="shared" si="68"/>
        <v>0</v>
      </c>
      <c r="O123" s="21">
        <f t="shared" si="68"/>
        <v>0</v>
      </c>
      <c r="P123" s="21">
        <f t="shared" si="68"/>
        <v>0</v>
      </c>
      <c r="Q123" s="21">
        <f t="shared" si="68"/>
        <v>0</v>
      </c>
      <c r="R123" s="21">
        <f t="shared" si="68"/>
        <v>0</v>
      </c>
      <c r="S123" s="21">
        <f t="shared" si="68"/>
        <v>0</v>
      </c>
      <c r="T123" s="21">
        <f t="shared" si="68"/>
        <v>0</v>
      </c>
      <c r="U123" s="21">
        <f t="shared" si="68"/>
        <v>0</v>
      </c>
      <c r="V123" s="21">
        <f t="shared" si="68"/>
        <v>0</v>
      </c>
      <c r="W123" s="21">
        <f t="shared" si="68"/>
        <v>0</v>
      </c>
      <c r="X123" s="21">
        <f t="shared" si="68"/>
        <v>0</v>
      </c>
      <c r="Y123" s="21">
        <f t="shared" si="68"/>
        <v>0</v>
      </c>
      <c r="Z123" s="21">
        <f t="shared" si="68"/>
        <v>0</v>
      </c>
      <c r="AA123" s="21">
        <f t="shared" si="68"/>
        <v>0</v>
      </c>
      <c r="AB123" s="21">
        <f t="shared" si="68"/>
        <v>0</v>
      </c>
      <c r="AC123" s="21">
        <f t="shared" si="68"/>
        <v>0</v>
      </c>
      <c r="AD123" s="21">
        <f t="shared" si="68"/>
        <v>0</v>
      </c>
      <c r="AE123" s="21">
        <f t="shared" si="68"/>
        <v>0</v>
      </c>
      <c r="AF123" s="21">
        <f t="shared" si="68"/>
        <v>0</v>
      </c>
      <c r="AG123" s="21">
        <f t="shared" si="68"/>
        <v>0</v>
      </c>
      <c r="AH123" s="21">
        <f t="shared" si="68"/>
        <v>0</v>
      </c>
      <c r="AI123" s="21">
        <f t="shared" si="68"/>
        <v>0</v>
      </c>
      <c r="AJ123" s="21">
        <f t="shared" si="68"/>
        <v>0</v>
      </c>
      <c r="AK123" s="21">
        <f t="shared" si="68"/>
        <v>0</v>
      </c>
      <c r="AL123" s="21">
        <f t="shared" si="68"/>
        <v>0</v>
      </c>
      <c r="AM123" s="21">
        <f t="shared" si="68"/>
        <v>0</v>
      </c>
      <c r="AN123" s="21">
        <f t="shared" si="68"/>
        <v>0</v>
      </c>
      <c r="AO123" s="21">
        <f t="shared" si="68"/>
        <v>0</v>
      </c>
      <c r="AP123" s="21">
        <f t="shared" si="68"/>
        <v>0</v>
      </c>
      <c r="AQ123" s="21">
        <f t="shared" si="68"/>
        <v>0</v>
      </c>
      <c r="AR123" s="21">
        <f t="shared" si="68"/>
        <v>0</v>
      </c>
      <c r="AS123" s="21">
        <f t="shared" si="68"/>
        <v>0</v>
      </c>
      <c r="AT123" s="21">
        <f t="shared" si="68"/>
        <v>0</v>
      </c>
      <c r="AU123" s="21">
        <f t="shared" si="68"/>
        <v>0</v>
      </c>
      <c r="AV123" s="21">
        <f t="shared" si="68"/>
        <v>0</v>
      </c>
      <c r="AW123" s="21">
        <f t="shared" si="68"/>
        <v>0</v>
      </c>
      <c r="AX123" s="21">
        <f t="shared" si="68"/>
        <v>0</v>
      </c>
      <c r="AY123" s="21">
        <f t="shared" si="68"/>
        <v>0</v>
      </c>
      <c r="AZ123" s="21">
        <f t="shared" si="68"/>
        <v>0</v>
      </c>
      <c r="BA123" s="21">
        <f t="shared" si="68"/>
        <v>0</v>
      </c>
      <c r="BB123" s="21">
        <f t="shared" si="66"/>
        <v>0</v>
      </c>
    </row>
    <row r="124" spans="1:54">
      <c r="A124" s="456"/>
      <c r="B124" s="226">
        <v>2010</v>
      </c>
      <c r="C124" s="21">
        <f t="shared" ref="C124:BA124" si="69">C70-C97</f>
        <v>0</v>
      </c>
      <c r="D124" s="21">
        <f t="shared" si="69"/>
        <v>0</v>
      </c>
      <c r="E124" s="21">
        <f t="shared" si="69"/>
        <v>0</v>
      </c>
      <c r="F124" s="21">
        <f t="shared" si="69"/>
        <v>0</v>
      </c>
      <c r="G124" s="21">
        <f t="shared" si="69"/>
        <v>0</v>
      </c>
      <c r="H124" s="21">
        <f t="shared" si="69"/>
        <v>0</v>
      </c>
      <c r="I124" s="21">
        <f t="shared" si="69"/>
        <v>0</v>
      </c>
      <c r="J124" s="21">
        <f t="shared" si="69"/>
        <v>0</v>
      </c>
      <c r="K124" s="21">
        <f t="shared" si="69"/>
        <v>0</v>
      </c>
      <c r="L124" s="21">
        <f t="shared" si="69"/>
        <v>0</v>
      </c>
      <c r="M124" s="21">
        <f t="shared" si="69"/>
        <v>0</v>
      </c>
      <c r="N124" s="21">
        <f t="shared" si="69"/>
        <v>0</v>
      </c>
      <c r="O124" s="21">
        <f t="shared" si="69"/>
        <v>0</v>
      </c>
      <c r="P124" s="21">
        <f t="shared" si="69"/>
        <v>0</v>
      </c>
      <c r="Q124" s="21">
        <f t="shared" si="69"/>
        <v>0</v>
      </c>
      <c r="R124" s="21">
        <f t="shared" si="69"/>
        <v>0</v>
      </c>
      <c r="S124" s="21">
        <f t="shared" si="69"/>
        <v>0</v>
      </c>
      <c r="T124" s="21">
        <f t="shared" si="69"/>
        <v>0</v>
      </c>
      <c r="U124" s="21">
        <f t="shared" si="69"/>
        <v>0</v>
      </c>
      <c r="V124" s="21">
        <f t="shared" si="69"/>
        <v>0</v>
      </c>
      <c r="W124" s="21">
        <f t="shared" si="69"/>
        <v>0</v>
      </c>
      <c r="X124" s="21">
        <f t="shared" si="69"/>
        <v>0</v>
      </c>
      <c r="Y124" s="21">
        <f t="shared" si="69"/>
        <v>0</v>
      </c>
      <c r="Z124" s="21">
        <f t="shared" si="69"/>
        <v>0</v>
      </c>
      <c r="AA124" s="21">
        <f t="shared" si="69"/>
        <v>0</v>
      </c>
      <c r="AB124" s="21">
        <f t="shared" si="69"/>
        <v>0</v>
      </c>
      <c r="AC124" s="21">
        <f t="shared" si="69"/>
        <v>0</v>
      </c>
      <c r="AD124" s="21">
        <f t="shared" si="69"/>
        <v>0</v>
      </c>
      <c r="AE124" s="21">
        <f t="shared" si="69"/>
        <v>0</v>
      </c>
      <c r="AF124" s="21">
        <f t="shared" si="69"/>
        <v>0</v>
      </c>
      <c r="AG124" s="21">
        <f t="shared" si="69"/>
        <v>0</v>
      </c>
      <c r="AH124" s="21">
        <f t="shared" si="69"/>
        <v>0</v>
      </c>
      <c r="AI124" s="21">
        <f t="shared" si="69"/>
        <v>0</v>
      </c>
      <c r="AJ124" s="21">
        <f t="shared" si="69"/>
        <v>0</v>
      </c>
      <c r="AK124" s="21">
        <f t="shared" si="69"/>
        <v>0</v>
      </c>
      <c r="AL124" s="21">
        <f t="shared" si="69"/>
        <v>0</v>
      </c>
      <c r="AM124" s="21">
        <f t="shared" si="69"/>
        <v>0</v>
      </c>
      <c r="AN124" s="21">
        <f t="shared" si="69"/>
        <v>0</v>
      </c>
      <c r="AO124" s="21">
        <f t="shared" si="69"/>
        <v>0</v>
      </c>
      <c r="AP124" s="21">
        <f t="shared" si="69"/>
        <v>0</v>
      </c>
      <c r="AQ124" s="21">
        <f t="shared" si="69"/>
        <v>0</v>
      </c>
      <c r="AR124" s="21">
        <f t="shared" si="69"/>
        <v>0</v>
      </c>
      <c r="AS124" s="21">
        <f t="shared" si="69"/>
        <v>0</v>
      </c>
      <c r="AT124" s="21">
        <f t="shared" si="69"/>
        <v>0</v>
      </c>
      <c r="AU124" s="21">
        <f t="shared" si="69"/>
        <v>0</v>
      </c>
      <c r="AV124" s="21">
        <f t="shared" si="69"/>
        <v>0</v>
      </c>
      <c r="AW124" s="21">
        <f t="shared" si="69"/>
        <v>0</v>
      </c>
      <c r="AX124" s="21">
        <f t="shared" si="69"/>
        <v>0</v>
      </c>
      <c r="AY124" s="21">
        <f t="shared" si="69"/>
        <v>0</v>
      </c>
      <c r="AZ124" s="21">
        <f t="shared" si="69"/>
        <v>0</v>
      </c>
      <c r="BA124" s="21">
        <f t="shared" si="69"/>
        <v>0</v>
      </c>
      <c r="BB124" s="21">
        <f t="shared" si="66"/>
        <v>0</v>
      </c>
    </row>
    <row r="125" spans="1:54">
      <c r="A125" s="456"/>
      <c r="B125" s="228">
        <v>2011</v>
      </c>
      <c r="C125" s="21">
        <f t="shared" ref="C125:BA125" si="70">C71-C98</f>
        <v>0</v>
      </c>
      <c r="D125" s="21">
        <f t="shared" si="70"/>
        <v>0</v>
      </c>
      <c r="E125" s="21">
        <f t="shared" si="70"/>
        <v>0</v>
      </c>
      <c r="F125" s="21">
        <f t="shared" si="70"/>
        <v>0</v>
      </c>
      <c r="G125" s="21">
        <f t="shared" si="70"/>
        <v>0</v>
      </c>
      <c r="H125" s="21">
        <f t="shared" si="70"/>
        <v>0</v>
      </c>
      <c r="I125" s="21">
        <f t="shared" si="70"/>
        <v>0</v>
      </c>
      <c r="J125" s="21">
        <f t="shared" si="70"/>
        <v>0</v>
      </c>
      <c r="K125" s="21">
        <f t="shared" si="70"/>
        <v>0</v>
      </c>
      <c r="L125" s="21">
        <f t="shared" si="70"/>
        <v>0</v>
      </c>
      <c r="M125" s="21">
        <f t="shared" si="70"/>
        <v>0</v>
      </c>
      <c r="N125" s="21">
        <f t="shared" si="70"/>
        <v>0</v>
      </c>
      <c r="O125" s="21">
        <f t="shared" si="70"/>
        <v>0</v>
      </c>
      <c r="P125" s="21">
        <f t="shared" si="70"/>
        <v>0</v>
      </c>
      <c r="Q125" s="21">
        <f t="shared" si="70"/>
        <v>0</v>
      </c>
      <c r="R125" s="21">
        <f t="shared" si="70"/>
        <v>0</v>
      </c>
      <c r="S125" s="21">
        <f t="shared" si="70"/>
        <v>0</v>
      </c>
      <c r="T125" s="21">
        <f t="shared" si="70"/>
        <v>0</v>
      </c>
      <c r="U125" s="21">
        <f t="shared" si="70"/>
        <v>0</v>
      </c>
      <c r="V125" s="21">
        <f t="shared" si="70"/>
        <v>0</v>
      </c>
      <c r="W125" s="21">
        <f t="shared" si="70"/>
        <v>0</v>
      </c>
      <c r="X125" s="21">
        <f t="shared" si="70"/>
        <v>0</v>
      </c>
      <c r="Y125" s="21">
        <f t="shared" si="70"/>
        <v>0</v>
      </c>
      <c r="Z125" s="21">
        <f t="shared" si="70"/>
        <v>0</v>
      </c>
      <c r="AA125" s="21">
        <f t="shared" si="70"/>
        <v>0</v>
      </c>
      <c r="AB125" s="21">
        <f t="shared" si="70"/>
        <v>0</v>
      </c>
      <c r="AC125" s="21">
        <f t="shared" si="70"/>
        <v>0</v>
      </c>
      <c r="AD125" s="21">
        <f t="shared" si="70"/>
        <v>0</v>
      </c>
      <c r="AE125" s="21">
        <f t="shared" si="70"/>
        <v>0</v>
      </c>
      <c r="AF125" s="21">
        <f t="shared" si="70"/>
        <v>0</v>
      </c>
      <c r="AG125" s="21">
        <f t="shared" si="70"/>
        <v>0</v>
      </c>
      <c r="AH125" s="21">
        <f t="shared" si="70"/>
        <v>0</v>
      </c>
      <c r="AI125" s="21">
        <f t="shared" si="70"/>
        <v>0</v>
      </c>
      <c r="AJ125" s="21">
        <f t="shared" si="70"/>
        <v>0</v>
      </c>
      <c r="AK125" s="21">
        <f t="shared" si="70"/>
        <v>0</v>
      </c>
      <c r="AL125" s="21">
        <f t="shared" si="70"/>
        <v>0</v>
      </c>
      <c r="AM125" s="21">
        <f t="shared" si="70"/>
        <v>0</v>
      </c>
      <c r="AN125" s="21">
        <f t="shared" si="70"/>
        <v>0</v>
      </c>
      <c r="AO125" s="21">
        <f t="shared" si="70"/>
        <v>0</v>
      </c>
      <c r="AP125" s="21">
        <f t="shared" si="70"/>
        <v>0</v>
      </c>
      <c r="AQ125" s="21">
        <f t="shared" si="70"/>
        <v>0</v>
      </c>
      <c r="AR125" s="21">
        <f t="shared" si="70"/>
        <v>0</v>
      </c>
      <c r="AS125" s="21">
        <f t="shared" si="70"/>
        <v>0</v>
      </c>
      <c r="AT125" s="21">
        <f t="shared" si="70"/>
        <v>0</v>
      </c>
      <c r="AU125" s="21">
        <f t="shared" si="70"/>
        <v>0</v>
      </c>
      <c r="AV125" s="21">
        <f t="shared" si="70"/>
        <v>0</v>
      </c>
      <c r="AW125" s="21">
        <f t="shared" si="70"/>
        <v>0</v>
      </c>
      <c r="AX125" s="21">
        <f t="shared" si="70"/>
        <v>0</v>
      </c>
      <c r="AY125" s="21">
        <f t="shared" si="70"/>
        <v>0</v>
      </c>
      <c r="AZ125" s="21">
        <f t="shared" si="70"/>
        <v>0</v>
      </c>
      <c r="BA125" s="21">
        <f t="shared" si="70"/>
        <v>0</v>
      </c>
      <c r="BB125" s="21">
        <f t="shared" si="66"/>
        <v>0</v>
      </c>
    </row>
    <row r="126" spans="1:54">
      <c r="A126" s="456"/>
      <c r="B126" s="226">
        <v>2012</v>
      </c>
      <c r="C126" s="21">
        <f t="shared" ref="C126:BA126" si="71">C72-C99</f>
        <v>0</v>
      </c>
      <c r="D126" s="21">
        <f t="shared" si="71"/>
        <v>0</v>
      </c>
      <c r="E126" s="21">
        <f t="shared" si="71"/>
        <v>0</v>
      </c>
      <c r="F126" s="21">
        <f t="shared" si="71"/>
        <v>0</v>
      </c>
      <c r="G126" s="21">
        <f t="shared" si="71"/>
        <v>0</v>
      </c>
      <c r="H126" s="21">
        <f t="shared" si="71"/>
        <v>0</v>
      </c>
      <c r="I126" s="21">
        <f t="shared" si="71"/>
        <v>0</v>
      </c>
      <c r="J126" s="21">
        <f t="shared" si="71"/>
        <v>0</v>
      </c>
      <c r="K126" s="21">
        <f t="shared" si="71"/>
        <v>0</v>
      </c>
      <c r="L126" s="21">
        <f t="shared" si="71"/>
        <v>0</v>
      </c>
      <c r="M126" s="21">
        <f t="shared" si="71"/>
        <v>0</v>
      </c>
      <c r="N126" s="21">
        <f t="shared" si="71"/>
        <v>0</v>
      </c>
      <c r="O126" s="21">
        <f t="shared" si="71"/>
        <v>0</v>
      </c>
      <c r="P126" s="21">
        <f t="shared" si="71"/>
        <v>0</v>
      </c>
      <c r="Q126" s="21">
        <f t="shared" si="71"/>
        <v>0</v>
      </c>
      <c r="R126" s="21">
        <f t="shared" si="71"/>
        <v>0</v>
      </c>
      <c r="S126" s="21">
        <f t="shared" si="71"/>
        <v>0</v>
      </c>
      <c r="T126" s="21">
        <f t="shared" si="71"/>
        <v>0</v>
      </c>
      <c r="U126" s="21">
        <f t="shared" si="71"/>
        <v>0</v>
      </c>
      <c r="V126" s="21">
        <f t="shared" si="71"/>
        <v>0</v>
      </c>
      <c r="W126" s="21">
        <f t="shared" si="71"/>
        <v>0</v>
      </c>
      <c r="X126" s="21">
        <f t="shared" si="71"/>
        <v>0</v>
      </c>
      <c r="Y126" s="21">
        <f t="shared" si="71"/>
        <v>0</v>
      </c>
      <c r="Z126" s="21">
        <f t="shared" si="71"/>
        <v>0</v>
      </c>
      <c r="AA126" s="21">
        <f t="shared" si="71"/>
        <v>0</v>
      </c>
      <c r="AB126" s="21">
        <f t="shared" si="71"/>
        <v>0</v>
      </c>
      <c r="AC126" s="21">
        <f t="shared" si="71"/>
        <v>0</v>
      </c>
      <c r="AD126" s="21">
        <f t="shared" si="71"/>
        <v>0</v>
      </c>
      <c r="AE126" s="21">
        <f t="shared" si="71"/>
        <v>0</v>
      </c>
      <c r="AF126" s="21">
        <f t="shared" si="71"/>
        <v>0</v>
      </c>
      <c r="AG126" s="21">
        <f t="shared" si="71"/>
        <v>0</v>
      </c>
      <c r="AH126" s="21">
        <f t="shared" si="71"/>
        <v>0</v>
      </c>
      <c r="AI126" s="21">
        <f t="shared" si="71"/>
        <v>0</v>
      </c>
      <c r="AJ126" s="21">
        <f t="shared" si="71"/>
        <v>0</v>
      </c>
      <c r="AK126" s="21">
        <f t="shared" si="71"/>
        <v>0</v>
      </c>
      <c r="AL126" s="21">
        <f t="shared" si="71"/>
        <v>0</v>
      </c>
      <c r="AM126" s="21">
        <f t="shared" si="71"/>
        <v>0</v>
      </c>
      <c r="AN126" s="21">
        <f t="shared" si="71"/>
        <v>0</v>
      </c>
      <c r="AO126" s="21">
        <f t="shared" si="71"/>
        <v>0</v>
      </c>
      <c r="AP126" s="21">
        <f t="shared" si="71"/>
        <v>0</v>
      </c>
      <c r="AQ126" s="21">
        <f t="shared" si="71"/>
        <v>0</v>
      </c>
      <c r="AR126" s="21">
        <f t="shared" si="71"/>
        <v>0</v>
      </c>
      <c r="AS126" s="21">
        <f t="shared" si="71"/>
        <v>0</v>
      </c>
      <c r="AT126" s="21">
        <f t="shared" si="71"/>
        <v>0</v>
      </c>
      <c r="AU126" s="21">
        <f t="shared" si="71"/>
        <v>0</v>
      </c>
      <c r="AV126" s="21">
        <f t="shared" si="71"/>
        <v>0</v>
      </c>
      <c r="AW126" s="21">
        <f t="shared" si="71"/>
        <v>0</v>
      </c>
      <c r="AX126" s="21">
        <f t="shared" si="71"/>
        <v>0</v>
      </c>
      <c r="AY126" s="21">
        <f t="shared" si="71"/>
        <v>0</v>
      </c>
      <c r="AZ126" s="21">
        <f t="shared" si="71"/>
        <v>0</v>
      </c>
      <c r="BA126" s="21">
        <f t="shared" si="71"/>
        <v>0</v>
      </c>
      <c r="BB126" s="21">
        <f t="shared" si="66"/>
        <v>0</v>
      </c>
    </row>
    <row r="127" spans="1:54">
      <c r="A127" s="456"/>
      <c r="B127" s="228">
        <v>2013</v>
      </c>
      <c r="C127" s="21">
        <f t="shared" ref="C127:BA127" si="72">C73-C100</f>
        <v>0</v>
      </c>
      <c r="D127" s="21">
        <f t="shared" si="72"/>
        <v>0</v>
      </c>
      <c r="E127" s="21">
        <f t="shared" si="72"/>
        <v>0</v>
      </c>
      <c r="F127" s="21">
        <f t="shared" si="72"/>
        <v>0</v>
      </c>
      <c r="G127" s="21">
        <f t="shared" si="72"/>
        <v>0</v>
      </c>
      <c r="H127" s="21">
        <f t="shared" si="72"/>
        <v>0</v>
      </c>
      <c r="I127" s="21">
        <f t="shared" si="72"/>
        <v>0</v>
      </c>
      <c r="J127" s="21">
        <f t="shared" si="72"/>
        <v>0</v>
      </c>
      <c r="K127" s="21">
        <f t="shared" si="72"/>
        <v>0</v>
      </c>
      <c r="L127" s="21">
        <f t="shared" si="72"/>
        <v>0</v>
      </c>
      <c r="M127" s="21">
        <f t="shared" si="72"/>
        <v>0</v>
      </c>
      <c r="N127" s="21">
        <f t="shared" si="72"/>
        <v>0</v>
      </c>
      <c r="O127" s="21">
        <f t="shared" si="72"/>
        <v>0</v>
      </c>
      <c r="P127" s="21">
        <f t="shared" si="72"/>
        <v>0</v>
      </c>
      <c r="Q127" s="21">
        <f t="shared" si="72"/>
        <v>0</v>
      </c>
      <c r="R127" s="21">
        <f t="shared" si="72"/>
        <v>0</v>
      </c>
      <c r="S127" s="21">
        <f t="shared" si="72"/>
        <v>0</v>
      </c>
      <c r="T127" s="21">
        <f t="shared" si="72"/>
        <v>0</v>
      </c>
      <c r="U127" s="21">
        <f t="shared" si="72"/>
        <v>0</v>
      </c>
      <c r="V127" s="21">
        <f t="shared" si="72"/>
        <v>0</v>
      </c>
      <c r="W127" s="21">
        <f t="shared" si="72"/>
        <v>0</v>
      </c>
      <c r="X127" s="21">
        <f t="shared" si="72"/>
        <v>0</v>
      </c>
      <c r="Y127" s="21">
        <f t="shared" si="72"/>
        <v>0</v>
      </c>
      <c r="Z127" s="21">
        <f t="shared" si="72"/>
        <v>0</v>
      </c>
      <c r="AA127" s="21">
        <f t="shared" si="72"/>
        <v>0</v>
      </c>
      <c r="AB127" s="21">
        <f t="shared" si="72"/>
        <v>0</v>
      </c>
      <c r="AC127" s="21">
        <f t="shared" si="72"/>
        <v>0</v>
      </c>
      <c r="AD127" s="21">
        <f t="shared" si="72"/>
        <v>0</v>
      </c>
      <c r="AE127" s="21">
        <f t="shared" si="72"/>
        <v>0</v>
      </c>
      <c r="AF127" s="21">
        <f t="shared" si="72"/>
        <v>0</v>
      </c>
      <c r="AG127" s="21">
        <f t="shared" si="72"/>
        <v>0</v>
      </c>
      <c r="AH127" s="21">
        <f t="shared" si="72"/>
        <v>0</v>
      </c>
      <c r="AI127" s="21">
        <f t="shared" si="72"/>
        <v>0</v>
      </c>
      <c r="AJ127" s="21">
        <f t="shared" si="72"/>
        <v>0</v>
      </c>
      <c r="AK127" s="21">
        <f t="shared" si="72"/>
        <v>0</v>
      </c>
      <c r="AL127" s="21">
        <f t="shared" si="72"/>
        <v>0</v>
      </c>
      <c r="AM127" s="21">
        <f t="shared" si="72"/>
        <v>0</v>
      </c>
      <c r="AN127" s="21">
        <f t="shared" si="72"/>
        <v>0</v>
      </c>
      <c r="AO127" s="21">
        <f t="shared" si="72"/>
        <v>0</v>
      </c>
      <c r="AP127" s="21">
        <f t="shared" si="72"/>
        <v>0</v>
      </c>
      <c r="AQ127" s="21">
        <f t="shared" si="72"/>
        <v>0</v>
      </c>
      <c r="AR127" s="21">
        <f t="shared" si="72"/>
        <v>0</v>
      </c>
      <c r="AS127" s="21">
        <f t="shared" si="72"/>
        <v>0</v>
      </c>
      <c r="AT127" s="21">
        <f t="shared" si="72"/>
        <v>0</v>
      </c>
      <c r="AU127" s="21">
        <f t="shared" si="72"/>
        <v>0</v>
      </c>
      <c r="AV127" s="21">
        <f t="shared" si="72"/>
        <v>0</v>
      </c>
      <c r="AW127" s="21">
        <f t="shared" si="72"/>
        <v>0</v>
      </c>
      <c r="AX127" s="21">
        <f t="shared" si="72"/>
        <v>0</v>
      </c>
      <c r="AY127" s="21">
        <f t="shared" si="72"/>
        <v>0</v>
      </c>
      <c r="AZ127" s="21">
        <f t="shared" si="72"/>
        <v>0</v>
      </c>
      <c r="BA127" s="21">
        <f t="shared" si="72"/>
        <v>0</v>
      </c>
      <c r="BB127" s="21">
        <f t="shared" si="66"/>
        <v>0</v>
      </c>
    </row>
    <row r="128" spans="1:54">
      <c r="A128" s="456"/>
      <c r="B128" s="226">
        <v>2014</v>
      </c>
      <c r="C128" s="21">
        <f t="shared" ref="C128:BA128" si="73">C74-C101</f>
        <v>0</v>
      </c>
      <c r="D128" s="21">
        <f t="shared" si="73"/>
        <v>0</v>
      </c>
      <c r="E128" s="21">
        <f t="shared" si="73"/>
        <v>0</v>
      </c>
      <c r="F128" s="21">
        <f t="shared" si="73"/>
        <v>0</v>
      </c>
      <c r="G128" s="21">
        <f t="shared" si="73"/>
        <v>0</v>
      </c>
      <c r="H128" s="21">
        <f t="shared" si="73"/>
        <v>0</v>
      </c>
      <c r="I128" s="21">
        <f t="shared" si="73"/>
        <v>0</v>
      </c>
      <c r="J128" s="21">
        <f t="shared" si="73"/>
        <v>0</v>
      </c>
      <c r="K128" s="21">
        <f t="shared" si="73"/>
        <v>0</v>
      </c>
      <c r="L128" s="21">
        <f t="shared" si="73"/>
        <v>0</v>
      </c>
      <c r="M128" s="21">
        <f t="shared" si="73"/>
        <v>0</v>
      </c>
      <c r="N128" s="21">
        <f t="shared" si="73"/>
        <v>0</v>
      </c>
      <c r="O128" s="21">
        <f t="shared" si="73"/>
        <v>0</v>
      </c>
      <c r="P128" s="21">
        <f t="shared" si="73"/>
        <v>0</v>
      </c>
      <c r="Q128" s="21">
        <f t="shared" si="73"/>
        <v>0</v>
      </c>
      <c r="R128" s="21">
        <f t="shared" si="73"/>
        <v>0</v>
      </c>
      <c r="S128" s="21">
        <f t="shared" si="73"/>
        <v>0</v>
      </c>
      <c r="T128" s="21">
        <f t="shared" si="73"/>
        <v>0</v>
      </c>
      <c r="U128" s="21">
        <f t="shared" si="73"/>
        <v>0</v>
      </c>
      <c r="V128" s="21">
        <f t="shared" si="73"/>
        <v>0</v>
      </c>
      <c r="W128" s="21">
        <f t="shared" si="73"/>
        <v>0</v>
      </c>
      <c r="X128" s="21">
        <f t="shared" si="73"/>
        <v>0</v>
      </c>
      <c r="Y128" s="21">
        <f t="shared" si="73"/>
        <v>0</v>
      </c>
      <c r="Z128" s="21">
        <f t="shared" si="73"/>
        <v>0</v>
      </c>
      <c r="AA128" s="21">
        <f t="shared" si="73"/>
        <v>0</v>
      </c>
      <c r="AB128" s="21">
        <f t="shared" si="73"/>
        <v>0</v>
      </c>
      <c r="AC128" s="21">
        <f t="shared" si="73"/>
        <v>0</v>
      </c>
      <c r="AD128" s="21">
        <f t="shared" si="73"/>
        <v>0</v>
      </c>
      <c r="AE128" s="21">
        <f t="shared" si="73"/>
        <v>0</v>
      </c>
      <c r="AF128" s="21">
        <f t="shared" si="73"/>
        <v>0</v>
      </c>
      <c r="AG128" s="21">
        <f t="shared" si="73"/>
        <v>0</v>
      </c>
      <c r="AH128" s="21">
        <f t="shared" si="73"/>
        <v>0</v>
      </c>
      <c r="AI128" s="21">
        <f t="shared" si="73"/>
        <v>0</v>
      </c>
      <c r="AJ128" s="21">
        <f t="shared" si="73"/>
        <v>0</v>
      </c>
      <c r="AK128" s="21">
        <f t="shared" si="73"/>
        <v>0</v>
      </c>
      <c r="AL128" s="21">
        <f t="shared" si="73"/>
        <v>0</v>
      </c>
      <c r="AM128" s="21">
        <f t="shared" si="73"/>
        <v>0</v>
      </c>
      <c r="AN128" s="21">
        <f t="shared" si="73"/>
        <v>0</v>
      </c>
      <c r="AO128" s="21">
        <f t="shared" si="73"/>
        <v>0</v>
      </c>
      <c r="AP128" s="21">
        <f t="shared" si="73"/>
        <v>0</v>
      </c>
      <c r="AQ128" s="21">
        <f t="shared" si="73"/>
        <v>0</v>
      </c>
      <c r="AR128" s="21">
        <f t="shared" si="73"/>
        <v>0</v>
      </c>
      <c r="AS128" s="21">
        <f t="shared" si="73"/>
        <v>0</v>
      </c>
      <c r="AT128" s="21">
        <f t="shared" si="73"/>
        <v>0</v>
      </c>
      <c r="AU128" s="21">
        <f t="shared" si="73"/>
        <v>0</v>
      </c>
      <c r="AV128" s="21">
        <f t="shared" si="73"/>
        <v>0</v>
      </c>
      <c r="AW128" s="21">
        <f t="shared" si="73"/>
        <v>0</v>
      </c>
      <c r="AX128" s="21">
        <f t="shared" si="73"/>
        <v>0</v>
      </c>
      <c r="AY128" s="21">
        <f t="shared" si="73"/>
        <v>0</v>
      </c>
      <c r="AZ128" s="21">
        <f t="shared" si="73"/>
        <v>0</v>
      </c>
      <c r="BA128" s="21">
        <f t="shared" si="73"/>
        <v>0</v>
      </c>
      <c r="BB128" s="21">
        <f t="shared" si="66"/>
        <v>0</v>
      </c>
    </row>
    <row r="129" spans="1:54">
      <c r="A129" s="456"/>
      <c r="B129" s="228">
        <v>2015</v>
      </c>
      <c r="C129" s="21">
        <f t="shared" ref="C129:BA129" si="74">C75-C102</f>
        <v>0</v>
      </c>
      <c r="D129" s="21">
        <f t="shared" si="74"/>
        <v>0</v>
      </c>
      <c r="E129" s="21">
        <f t="shared" si="74"/>
        <v>0</v>
      </c>
      <c r="F129" s="21">
        <f t="shared" si="74"/>
        <v>0</v>
      </c>
      <c r="G129" s="21">
        <f t="shared" si="74"/>
        <v>0</v>
      </c>
      <c r="H129" s="21">
        <f t="shared" si="74"/>
        <v>0</v>
      </c>
      <c r="I129" s="21">
        <f t="shared" si="74"/>
        <v>0</v>
      </c>
      <c r="J129" s="21">
        <f t="shared" si="74"/>
        <v>0</v>
      </c>
      <c r="K129" s="21">
        <f t="shared" si="74"/>
        <v>0</v>
      </c>
      <c r="L129" s="21">
        <f t="shared" si="74"/>
        <v>0</v>
      </c>
      <c r="M129" s="21">
        <f t="shared" si="74"/>
        <v>0</v>
      </c>
      <c r="N129" s="21">
        <f t="shared" si="74"/>
        <v>0</v>
      </c>
      <c r="O129" s="21">
        <f t="shared" si="74"/>
        <v>0</v>
      </c>
      <c r="P129" s="21">
        <f t="shared" si="74"/>
        <v>0</v>
      </c>
      <c r="Q129" s="21">
        <f t="shared" si="74"/>
        <v>0</v>
      </c>
      <c r="R129" s="21">
        <f t="shared" si="74"/>
        <v>0</v>
      </c>
      <c r="S129" s="21">
        <f t="shared" si="74"/>
        <v>0</v>
      </c>
      <c r="T129" s="21">
        <f t="shared" si="74"/>
        <v>0</v>
      </c>
      <c r="U129" s="21">
        <f t="shared" si="74"/>
        <v>0</v>
      </c>
      <c r="V129" s="21">
        <f t="shared" si="74"/>
        <v>0</v>
      </c>
      <c r="W129" s="21">
        <f t="shared" si="74"/>
        <v>0</v>
      </c>
      <c r="X129" s="21">
        <f t="shared" si="74"/>
        <v>0</v>
      </c>
      <c r="Y129" s="21">
        <f t="shared" si="74"/>
        <v>0</v>
      </c>
      <c r="Z129" s="21">
        <f t="shared" si="74"/>
        <v>0</v>
      </c>
      <c r="AA129" s="21">
        <f t="shared" si="74"/>
        <v>0</v>
      </c>
      <c r="AB129" s="21">
        <f t="shared" si="74"/>
        <v>0</v>
      </c>
      <c r="AC129" s="21">
        <f t="shared" si="74"/>
        <v>0</v>
      </c>
      <c r="AD129" s="21">
        <f t="shared" si="74"/>
        <v>0</v>
      </c>
      <c r="AE129" s="21">
        <f t="shared" si="74"/>
        <v>0</v>
      </c>
      <c r="AF129" s="21">
        <f t="shared" si="74"/>
        <v>0</v>
      </c>
      <c r="AG129" s="21">
        <f t="shared" si="74"/>
        <v>0</v>
      </c>
      <c r="AH129" s="21">
        <f t="shared" si="74"/>
        <v>0</v>
      </c>
      <c r="AI129" s="21">
        <f t="shared" si="74"/>
        <v>0</v>
      </c>
      <c r="AJ129" s="21">
        <f t="shared" si="74"/>
        <v>0</v>
      </c>
      <c r="AK129" s="21">
        <f t="shared" si="74"/>
        <v>0</v>
      </c>
      <c r="AL129" s="21">
        <f t="shared" si="74"/>
        <v>0</v>
      </c>
      <c r="AM129" s="21">
        <f t="shared" si="74"/>
        <v>0</v>
      </c>
      <c r="AN129" s="21">
        <f t="shared" si="74"/>
        <v>0</v>
      </c>
      <c r="AO129" s="21">
        <f t="shared" si="74"/>
        <v>0</v>
      </c>
      <c r="AP129" s="21">
        <f t="shared" si="74"/>
        <v>0</v>
      </c>
      <c r="AQ129" s="21">
        <f t="shared" si="74"/>
        <v>0</v>
      </c>
      <c r="AR129" s="21">
        <f t="shared" si="74"/>
        <v>0</v>
      </c>
      <c r="AS129" s="21">
        <f t="shared" si="74"/>
        <v>0</v>
      </c>
      <c r="AT129" s="21">
        <f t="shared" si="74"/>
        <v>0</v>
      </c>
      <c r="AU129" s="21">
        <f t="shared" si="74"/>
        <v>0</v>
      </c>
      <c r="AV129" s="21">
        <f t="shared" si="74"/>
        <v>0</v>
      </c>
      <c r="AW129" s="21">
        <f t="shared" si="74"/>
        <v>0</v>
      </c>
      <c r="AX129" s="21">
        <f t="shared" si="74"/>
        <v>0</v>
      </c>
      <c r="AY129" s="21">
        <f t="shared" si="74"/>
        <v>0</v>
      </c>
      <c r="AZ129" s="21">
        <f t="shared" si="74"/>
        <v>0</v>
      </c>
      <c r="BA129" s="21">
        <f t="shared" si="74"/>
        <v>0</v>
      </c>
      <c r="BB129" s="21">
        <f t="shared" si="66"/>
        <v>0</v>
      </c>
    </row>
    <row r="130" spans="1:54">
      <c r="A130" s="456"/>
      <c r="B130" s="226">
        <v>2016</v>
      </c>
      <c r="C130" s="21">
        <f t="shared" ref="C130:BA130" si="75">C76-C103</f>
        <v>0</v>
      </c>
      <c r="D130" s="21">
        <f t="shared" si="75"/>
        <v>0</v>
      </c>
      <c r="E130" s="21">
        <f t="shared" si="75"/>
        <v>0</v>
      </c>
      <c r="F130" s="21">
        <f t="shared" si="75"/>
        <v>0</v>
      </c>
      <c r="G130" s="21">
        <f t="shared" si="75"/>
        <v>0</v>
      </c>
      <c r="H130" s="21">
        <f t="shared" si="75"/>
        <v>0</v>
      </c>
      <c r="I130" s="21">
        <f t="shared" si="75"/>
        <v>0</v>
      </c>
      <c r="J130" s="21">
        <f t="shared" si="75"/>
        <v>0</v>
      </c>
      <c r="K130" s="21">
        <f t="shared" si="75"/>
        <v>0</v>
      </c>
      <c r="L130" s="21">
        <f t="shared" si="75"/>
        <v>0</v>
      </c>
      <c r="M130" s="21">
        <f t="shared" si="75"/>
        <v>0</v>
      </c>
      <c r="N130" s="21">
        <f t="shared" si="75"/>
        <v>0</v>
      </c>
      <c r="O130" s="21">
        <f t="shared" si="75"/>
        <v>0</v>
      </c>
      <c r="P130" s="21">
        <f t="shared" si="75"/>
        <v>0</v>
      </c>
      <c r="Q130" s="21">
        <f t="shared" si="75"/>
        <v>0</v>
      </c>
      <c r="R130" s="21">
        <f t="shared" si="75"/>
        <v>0</v>
      </c>
      <c r="S130" s="21">
        <f t="shared" si="75"/>
        <v>0</v>
      </c>
      <c r="T130" s="21">
        <f t="shared" si="75"/>
        <v>0</v>
      </c>
      <c r="U130" s="21">
        <f t="shared" si="75"/>
        <v>0</v>
      </c>
      <c r="V130" s="21">
        <f t="shared" si="75"/>
        <v>0</v>
      </c>
      <c r="W130" s="21">
        <f t="shared" si="75"/>
        <v>0</v>
      </c>
      <c r="X130" s="21">
        <f t="shared" si="75"/>
        <v>0</v>
      </c>
      <c r="Y130" s="21">
        <f t="shared" si="75"/>
        <v>0</v>
      </c>
      <c r="Z130" s="21">
        <f t="shared" si="75"/>
        <v>0</v>
      </c>
      <c r="AA130" s="21">
        <f t="shared" si="75"/>
        <v>0</v>
      </c>
      <c r="AB130" s="21">
        <f t="shared" si="75"/>
        <v>0</v>
      </c>
      <c r="AC130" s="21">
        <f t="shared" si="75"/>
        <v>0</v>
      </c>
      <c r="AD130" s="21">
        <f t="shared" si="75"/>
        <v>0</v>
      </c>
      <c r="AE130" s="21">
        <f t="shared" si="75"/>
        <v>0</v>
      </c>
      <c r="AF130" s="21">
        <f t="shared" si="75"/>
        <v>0</v>
      </c>
      <c r="AG130" s="21">
        <f t="shared" si="75"/>
        <v>0</v>
      </c>
      <c r="AH130" s="21">
        <f t="shared" si="75"/>
        <v>0</v>
      </c>
      <c r="AI130" s="21">
        <f t="shared" si="75"/>
        <v>0</v>
      </c>
      <c r="AJ130" s="21">
        <f t="shared" si="75"/>
        <v>0</v>
      </c>
      <c r="AK130" s="21">
        <f t="shared" si="75"/>
        <v>0</v>
      </c>
      <c r="AL130" s="21">
        <f t="shared" si="75"/>
        <v>0</v>
      </c>
      <c r="AM130" s="21">
        <f t="shared" si="75"/>
        <v>0</v>
      </c>
      <c r="AN130" s="21">
        <f t="shared" si="75"/>
        <v>0</v>
      </c>
      <c r="AO130" s="21">
        <f t="shared" si="75"/>
        <v>0</v>
      </c>
      <c r="AP130" s="21">
        <f t="shared" si="75"/>
        <v>0</v>
      </c>
      <c r="AQ130" s="21">
        <f t="shared" si="75"/>
        <v>0</v>
      </c>
      <c r="AR130" s="21">
        <f t="shared" si="75"/>
        <v>0</v>
      </c>
      <c r="AS130" s="21">
        <f t="shared" si="75"/>
        <v>0</v>
      </c>
      <c r="AT130" s="21">
        <f t="shared" si="75"/>
        <v>0</v>
      </c>
      <c r="AU130" s="21">
        <f t="shared" si="75"/>
        <v>0</v>
      </c>
      <c r="AV130" s="21">
        <f t="shared" si="75"/>
        <v>0</v>
      </c>
      <c r="AW130" s="21">
        <f t="shared" si="75"/>
        <v>0</v>
      </c>
      <c r="AX130" s="21">
        <f t="shared" si="75"/>
        <v>0</v>
      </c>
      <c r="AY130" s="21">
        <f t="shared" si="75"/>
        <v>0</v>
      </c>
      <c r="AZ130" s="21">
        <f t="shared" si="75"/>
        <v>0</v>
      </c>
      <c r="BA130" s="21">
        <f t="shared" si="75"/>
        <v>0</v>
      </c>
      <c r="BB130" s="21">
        <f t="shared" si="66"/>
        <v>0</v>
      </c>
    </row>
    <row r="131" spans="1:54">
      <c r="A131" s="456"/>
      <c r="B131" s="228">
        <v>2017</v>
      </c>
      <c r="C131" s="21">
        <f t="shared" ref="C131:BA131" si="76">C77-C104</f>
        <v>0</v>
      </c>
      <c r="D131" s="21">
        <f t="shared" si="76"/>
        <v>0</v>
      </c>
      <c r="E131" s="21">
        <f t="shared" si="76"/>
        <v>0</v>
      </c>
      <c r="F131" s="21">
        <f t="shared" si="76"/>
        <v>0</v>
      </c>
      <c r="G131" s="21">
        <f t="shared" si="76"/>
        <v>0</v>
      </c>
      <c r="H131" s="21">
        <f t="shared" si="76"/>
        <v>0</v>
      </c>
      <c r="I131" s="21">
        <f t="shared" si="76"/>
        <v>0</v>
      </c>
      <c r="J131" s="21">
        <f t="shared" si="76"/>
        <v>0</v>
      </c>
      <c r="K131" s="21">
        <f t="shared" si="76"/>
        <v>0</v>
      </c>
      <c r="L131" s="21">
        <f t="shared" si="76"/>
        <v>0</v>
      </c>
      <c r="M131" s="21">
        <f t="shared" si="76"/>
        <v>0</v>
      </c>
      <c r="N131" s="21">
        <f t="shared" si="76"/>
        <v>0</v>
      </c>
      <c r="O131" s="21">
        <f t="shared" si="76"/>
        <v>0</v>
      </c>
      <c r="P131" s="21">
        <f t="shared" si="76"/>
        <v>0</v>
      </c>
      <c r="Q131" s="21">
        <f t="shared" si="76"/>
        <v>0</v>
      </c>
      <c r="R131" s="21">
        <f t="shared" si="76"/>
        <v>0</v>
      </c>
      <c r="S131" s="21">
        <f t="shared" si="76"/>
        <v>0</v>
      </c>
      <c r="T131" s="21">
        <f t="shared" si="76"/>
        <v>0</v>
      </c>
      <c r="U131" s="21">
        <f t="shared" si="76"/>
        <v>0</v>
      </c>
      <c r="V131" s="21">
        <f t="shared" si="76"/>
        <v>0</v>
      </c>
      <c r="W131" s="21">
        <f t="shared" si="76"/>
        <v>0</v>
      </c>
      <c r="X131" s="21">
        <f t="shared" si="76"/>
        <v>0</v>
      </c>
      <c r="Y131" s="21">
        <f t="shared" si="76"/>
        <v>0</v>
      </c>
      <c r="Z131" s="21">
        <f t="shared" si="76"/>
        <v>0</v>
      </c>
      <c r="AA131" s="21">
        <f t="shared" si="76"/>
        <v>0</v>
      </c>
      <c r="AB131" s="21">
        <f t="shared" si="76"/>
        <v>0</v>
      </c>
      <c r="AC131" s="21">
        <f t="shared" si="76"/>
        <v>0</v>
      </c>
      <c r="AD131" s="21">
        <f t="shared" si="76"/>
        <v>0</v>
      </c>
      <c r="AE131" s="21">
        <f t="shared" si="76"/>
        <v>0</v>
      </c>
      <c r="AF131" s="21">
        <f t="shared" si="76"/>
        <v>0</v>
      </c>
      <c r="AG131" s="21">
        <f t="shared" si="76"/>
        <v>0</v>
      </c>
      <c r="AH131" s="21">
        <f t="shared" si="76"/>
        <v>0</v>
      </c>
      <c r="AI131" s="21">
        <f t="shared" si="76"/>
        <v>0</v>
      </c>
      <c r="AJ131" s="21">
        <f t="shared" si="76"/>
        <v>0</v>
      </c>
      <c r="AK131" s="21">
        <f t="shared" si="76"/>
        <v>0</v>
      </c>
      <c r="AL131" s="21">
        <f t="shared" si="76"/>
        <v>0</v>
      </c>
      <c r="AM131" s="21">
        <f t="shared" si="76"/>
        <v>0</v>
      </c>
      <c r="AN131" s="21">
        <f t="shared" si="76"/>
        <v>0</v>
      </c>
      <c r="AO131" s="21">
        <f t="shared" si="76"/>
        <v>0</v>
      </c>
      <c r="AP131" s="21">
        <f t="shared" si="76"/>
        <v>0</v>
      </c>
      <c r="AQ131" s="21">
        <f t="shared" si="76"/>
        <v>0</v>
      </c>
      <c r="AR131" s="21">
        <f t="shared" si="76"/>
        <v>0</v>
      </c>
      <c r="AS131" s="21">
        <f t="shared" si="76"/>
        <v>0</v>
      </c>
      <c r="AT131" s="21">
        <f t="shared" si="76"/>
        <v>0</v>
      </c>
      <c r="AU131" s="21">
        <f t="shared" si="76"/>
        <v>0</v>
      </c>
      <c r="AV131" s="21">
        <f t="shared" si="76"/>
        <v>0</v>
      </c>
      <c r="AW131" s="21">
        <f t="shared" si="76"/>
        <v>0</v>
      </c>
      <c r="AX131" s="21">
        <f t="shared" si="76"/>
        <v>0</v>
      </c>
      <c r="AY131" s="21">
        <f t="shared" si="76"/>
        <v>0</v>
      </c>
      <c r="AZ131" s="21">
        <f t="shared" si="76"/>
        <v>0</v>
      </c>
      <c r="BA131" s="21">
        <f t="shared" si="76"/>
        <v>0</v>
      </c>
      <c r="BB131" s="21">
        <f t="shared" si="66"/>
        <v>0</v>
      </c>
    </row>
    <row r="132" spans="1:54">
      <c r="A132" s="456"/>
      <c r="B132" s="226">
        <v>2018</v>
      </c>
      <c r="C132" s="21">
        <f t="shared" ref="C132:BA132" si="77">C78-C105</f>
        <v>0</v>
      </c>
      <c r="D132" s="21">
        <f t="shared" si="77"/>
        <v>0</v>
      </c>
      <c r="E132" s="21">
        <f t="shared" si="77"/>
        <v>0</v>
      </c>
      <c r="F132" s="21">
        <f t="shared" si="77"/>
        <v>0</v>
      </c>
      <c r="G132" s="21">
        <f t="shared" si="77"/>
        <v>0</v>
      </c>
      <c r="H132" s="21">
        <f t="shared" si="77"/>
        <v>0</v>
      </c>
      <c r="I132" s="21">
        <f t="shared" si="77"/>
        <v>0</v>
      </c>
      <c r="J132" s="21">
        <f t="shared" si="77"/>
        <v>0</v>
      </c>
      <c r="K132" s="21">
        <f t="shared" si="77"/>
        <v>0</v>
      </c>
      <c r="L132" s="21">
        <f t="shared" si="77"/>
        <v>0</v>
      </c>
      <c r="M132" s="21">
        <f t="shared" si="77"/>
        <v>0</v>
      </c>
      <c r="N132" s="21">
        <f t="shared" si="77"/>
        <v>0</v>
      </c>
      <c r="O132" s="21">
        <f t="shared" si="77"/>
        <v>0</v>
      </c>
      <c r="P132" s="21">
        <f t="shared" si="77"/>
        <v>0</v>
      </c>
      <c r="Q132" s="21">
        <f t="shared" si="77"/>
        <v>0</v>
      </c>
      <c r="R132" s="21">
        <f t="shared" si="77"/>
        <v>0</v>
      </c>
      <c r="S132" s="21">
        <f t="shared" si="77"/>
        <v>0</v>
      </c>
      <c r="T132" s="21">
        <f t="shared" si="77"/>
        <v>0</v>
      </c>
      <c r="U132" s="21">
        <f t="shared" si="77"/>
        <v>0</v>
      </c>
      <c r="V132" s="21">
        <f t="shared" si="77"/>
        <v>0</v>
      </c>
      <c r="W132" s="21">
        <f t="shared" si="77"/>
        <v>0</v>
      </c>
      <c r="X132" s="21">
        <f t="shared" si="77"/>
        <v>0</v>
      </c>
      <c r="Y132" s="21">
        <f t="shared" si="77"/>
        <v>0</v>
      </c>
      <c r="Z132" s="21">
        <f t="shared" si="77"/>
        <v>0</v>
      </c>
      <c r="AA132" s="21">
        <f t="shared" si="77"/>
        <v>0</v>
      </c>
      <c r="AB132" s="21">
        <f t="shared" si="77"/>
        <v>0</v>
      </c>
      <c r="AC132" s="21">
        <f t="shared" si="77"/>
        <v>0</v>
      </c>
      <c r="AD132" s="21">
        <f t="shared" si="77"/>
        <v>0</v>
      </c>
      <c r="AE132" s="21">
        <f t="shared" si="77"/>
        <v>0</v>
      </c>
      <c r="AF132" s="21">
        <f t="shared" si="77"/>
        <v>0</v>
      </c>
      <c r="AG132" s="21">
        <f t="shared" si="77"/>
        <v>0</v>
      </c>
      <c r="AH132" s="21">
        <f t="shared" si="77"/>
        <v>0</v>
      </c>
      <c r="AI132" s="21">
        <f t="shared" si="77"/>
        <v>0</v>
      </c>
      <c r="AJ132" s="21">
        <f t="shared" si="77"/>
        <v>0</v>
      </c>
      <c r="AK132" s="21">
        <f t="shared" si="77"/>
        <v>0</v>
      </c>
      <c r="AL132" s="21">
        <f t="shared" si="77"/>
        <v>0</v>
      </c>
      <c r="AM132" s="21">
        <f t="shared" si="77"/>
        <v>0</v>
      </c>
      <c r="AN132" s="21">
        <f t="shared" si="77"/>
        <v>0</v>
      </c>
      <c r="AO132" s="21">
        <f t="shared" si="77"/>
        <v>0</v>
      </c>
      <c r="AP132" s="21">
        <f t="shared" si="77"/>
        <v>0</v>
      </c>
      <c r="AQ132" s="21">
        <f t="shared" si="77"/>
        <v>0</v>
      </c>
      <c r="AR132" s="21">
        <f t="shared" si="77"/>
        <v>0</v>
      </c>
      <c r="AS132" s="21">
        <f t="shared" si="77"/>
        <v>0</v>
      </c>
      <c r="AT132" s="21">
        <f t="shared" si="77"/>
        <v>0</v>
      </c>
      <c r="AU132" s="21">
        <f t="shared" si="77"/>
        <v>0</v>
      </c>
      <c r="AV132" s="21">
        <f t="shared" si="77"/>
        <v>0</v>
      </c>
      <c r="AW132" s="21">
        <f t="shared" si="77"/>
        <v>0</v>
      </c>
      <c r="AX132" s="21">
        <f t="shared" si="77"/>
        <v>0</v>
      </c>
      <c r="AY132" s="21">
        <f t="shared" si="77"/>
        <v>0</v>
      </c>
      <c r="AZ132" s="21">
        <f t="shared" si="77"/>
        <v>0</v>
      </c>
      <c r="BA132" s="21">
        <f t="shared" si="77"/>
        <v>0</v>
      </c>
      <c r="BB132" s="21">
        <f t="shared" si="66"/>
        <v>0</v>
      </c>
    </row>
    <row r="133" spans="1:54">
      <c r="A133" s="456"/>
      <c r="B133" s="228">
        <v>2019</v>
      </c>
      <c r="C133" s="21">
        <f>C79-C106</f>
        <v>0</v>
      </c>
      <c r="D133" s="21">
        <f t="shared" ref="D133:BA133" si="78">D79-D106</f>
        <v>0</v>
      </c>
      <c r="E133" s="21">
        <f t="shared" si="78"/>
        <v>0</v>
      </c>
      <c r="F133" s="21">
        <f t="shared" si="78"/>
        <v>0</v>
      </c>
      <c r="G133" s="21">
        <f t="shared" si="78"/>
        <v>0</v>
      </c>
      <c r="H133" s="21">
        <f t="shared" si="78"/>
        <v>0</v>
      </c>
      <c r="I133" s="21">
        <f t="shared" si="78"/>
        <v>0</v>
      </c>
      <c r="J133" s="21">
        <f t="shared" si="78"/>
        <v>0</v>
      </c>
      <c r="K133" s="21">
        <f t="shared" si="78"/>
        <v>0</v>
      </c>
      <c r="L133" s="21">
        <f t="shared" si="78"/>
        <v>0</v>
      </c>
      <c r="M133" s="21">
        <f t="shared" si="78"/>
        <v>0</v>
      </c>
      <c r="N133" s="21">
        <f t="shared" si="78"/>
        <v>0</v>
      </c>
      <c r="O133" s="21">
        <f t="shared" si="78"/>
        <v>0</v>
      </c>
      <c r="P133" s="21">
        <f t="shared" si="78"/>
        <v>0</v>
      </c>
      <c r="Q133" s="21">
        <f t="shared" si="78"/>
        <v>0</v>
      </c>
      <c r="R133" s="21">
        <f t="shared" si="78"/>
        <v>0</v>
      </c>
      <c r="S133" s="21">
        <f t="shared" si="78"/>
        <v>0</v>
      </c>
      <c r="T133" s="21">
        <f t="shared" si="78"/>
        <v>0</v>
      </c>
      <c r="U133" s="21">
        <f t="shared" si="78"/>
        <v>0</v>
      </c>
      <c r="V133" s="21">
        <f t="shared" si="78"/>
        <v>0</v>
      </c>
      <c r="W133" s="21">
        <f t="shared" si="78"/>
        <v>0</v>
      </c>
      <c r="X133" s="21">
        <f t="shared" si="78"/>
        <v>0</v>
      </c>
      <c r="Y133" s="21">
        <f t="shared" si="78"/>
        <v>0</v>
      </c>
      <c r="Z133" s="21">
        <f t="shared" si="78"/>
        <v>0</v>
      </c>
      <c r="AA133" s="21">
        <f t="shared" si="78"/>
        <v>0</v>
      </c>
      <c r="AB133" s="21">
        <f t="shared" si="78"/>
        <v>0</v>
      </c>
      <c r="AC133" s="21">
        <f t="shared" si="78"/>
        <v>0</v>
      </c>
      <c r="AD133" s="21">
        <f t="shared" si="78"/>
        <v>0</v>
      </c>
      <c r="AE133" s="21">
        <f t="shared" si="78"/>
        <v>0</v>
      </c>
      <c r="AF133" s="21">
        <f t="shared" si="78"/>
        <v>0</v>
      </c>
      <c r="AG133" s="21">
        <f t="shared" si="78"/>
        <v>0</v>
      </c>
      <c r="AH133" s="21">
        <f t="shared" si="78"/>
        <v>0</v>
      </c>
      <c r="AI133" s="21">
        <f t="shared" si="78"/>
        <v>0</v>
      </c>
      <c r="AJ133" s="21">
        <f t="shared" si="78"/>
        <v>0</v>
      </c>
      <c r="AK133" s="21">
        <f t="shared" si="78"/>
        <v>0</v>
      </c>
      <c r="AL133" s="21">
        <f t="shared" si="78"/>
        <v>0</v>
      </c>
      <c r="AM133" s="21">
        <f t="shared" si="78"/>
        <v>0</v>
      </c>
      <c r="AN133" s="21">
        <f t="shared" si="78"/>
        <v>0</v>
      </c>
      <c r="AO133" s="21">
        <f t="shared" si="78"/>
        <v>0</v>
      </c>
      <c r="AP133" s="21">
        <f t="shared" si="78"/>
        <v>0</v>
      </c>
      <c r="AQ133" s="21">
        <f t="shared" si="78"/>
        <v>0</v>
      </c>
      <c r="AR133" s="21">
        <f t="shared" si="78"/>
        <v>0</v>
      </c>
      <c r="AS133" s="21">
        <f t="shared" si="78"/>
        <v>0</v>
      </c>
      <c r="AT133" s="21">
        <f t="shared" si="78"/>
        <v>0</v>
      </c>
      <c r="AU133" s="21">
        <f t="shared" si="78"/>
        <v>0</v>
      </c>
      <c r="AV133" s="21">
        <f t="shared" si="78"/>
        <v>0</v>
      </c>
      <c r="AW133" s="21">
        <f t="shared" si="78"/>
        <v>0</v>
      </c>
      <c r="AX133" s="21">
        <f t="shared" si="78"/>
        <v>0</v>
      </c>
      <c r="AY133" s="21">
        <f t="shared" si="78"/>
        <v>0</v>
      </c>
      <c r="AZ133" s="21">
        <f t="shared" si="78"/>
        <v>0</v>
      </c>
      <c r="BA133" s="21">
        <f t="shared" si="78"/>
        <v>0</v>
      </c>
      <c r="BB133" s="21">
        <f t="shared" si="66"/>
        <v>0</v>
      </c>
    </row>
    <row r="134" spans="1:54">
      <c r="A134" s="456"/>
      <c r="B134" s="226">
        <v>2020</v>
      </c>
      <c r="C134" s="21">
        <f t="shared" ref="C134:BA134" si="79">C80-C107</f>
        <v>0</v>
      </c>
      <c r="D134" s="21">
        <f t="shared" si="79"/>
        <v>0</v>
      </c>
      <c r="E134" s="21">
        <f t="shared" si="79"/>
        <v>0</v>
      </c>
      <c r="F134" s="21">
        <f t="shared" si="79"/>
        <v>0</v>
      </c>
      <c r="G134" s="21">
        <f t="shared" si="79"/>
        <v>0</v>
      </c>
      <c r="H134" s="21">
        <f t="shared" si="79"/>
        <v>0</v>
      </c>
      <c r="I134" s="21">
        <f t="shared" si="79"/>
        <v>0</v>
      </c>
      <c r="J134" s="21">
        <f t="shared" si="79"/>
        <v>0</v>
      </c>
      <c r="K134" s="21">
        <f t="shared" si="79"/>
        <v>0</v>
      </c>
      <c r="L134" s="21">
        <f t="shared" si="79"/>
        <v>0</v>
      </c>
      <c r="M134" s="21">
        <f t="shared" si="79"/>
        <v>0</v>
      </c>
      <c r="N134" s="21">
        <f t="shared" si="79"/>
        <v>0</v>
      </c>
      <c r="O134" s="21">
        <f t="shared" si="79"/>
        <v>0</v>
      </c>
      <c r="P134" s="21">
        <f t="shared" si="79"/>
        <v>0</v>
      </c>
      <c r="Q134" s="21">
        <f t="shared" si="79"/>
        <v>0</v>
      </c>
      <c r="R134" s="21">
        <f t="shared" si="79"/>
        <v>0</v>
      </c>
      <c r="S134" s="21">
        <f t="shared" si="79"/>
        <v>0</v>
      </c>
      <c r="T134" s="21">
        <f t="shared" si="79"/>
        <v>0</v>
      </c>
      <c r="U134" s="21">
        <f t="shared" si="79"/>
        <v>0</v>
      </c>
      <c r="V134" s="21">
        <f t="shared" si="79"/>
        <v>0</v>
      </c>
      <c r="W134" s="21">
        <f t="shared" si="79"/>
        <v>0</v>
      </c>
      <c r="X134" s="21">
        <f t="shared" si="79"/>
        <v>0</v>
      </c>
      <c r="Y134" s="21">
        <f t="shared" si="79"/>
        <v>0</v>
      </c>
      <c r="Z134" s="21">
        <f t="shared" si="79"/>
        <v>0</v>
      </c>
      <c r="AA134" s="21">
        <f t="shared" si="79"/>
        <v>0</v>
      </c>
      <c r="AB134" s="21">
        <f t="shared" si="79"/>
        <v>0</v>
      </c>
      <c r="AC134" s="21">
        <f t="shared" si="79"/>
        <v>0</v>
      </c>
      <c r="AD134" s="21">
        <f t="shared" si="79"/>
        <v>0</v>
      </c>
      <c r="AE134" s="21">
        <f t="shared" si="79"/>
        <v>0</v>
      </c>
      <c r="AF134" s="21">
        <f t="shared" si="79"/>
        <v>0</v>
      </c>
      <c r="AG134" s="21">
        <f t="shared" si="79"/>
        <v>0</v>
      </c>
      <c r="AH134" s="21">
        <f t="shared" si="79"/>
        <v>0</v>
      </c>
      <c r="AI134" s="21">
        <f t="shared" si="79"/>
        <v>0</v>
      </c>
      <c r="AJ134" s="21">
        <f t="shared" si="79"/>
        <v>0</v>
      </c>
      <c r="AK134" s="21">
        <f t="shared" si="79"/>
        <v>0</v>
      </c>
      <c r="AL134" s="21">
        <f t="shared" si="79"/>
        <v>0</v>
      </c>
      <c r="AM134" s="21">
        <f t="shared" si="79"/>
        <v>0</v>
      </c>
      <c r="AN134" s="21">
        <f t="shared" si="79"/>
        <v>0</v>
      </c>
      <c r="AO134" s="21">
        <f t="shared" si="79"/>
        <v>0</v>
      </c>
      <c r="AP134" s="21">
        <f t="shared" si="79"/>
        <v>0</v>
      </c>
      <c r="AQ134" s="21">
        <f t="shared" si="79"/>
        <v>0</v>
      </c>
      <c r="AR134" s="21">
        <f t="shared" si="79"/>
        <v>0</v>
      </c>
      <c r="AS134" s="21">
        <f t="shared" si="79"/>
        <v>0</v>
      </c>
      <c r="AT134" s="21">
        <f t="shared" si="79"/>
        <v>0</v>
      </c>
      <c r="AU134" s="21">
        <f t="shared" si="79"/>
        <v>0</v>
      </c>
      <c r="AV134" s="21">
        <f t="shared" si="79"/>
        <v>0</v>
      </c>
      <c r="AW134" s="21">
        <f t="shared" si="79"/>
        <v>0</v>
      </c>
      <c r="AX134" s="21">
        <f t="shared" si="79"/>
        <v>0</v>
      </c>
      <c r="AY134" s="21">
        <f t="shared" si="79"/>
        <v>0</v>
      </c>
      <c r="AZ134" s="21">
        <f t="shared" si="79"/>
        <v>0</v>
      </c>
      <c r="BA134" s="21">
        <f t="shared" si="79"/>
        <v>0</v>
      </c>
      <c r="BB134" s="21">
        <f t="shared" si="66"/>
        <v>0</v>
      </c>
    </row>
    <row r="135" spans="1:54">
      <c r="A135" s="456"/>
      <c r="B135" s="228">
        <v>2021</v>
      </c>
      <c r="C135" s="21">
        <f t="shared" ref="C135:BA135" si="80">C81-C108</f>
        <v>0</v>
      </c>
      <c r="D135" s="21">
        <f t="shared" si="80"/>
        <v>0</v>
      </c>
      <c r="E135" s="21">
        <f t="shared" si="80"/>
        <v>0</v>
      </c>
      <c r="F135" s="21">
        <f t="shared" si="80"/>
        <v>0</v>
      </c>
      <c r="G135" s="21">
        <f t="shared" si="80"/>
        <v>0</v>
      </c>
      <c r="H135" s="21">
        <f t="shared" si="80"/>
        <v>0</v>
      </c>
      <c r="I135" s="21">
        <f t="shared" si="80"/>
        <v>0</v>
      </c>
      <c r="J135" s="21">
        <f t="shared" si="80"/>
        <v>0</v>
      </c>
      <c r="K135" s="21">
        <f t="shared" si="80"/>
        <v>0</v>
      </c>
      <c r="L135" s="21">
        <f t="shared" si="80"/>
        <v>0</v>
      </c>
      <c r="M135" s="21">
        <f t="shared" si="80"/>
        <v>0</v>
      </c>
      <c r="N135" s="21">
        <f t="shared" si="80"/>
        <v>0</v>
      </c>
      <c r="O135" s="21">
        <f t="shared" si="80"/>
        <v>0</v>
      </c>
      <c r="P135" s="21">
        <f t="shared" si="80"/>
        <v>0</v>
      </c>
      <c r="Q135" s="21">
        <f t="shared" si="80"/>
        <v>0</v>
      </c>
      <c r="R135" s="21">
        <f t="shared" si="80"/>
        <v>0</v>
      </c>
      <c r="S135" s="21">
        <f t="shared" si="80"/>
        <v>0</v>
      </c>
      <c r="T135" s="21">
        <f t="shared" si="80"/>
        <v>0</v>
      </c>
      <c r="U135" s="21">
        <f t="shared" si="80"/>
        <v>0</v>
      </c>
      <c r="V135" s="21">
        <f t="shared" si="80"/>
        <v>0</v>
      </c>
      <c r="W135" s="21">
        <f t="shared" si="80"/>
        <v>0</v>
      </c>
      <c r="X135" s="21">
        <f t="shared" si="80"/>
        <v>0</v>
      </c>
      <c r="Y135" s="21">
        <f t="shared" si="80"/>
        <v>0</v>
      </c>
      <c r="Z135" s="21">
        <f t="shared" si="80"/>
        <v>0</v>
      </c>
      <c r="AA135" s="21">
        <f t="shared" si="80"/>
        <v>0</v>
      </c>
      <c r="AB135" s="21">
        <f t="shared" si="80"/>
        <v>0</v>
      </c>
      <c r="AC135" s="21">
        <f t="shared" si="80"/>
        <v>0</v>
      </c>
      <c r="AD135" s="21">
        <f t="shared" si="80"/>
        <v>0</v>
      </c>
      <c r="AE135" s="21">
        <f t="shared" si="80"/>
        <v>0</v>
      </c>
      <c r="AF135" s="21">
        <f t="shared" si="80"/>
        <v>0</v>
      </c>
      <c r="AG135" s="21">
        <f t="shared" si="80"/>
        <v>0</v>
      </c>
      <c r="AH135" s="21">
        <f t="shared" si="80"/>
        <v>0</v>
      </c>
      <c r="AI135" s="21">
        <f t="shared" si="80"/>
        <v>0</v>
      </c>
      <c r="AJ135" s="21">
        <f t="shared" si="80"/>
        <v>0</v>
      </c>
      <c r="AK135" s="21">
        <f t="shared" si="80"/>
        <v>0</v>
      </c>
      <c r="AL135" s="21">
        <f t="shared" si="80"/>
        <v>0</v>
      </c>
      <c r="AM135" s="21">
        <f t="shared" si="80"/>
        <v>0</v>
      </c>
      <c r="AN135" s="21">
        <f t="shared" si="80"/>
        <v>0</v>
      </c>
      <c r="AO135" s="21">
        <f t="shared" si="80"/>
        <v>0</v>
      </c>
      <c r="AP135" s="21">
        <f t="shared" si="80"/>
        <v>0</v>
      </c>
      <c r="AQ135" s="21">
        <f t="shared" si="80"/>
        <v>0</v>
      </c>
      <c r="AR135" s="21">
        <f t="shared" si="80"/>
        <v>0</v>
      </c>
      <c r="AS135" s="21">
        <f t="shared" si="80"/>
        <v>0</v>
      </c>
      <c r="AT135" s="21">
        <f t="shared" si="80"/>
        <v>0</v>
      </c>
      <c r="AU135" s="21">
        <f t="shared" si="80"/>
        <v>0</v>
      </c>
      <c r="AV135" s="21">
        <f t="shared" si="80"/>
        <v>0</v>
      </c>
      <c r="AW135" s="21">
        <f t="shared" si="80"/>
        <v>0</v>
      </c>
      <c r="AX135" s="21">
        <f t="shared" si="80"/>
        <v>0</v>
      </c>
      <c r="AY135" s="21">
        <f t="shared" si="80"/>
        <v>0</v>
      </c>
      <c r="AZ135" s="21">
        <f t="shared" si="80"/>
        <v>0</v>
      </c>
      <c r="BA135" s="21">
        <f t="shared" si="80"/>
        <v>0</v>
      </c>
      <c r="BB135" s="21">
        <f t="shared" si="66"/>
        <v>0</v>
      </c>
    </row>
    <row r="136" spans="1:54">
      <c r="A136" s="456"/>
      <c r="B136" s="226">
        <v>2022</v>
      </c>
      <c r="C136" s="21">
        <f t="shared" ref="C136:BA136" si="81">C82-C109</f>
        <v>0</v>
      </c>
      <c r="D136" s="21">
        <f t="shared" si="81"/>
        <v>0</v>
      </c>
      <c r="E136" s="21">
        <f t="shared" si="81"/>
        <v>0</v>
      </c>
      <c r="F136" s="21">
        <f t="shared" si="81"/>
        <v>0</v>
      </c>
      <c r="G136" s="21">
        <f t="shared" si="81"/>
        <v>0</v>
      </c>
      <c r="H136" s="21">
        <f t="shared" si="81"/>
        <v>0</v>
      </c>
      <c r="I136" s="21">
        <f t="shared" si="81"/>
        <v>0</v>
      </c>
      <c r="J136" s="21">
        <f t="shared" si="81"/>
        <v>0</v>
      </c>
      <c r="K136" s="21">
        <f t="shared" si="81"/>
        <v>0</v>
      </c>
      <c r="L136" s="21">
        <f t="shared" si="81"/>
        <v>0</v>
      </c>
      <c r="M136" s="21">
        <f t="shared" si="81"/>
        <v>0</v>
      </c>
      <c r="N136" s="21">
        <f t="shared" si="81"/>
        <v>0</v>
      </c>
      <c r="O136" s="21">
        <f t="shared" si="81"/>
        <v>0</v>
      </c>
      <c r="P136" s="21">
        <f t="shared" si="81"/>
        <v>0</v>
      </c>
      <c r="Q136" s="21">
        <f t="shared" si="81"/>
        <v>0</v>
      </c>
      <c r="R136" s="21">
        <f t="shared" si="81"/>
        <v>0</v>
      </c>
      <c r="S136" s="21">
        <f t="shared" si="81"/>
        <v>0</v>
      </c>
      <c r="T136" s="21">
        <f t="shared" si="81"/>
        <v>0</v>
      </c>
      <c r="U136" s="21">
        <f t="shared" si="81"/>
        <v>0</v>
      </c>
      <c r="V136" s="21">
        <f t="shared" si="81"/>
        <v>0</v>
      </c>
      <c r="W136" s="21">
        <f t="shared" si="81"/>
        <v>0</v>
      </c>
      <c r="X136" s="21">
        <f t="shared" si="81"/>
        <v>0</v>
      </c>
      <c r="Y136" s="21">
        <f t="shared" si="81"/>
        <v>0</v>
      </c>
      <c r="Z136" s="21">
        <f t="shared" si="81"/>
        <v>0</v>
      </c>
      <c r="AA136" s="21">
        <f t="shared" si="81"/>
        <v>0</v>
      </c>
      <c r="AB136" s="21">
        <f t="shared" si="81"/>
        <v>0</v>
      </c>
      <c r="AC136" s="21">
        <f t="shared" si="81"/>
        <v>0</v>
      </c>
      <c r="AD136" s="21">
        <f t="shared" si="81"/>
        <v>0</v>
      </c>
      <c r="AE136" s="21">
        <f t="shared" si="81"/>
        <v>0</v>
      </c>
      <c r="AF136" s="21">
        <f t="shared" si="81"/>
        <v>0</v>
      </c>
      <c r="AG136" s="21">
        <f t="shared" si="81"/>
        <v>0</v>
      </c>
      <c r="AH136" s="21">
        <f t="shared" si="81"/>
        <v>0</v>
      </c>
      <c r="AI136" s="21">
        <f t="shared" si="81"/>
        <v>0</v>
      </c>
      <c r="AJ136" s="21">
        <f t="shared" si="81"/>
        <v>0</v>
      </c>
      <c r="AK136" s="21">
        <f t="shared" si="81"/>
        <v>0</v>
      </c>
      <c r="AL136" s="21">
        <f t="shared" si="81"/>
        <v>0</v>
      </c>
      <c r="AM136" s="21">
        <f t="shared" si="81"/>
        <v>0</v>
      </c>
      <c r="AN136" s="21">
        <f t="shared" si="81"/>
        <v>0</v>
      </c>
      <c r="AO136" s="21">
        <f t="shared" si="81"/>
        <v>0</v>
      </c>
      <c r="AP136" s="21">
        <f t="shared" si="81"/>
        <v>0</v>
      </c>
      <c r="AQ136" s="21">
        <f t="shared" si="81"/>
        <v>0</v>
      </c>
      <c r="AR136" s="21">
        <f t="shared" si="81"/>
        <v>0</v>
      </c>
      <c r="AS136" s="21">
        <f t="shared" si="81"/>
        <v>0</v>
      </c>
      <c r="AT136" s="21">
        <f t="shared" si="81"/>
        <v>0</v>
      </c>
      <c r="AU136" s="21">
        <f t="shared" si="81"/>
        <v>0</v>
      </c>
      <c r="AV136" s="21">
        <f t="shared" si="81"/>
        <v>0</v>
      </c>
      <c r="AW136" s="21">
        <f t="shared" si="81"/>
        <v>0</v>
      </c>
      <c r="AX136" s="21">
        <f t="shared" si="81"/>
        <v>0</v>
      </c>
      <c r="AY136" s="21">
        <f t="shared" si="81"/>
        <v>0</v>
      </c>
      <c r="AZ136" s="21">
        <f t="shared" si="81"/>
        <v>0</v>
      </c>
      <c r="BA136" s="21">
        <f t="shared" si="81"/>
        <v>0</v>
      </c>
      <c r="BB136" s="21">
        <f t="shared" si="66"/>
        <v>0</v>
      </c>
    </row>
    <row r="137" spans="1:54">
      <c r="A137" s="456"/>
      <c r="B137" s="228">
        <v>2023</v>
      </c>
      <c r="C137" s="21">
        <f t="shared" ref="C137:BA137" si="82">C83-C110</f>
        <v>0</v>
      </c>
      <c r="D137" s="21">
        <f t="shared" si="82"/>
        <v>0</v>
      </c>
      <c r="E137" s="21">
        <f t="shared" si="82"/>
        <v>0</v>
      </c>
      <c r="F137" s="21">
        <f t="shared" si="82"/>
        <v>0</v>
      </c>
      <c r="G137" s="21">
        <f t="shared" si="82"/>
        <v>0</v>
      </c>
      <c r="H137" s="21">
        <f t="shared" si="82"/>
        <v>0</v>
      </c>
      <c r="I137" s="21">
        <f t="shared" si="82"/>
        <v>0</v>
      </c>
      <c r="J137" s="21">
        <f t="shared" si="82"/>
        <v>0</v>
      </c>
      <c r="K137" s="21">
        <f t="shared" si="82"/>
        <v>0</v>
      </c>
      <c r="L137" s="21">
        <f t="shared" si="82"/>
        <v>0</v>
      </c>
      <c r="M137" s="21">
        <f t="shared" si="82"/>
        <v>0</v>
      </c>
      <c r="N137" s="21">
        <f t="shared" si="82"/>
        <v>0</v>
      </c>
      <c r="O137" s="21">
        <f t="shared" si="82"/>
        <v>0</v>
      </c>
      <c r="P137" s="21">
        <f t="shared" si="82"/>
        <v>0</v>
      </c>
      <c r="Q137" s="21">
        <f t="shared" si="82"/>
        <v>0</v>
      </c>
      <c r="R137" s="21">
        <f t="shared" si="82"/>
        <v>0</v>
      </c>
      <c r="S137" s="21">
        <f t="shared" si="82"/>
        <v>0</v>
      </c>
      <c r="T137" s="21">
        <f t="shared" si="82"/>
        <v>0</v>
      </c>
      <c r="U137" s="21">
        <f t="shared" si="82"/>
        <v>0</v>
      </c>
      <c r="V137" s="21">
        <f t="shared" si="82"/>
        <v>0</v>
      </c>
      <c r="W137" s="21">
        <f t="shared" si="82"/>
        <v>0</v>
      </c>
      <c r="X137" s="21">
        <f t="shared" si="82"/>
        <v>0</v>
      </c>
      <c r="Y137" s="21">
        <f t="shared" si="82"/>
        <v>0</v>
      </c>
      <c r="Z137" s="21">
        <f t="shared" si="82"/>
        <v>0</v>
      </c>
      <c r="AA137" s="21">
        <f t="shared" si="82"/>
        <v>0</v>
      </c>
      <c r="AB137" s="21">
        <f t="shared" si="82"/>
        <v>0</v>
      </c>
      <c r="AC137" s="21">
        <f t="shared" si="82"/>
        <v>0</v>
      </c>
      <c r="AD137" s="21">
        <f t="shared" si="82"/>
        <v>0</v>
      </c>
      <c r="AE137" s="21">
        <f t="shared" si="82"/>
        <v>0</v>
      </c>
      <c r="AF137" s="21">
        <f t="shared" si="82"/>
        <v>0</v>
      </c>
      <c r="AG137" s="21">
        <f t="shared" si="82"/>
        <v>0</v>
      </c>
      <c r="AH137" s="21">
        <f t="shared" si="82"/>
        <v>0</v>
      </c>
      <c r="AI137" s="21">
        <f t="shared" si="82"/>
        <v>0</v>
      </c>
      <c r="AJ137" s="21">
        <f t="shared" si="82"/>
        <v>0</v>
      </c>
      <c r="AK137" s="21">
        <f t="shared" si="82"/>
        <v>0</v>
      </c>
      <c r="AL137" s="21">
        <f t="shared" si="82"/>
        <v>0</v>
      </c>
      <c r="AM137" s="21">
        <f t="shared" si="82"/>
        <v>0</v>
      </c>
      <c r="AN137" s="21">
        <f t="shared" si="82"/>
        <v>0</v>
      </c>
      <c r="AO137" s="21">
        <f t="shared" si="82"/>
        <v>0</v>
      </c>
      <c r="AP137" s="21">
        <f t="shared" si="82"/>
        <v>0</v>
      </c>
      <c r="AQ137" s="21">
        <f t="shared" si="82"/>
        <v>0</v>
      </c>
      <c r="AR137" s="21">
        <f t="shared" si="82"/>
        <v>0</v>
      </c>
      <c r="AS137" s="21">
        <f t="shared" si="82"/>
        <v>0</v>
      </c>
      <c r="AT137" s="21">
        <f t="shared" si="82"/>
        <v>0</v>
      </c>
      <c r="AU137" s="21">
        <f t="shared" si="82"/>
        <v>0</v>
      </c>
      <c r="AV137" s="21">
        <f t="shared" si="82"/>
        <v>0</v>
      </c>
      <c r="AW137" s="21">
        <f t="shared" si="82"/>
        <v>0</v>
      </c>
      <c r="AX137" s="21">
        <f t="shared" si="82"/>
        <v>0</v>
      </c>
      <c r="AY137" s="21">
        <f t="shared" si="82"/>
        <v>0</v>
      </c>
      <c r="AZ137" s="21">
        <f t="shared" si="82"/>
        <v>0</v>
      </c>
      <c r="BA137" s="21">
        <f t="shared" si="82"/>
        <v>0</v>
      </c>
      <c r="BB137" s="21">
        <f t="shared" si="66"/>
        <v>0</v>
      </c>
    </row>
    <row r="138" spans="1:54">
      <c r="A138" s="456"/>
      <c r="B138" s="226">
        <v>2024</v>
      </c>
      <c r="C138" s="21">
        <f t="shared" ref="C138:BA138" si="83">C84-C111</f>
        <v>0</v>
      </c>
      <c r="D138" s="21">
        <f t="shared" si="83"/>
        <v>0</v>
      </c>
      <c r="E138" s="21">
        <f t="shared" si="83"/>
        <v>0</v>
      </c>
      <c r="F138" s="21">
        <f t="shared" si="83"/>
        <v>0</v>
      </c>
      <c r="G138" s="21">
        <f t="shared" si="83"/>
        <v>0</v>
      </c>
      <c r="H138" s="21">
        <f t="shared" si="83"/>
        <v>0</v>
      </c>
      <c r="I138" s="21">
        <f t="shared" si="83"/>
        <v>0</v>
      </c>
      <c r="J138" s="21">
        <f t="shared" si="83"/>
        <v>0</v>
      </c>
      <c r="K138" s="21">
        <f t="shared" si="83"/>
        <v>0</v>
      </c>
      <c r="L138" s="21">
        <f t="shared" si="83"/>
        <v>0</v>
      </c>
      <c r="M138" s="21">
        <f t="shared" si="83"/>
        <v>0</v>
      </c>
      <c r="N138" s="21">
        <f t="shared" si="83"/>
        <v>0</v>
      </c>
      <c r="O138" s="21">
        <f t="shared" si="83"/>
        <v>0</v>
      </c>
      <c r="P138" s="21">
        <f t="shared" si="83"/>
        <v>0</v>
      </c>
      <c r="Q138" s="21">
        <f t="shared" si="83"/>
        <v>0</v>
      </c>
      <c r="R138" s="21">
        <f t="shared" si="83"/>
        <v>0</v>
      </c>
      <c r="S138" s="21">
        <f t="shared" si="83"/>
        <v>0</v>
      </c>
      <c r="T138" s="21">
        <f t="shared" si="83"/>
        <v>0</v>
      </c>
      <c r="U138" s="21">
        <f t="shared" si="83"/>
        <v>0</v>
      </c>
      <c r="V138" s="21">
        <f t="shared" si="83"/>
        <v>0</v>
      </c>
      <c r="W138" s="21">
        <f t="shared" si="83"/>
        <v>0</v>
      </c>
      <c r="X138" s="21">
        <f t="shared" si="83"/>
        <v>0</v>
      </c>
      <c r="Y138" s="21">
        <f t="shared" si="83"/>
        <v>0</v>
      </c>
      <c r="Z138" s="21">
        <f t="shared" si="83"/>
        <v>0</v>
      </c>
      <c r="AA138" s="21">
        <f t="shared" si="83"/>
        <v>0</v>
      </c>
      <c r="AB138" s="21">
        <f t="shared" si="83"/>
        <v>0</v>
      </c>
      <c r="AC138" s="21">
        <f t="shared" si="83"/>
        <v>0</v>
      </c>
      <c r="AD138" s="21">
        <f t="shared" si="83"/>
        <v>0</v>
      </c>
      <c r="AE138" s="21">
        <f t="shared" si="83"/>
        <v>0</v>
      </c>
      <c r="AF138" s="21">
        <f t="shared" si="83"/>
        <v>0</v>
      </c>
      <c r="AG138" s="21">
        <f t="shared" si="83"/>
        <v>0</v>
      </c>
      <c r="AH138" s="21">
        <f t="shared" si="83"/>
        <v>0</v>
      </c>
      <c r="AI138" s="21">
        <f t="shared" si="83"/>
        <v>0</v>
      </c>
      <c r="AJ138" s="21">
        <f t="shared" si="83"/>
        <v>0</v>
      </c>
      <c r="AK138" s="21">
        <f t="shared" si="83"/>
        <v>0</v>
      </c>
      <c r="AL138" s="21">
        <f t="shared" si="83"/>
        <v>0</v>
      </c>
      <c r="AM138" s="21">
        <f t="shared" si="83"/>
        <v>0</v>
      </c>
      <c r="AN138" s="21">
        <f t="shared" si="83"/>
        <v>0</v>
      </c>
      <c r="AO138" s="21">
        <f t="shared" si="83"/>
        <v>0</v>
      </c>
      <c r="AP138" s="21">
        <f t="shared" si="83"/>
        <v>0</v>
      </c>
      <c r="AQ138" s="21">
        <f t="shared" si="83"/>
        <v>0</v>
      </c>
      <c r="AR138" s="21">
        <f t="shared" si="83"/>
        <v>0</v>
      </c>
      <c r="AS138" s="21">
        <f t="shared" si="83"/>
        <v>0</v>
      </c>
      <c r="AT138" s="21">
        <f t="shared" si="83"/>
        <v>0</v>
      </c>
      <c r="AU138" s="21">
        <f t="shared" si="83"/>
        <v>0</v>
      </c>
      <c r="AV138" s="21">
        <f t="shared" si="83"/>
        <v>0</v>
      </c>
      <c r="AW138" s="21">
        <f t="shared" si="83"/>
        <v>0</v>
      </c>
      <c r="AX138" s="21">
        <f t="shared" si="83"/>
        <v>0</v>
      </c>
      <c r="AY138" s="21">
        <f t="shared" si="83"/>
        <v>0</v>
      </c>
      <c r="AZ138" s="21">
        <f t="shared" si="83"/>
        <v>0</v>
      </c>
      <c r="BA138" s="21">
        <f t="shared" si="83"/>
        <v>0</v>
      </c>
      <c r="BB138" s="21">
        <f t="shared" si="66"/>
        <v>0</v>
      </c>
    </row>
    <row r="139" spans="1:54">
      <c r="A139" s="456"/>
      <c r="B139" s="228">
        <v>2025</v>
      </c>
      <c r="C139" s="21">
        <f t="shared" ref="C139:BA139" si="84">C85-C112</f>
        <v>0</v>
      </c>
      <c r="D139" s="21">
        <f t="shared" si="84"/>
        <v>0</v>
      </c>
      <c r="E139" s="21">
        <f t="shared" si="84"/>
        <v>0</v>
      </c>
      <c r="F139" s="21">
        <f t="shared" si="84"/>
        <v>0</v>
      </c>
      <c r="G139" s="21">
        <f t="shared" si="84"/>
        <v>0</v>
      </c>
      <c r="H139" s="21">
        <f t="shared" si="84"/>
        <v>0</v>
      </c>
      <c r="I139" s="21">
        <f t="shared" si="84"/>
        <v>0</v>
      </c>
      <c r="J139" s="21">
        <f t="shared" si="84"/>
        <v>0</v>
      </c>
      <c r="K139" s="21">
        <f t="shared" si="84"/>
        <v>0</v>
      </c>
      <c r="L139" s="21">
        <f t="shared" si="84"/>
        <v>0</v>
      </c>
      <c r="M139" s="21">
        <f t="shared" si="84"/>
        <v>0</v>
      </c>
      <c r="N139" s="21">
        <f t="shared" si="84"/>
        <v>0</v>
      </c>
      <c r="O139" s="21">
        <f t="shared" si="84"/>
        <v>0</v>
      </c>
      <c r="P139" s="21">
        <f t="shared" si="84"/>
        <v>0</v>
      </c>
      <c r="Q139" s="21">
        <f t="shared" si="84"/>
        <v>0</v>
      </c>
      <c r="R139" s="21">
        <f t="shared" si="84"/>
        <v>0</v>
      </c>
      <c r="S139" s="21">
        <f t="shared" si="84"/>
        <v>0</v>
      </c>
      <c r="T139" s="21">
        <f t="shared" si="84"/>
        <v>0</v>
      </c>
      <c r="U139" s="21">
        <f t="shared" si="84"/>
        <v>0</v>
      </c>
      <c r="V139" s="21">
        <f t="shared" si="84"/>
        <v>0</v>
      </c>
      <c r="W139" s="21">
        <f t="shared" si="84"/>
        <v>0</v>
      </c>
      <c r="X139" s="21">
        <f t="shared" si="84"/>
        <v>0</v>
      </c>
      <c r="Y139" s="21">
        <f t="shared" si="84"/>
        <v>0</v>
      </c>
      <c r="Z139" s="21">
        <f t="shared" si="84"/>
        <v>0</v>
      </c>
      <c r="AA139" s="21">
        <f t="shared" si="84"/>
        <v>0</v>
      </c>
      <c r="AB139" s="21">
        <f t="shared" si="84"/>
        <v>0</v>
      </c>
      <c r="AC139" s="21">
        <f t="shared" si="84"/>
        <v>0</v>
      </c>
      <c r="AD139" s="21">
        <f t="shared" si="84"/>
        <v>0</v>
      </c>
      <c r="AE139" s="21">
        <f t="shared" si="84"/>
        <v>0</v>
      </c>
      <c r="AF139" s="21">
        <f t="shared" si="84"/>
        <v>0</v>
      </c>
      <c r="AG139" s="21">
        <f t="shared" si="84"/>
        <v>0</v>
      </c>
      <c r="AH139" s="21">
        <f t="shared" si="84"/>
        <v>0</v>
      </c>
      <c r="AI139" s="21">
        <f t="shared" si="84"/>
        <v>0</v>
      </c>
      <c r="AJ139" s="21">
        <f t="shared" si="84"/>
        <v>0</v>
      </c>
      <c r="AK139" s="21">
        <f t="shared" si="84"/>
        <v>0</v>
      </c>
      <c r="AL139" s="21">
        <f t="shared" si="84"/>
        <v>0</v>
      </c>
      <c r="AM139" s="21">
        <f t="shared" si="84"/>
        <v>0</v>
      </c>
      <c r="AN139" s="21">
        <f t="shared" si="84"/>
        <v>0</v>
      </c>
      <c r="AO139" s="21">
        <f t="shared" si="84"/>
        <v>0</v>
      </c>
      <c r="AP139" s="21">
        <f t="shared" si="84"/>
        <v>0</v>
      </c>
      <c r="AQ139" s="21">
        <f t="shared" si="84"/>
        <v>0</v>
      </c>
      <c r="AR139" s="21">
        <f t="shared" si="84"/>
        <v>0</v>
      </c>
      <c r="AS139" s="21">
        <f t="shared" si="84"/>
        <v>0</v>
      </c>
      <c r="AT139" s="21">
        <f t="shared" si="84"/>
        <v>0</v>
      </c>
      <c r="AU139" s="21">
        <f t="shared" si="84"/>
        <v>0</v>
      </c>
      <c r="AV139" s="21">
        <f t="shared" si="84"/>
        <v>0</v>
      </c>
      <c r="AW139" s="21">
        <f t="shared" si="84"/>
        <v>0</v>
      </c>
      <c r="AX139" s="21">
        <f t="shared" si="84"/>
        <v>0</v>
      </c>
      <c r="AY139" s="21">
        <f t="shared" si="84"/>
        <v>0</v>
      </c>
      <c r="AZ139" s="21">
        <f t="shared" si="84"/>
        <v>0</v>
      </c>
      <c r="BA139" s="21">
        <f t="shared" si="84"/>
        <v>0</v>
      </c>
      <c r="BB139" s="21">
        <f t="shared" si="66"/>
        <v>0</v>
      </c>
    </row>
    <row r="140" spans="1:54">
      <c r="A140" s="456"/>
      <c r="B140" s="226">
        <v>2026</v>
      </c>
      <c r="C140" s="21">
        <f t="shared" ref="C140:BA140" si="85">C86-C113</f>
        <v>0</v>
      </c>
      <c r="D140" s="21">
        <f t="shared" si="85"/>
        <v>0</v>
      </c>
      <c r="E140" s="21">
        <f t="shared" si="85"/>
        <v>0</v>
      </c>
      <c r="F140" s="21">
        <f t="shared" si="85"/>
        <v>0</v>
      </c>
      <c r="G140" s="21">
        <f t="shared" si="85"/>
        <v>0</v>
      </c>
      <c r="H140" s="21">
        <f t="shared" si="85"/>
        <v>0</v>
      </c>
      <c r="I140" s="21">
        <f t="shared" si="85"/>
        <v>0</v>
      </c>
      <c r="J140" s="21">
        <f t="shared" si="85"/>
        <v>0</v>
      </c>
      <c r="K140" s="21">
        <f t="shared" si="85"/>
        <v>0</v>
      </c>
      <c r="L140" s="21">
        <f t="shared" si="85"/>
        <v>0</v>
      </c>
      <c r="M140" s="21">
        <f t="shared" si="85"/>
        <v>0</v>
      </c>
      <c r="N140" s="21">
        <f t="shared" si="85"/>
        <v>0</v>
      </c>
      <c r="O140" s="21">
        <f t="shared" si="85"/>
        <v>0</v>
      </c>
      <c r="P140" s="21">
        <f t="shared" si="85"/>
        <v>0</v>
      </c>
      <c r="Q140" s="21">
        <f t="shared" si="85"/>
        <v>0</v>
      </c>
      <c r="R140" s="21">
        <f t="shared" si="85"/>
        <v>0</v>
      </c>
      <c r="S140" s="21">
        <f t="shared" si="85"/>
        <v>0</v>
      </c>
      <c r="T140" s="21">
        <f t="shared" si="85"/>
        <v>0</v>
      </c>
      <c r="U140" s="21">
        <f t="shared" si="85"/>
        <v>0</v>
      </c>
      <c r="V140" s="21">
        <f t="shared" si="85"/>
        <v>0</v>
      </c>
      <c r="W140" s="21">
        <f t="shared" si="85"/>
        <v>0</v>
      </c>
      <c r="X140" s="21">
        <f t="shared" si="85"/>
        <v>0</v>
      </c>
      <c r="Y140" s="21">
        <f t="shared" si="85"/>
        <v>0</v>
      </c>
      <c r="Z140" s="21">
        <f t="shared" si="85"/>
        <v>0</v>
      </c>
      <c r="AA140" s="21">
        <f t="shared" si="85"/>
        <v>0</v>
      </c>
      <c r="AB140" s="21">
        <f t="shared" si="85"/>
        <v>0</v>
      </c>
      <c r="AC140" s="21">
        <f t="shared" si="85"/>
        <v>0</v>
      </c>
      <c r="AD140" s="21">
        <f t="shared" si="85"/>
        <v>0</v>
      </c>
      <c r="AE140" s="21">
        <f t="shared" si="85"/>
        <v>0</v>
      </c>
      <c r="AF140" s="21">
        <f t="shared" si="85"/>
        <v>0</v>
      </c>
      <c r="AG140" s="21">
        <f t="shared" si="85"/>
        <v>0</v>
      </c>
      <c r="AH140" s="21">
        <f t="shared" si="85"/>
        <v>0</v>
      </c>
      <c r="AI140" s="21">
        <f t="shared" si="85"/>
        <v>0</v>
      </c>
      <c r="AJ140" s="21">
        <f t="shared" si="85"/>
        <v>0</v>
      </c>
      <c r="AK140" s="21">
        <f t="shared" si="85"/>
        <v>0</v>
      </c>
      <c r="AL140" s="21">
        <f t="shared" si="85"/>
        <v>0</v>
      </c>
      <c r="AM140" s="21">
        <f t="shared" si="85"/>
        <v>0</v>
      </c>
      <c r="AN140" s="21">
        <f t="shared" si="85"/>
        <v>0</v>
      </c>
      <c r="AO140" s="21">
        <f t="shared" si="85"/>
        <v>0</v>
      </c>
      <c r="AP140" s="21">
        <f t="shared" si="85"/>
        <v>0</v>
      </c>
      <c r="AQ140" s="21">
        <f t="shared" si="85"/>
        <v>0</v>
      </c>
      <c r="AR140" s="21">
        <f t="shared" si="85"/>
        <v>0</v>
      </c>
      <c r="AS140" s="21">
        <f t="shared" si="85"/>
        <v>0</v>
      </c>
      <c r="AT140" s="21">
        <f t="shared" si="85"/>
        <v>0</v>
      </c>
      <c r="AU140" s="21">
        <f t="shared" si="85"/>
        <v>0</v>
      </c>
      <c r="AV140" s="21">
        <f t="shared" si="85"/>
        <v>0</v>
      </c>
      <c r="AW140" s="21">
        <f t="shared" si="85"/>
        <v>0</v>
      </c>
      <c r="AX140" s="21">
        <f t="shared" si="85"/>
        <v>0</v>
      </c>
      <c r="AY140" s="21">
        <f t="shared" si="85"/>
        <v>0</v>
      </c>
      <c r="AZ140" s="21">
        <f t="shared" si="85"/>
        <v>0</v>
      </c>
      <c r="BA140" s="21">
        <f t="shared" si="85"/>
        <v>0</v>
      </c>
      <c r="BB140" s="21">
        <f t="shared" si="66"/>
        <v>0</v>
      </c>
    </row>
    <row r="141" spans="1:54">
      <c r="A141" s="456"/>
      <c r="B141" s="228">
        <v>2027</v>
      </c>
      <c r="C141" s="21">
        <f t="shared" ref="C141:BA141" si="86">C87-C114</f>
        <v>0</v>
      </c>
      <c r="D141" s="21">
        <f t="shared" si="86"/>
        <v>0</v>
      </c>
      <c r="E141" s="21">
        <f t="shared" si="86"/>
        <v>0</v>
      </c>
      <c r="F141" s="21">
        <f t="shared" si="86"/>
        <v>0</v>
      </c>
      <c r="G141" s="21">
        <f t="shared" si="86"/>
        <v>0</v>
      </c>
      <c r="H141" s="21">
        <f t="shared" si="86"/>
        <v>0</v>
      </c>
      <c r="I141" s="21">
        <f t="shared" si="86"/>
        <v>0</v>
      </c>
      <c r="J141" s="21">
        <f t="shared" si="86"/>
        <v>0</v>
      </c>
      <c r="K141" s="21">
        <f t="shared" si="86"/>
        <v>0</v>
      </c>
      <c r="L141" s="21">
        <f t="shared" si="86"/>
        <v>0</v>
      </c>
      <c r="M141" s="21">
        <f t="shared" si="86"/>
        <v>0</v>
      </c>
      <c r="N141" s="21">
        <f t="shared" si="86"/>
        <v>0</v>
      </c>
      <c r="O141" s="21">
        <f t="shared" si="86"/>
        <v>0</v>
      </c>
      <c r="P141" s="21">
        <f t="shared" si="86"/>
        <v>0</v>
      </c>
      <c r="Q141" s="21">
        <f t="shared" si="86"/>
        <v>0</v>
      </c>
      <c r="R141" s="21">
        <f t="shared" si="86"/>
        <v>0</v>
      </c>
      <c r="S141" s="21">
        <f t="shared" si="86"/>
        <v>0</v>
      </c>
      <c r="T141" s="21">
        <f t="shared" si="86"/>
        <v>0</v>
      </c>
      <c r="U141" s="21">
        <f t="shared" si="86"/>
        <v>0</v>
      </c>
      <c r="V141" s="21">
        <f t="shared" si="86"/>
        <v>0</v>
      </c>
      <c r="W141" s="21">
        <f t="shared" si="86"/>
        <v>0</v>
      </c>
      <c r="X141" s="21">
        <f t="shared" si="86"/>
        <v>0</v>
      </c>
      <c r="Y141" s="21">
        <f t="shared" si="86"/>
        <v>0</v>
      </c>
      <c r="Z141" s="21">
        <f t="shared" si="86"/>
        <v>0</v>
      </c>
      <c r="AA141" s="21">
        <f t="shared" si="86"/>
        <v>0</v>
      </c>
      <c r="AB141" s="21">
        <f t="shared" si="86"/>
        <v>0</v>
      </c>
      <c r="AC141" s="21">
        <f t="shared" si="86"/>
        <v>0</v>
      </c>
      <c r="AD141" s="21">
        <f t="shared" si="86"/>
        <v>0</v>
      </c>
      <c r="AE141" s="21">
        <f t="shared" si="86"/>
        <v>0</v>
      </c>
      <c r="AF141" s="21">
        <f t="shared" si="86"/>
        <v>0</v>
      </c>
      <c r="AG141" s="21">
        <f t="shared" si="86"/>
        <v>0</v>
      </c>
      <c r="AH141" s="21">
        <f t="shared" si="86"/>
        <v>0</v>
      </c>
      <c r="AI141" s="21">
        <f t="shared" si="86"/>
        <v>0</v>
      </c>
      <c r="AJ141" s="21">
        <f t="shared" si="86"/>
        <v>0</v>
      </c>
      <c r="AK141" s="21">
        <f t="shared" si="86"/>
        <v>0</v>
      </c>
      <c r="AL141" s="21">
        <f t="shared" si="86"/>
        <v>0</v>
      </c>
      <c r="AM141" s="21">
        <f t="shared" si="86"/>
        <v>0</v>
      </c>
      <c r="AN141" s="21">
        <f t="shared" si="86"/>
        <v>0</v>
      </c>
      <c r="AO141" s="21">
        <f t="shared" si="86"/>
        <v>0</v>
      </c>
      <c r="AP141" s="21">
        <f t="shared" si="86"/>
        <v>0</v>
      </c>
      <c r="AQ141" s="21">
        <f t="shared" si="86"/>
        <v>0</v>
      </c>
      <c r="AR141" s="21">
        <f t="shared" si="86"/>
        <v>0</v>
      </c>
      <c r="AS141" s="21">
        <f t="shared" si="86"/>
        <v>0</v>
      </c>
      <c r="AT141" s="21">
        <f t="shared" si="86"/>
        <v>0</v>
      </c>
      <c r="AU141" s="21">
        <f t="shared" si="86"/>
        <v>0</v>
      </c>
      <c r="AV141" s="21">
        <f t="shared" si="86"/>
        <v>0</v>
      </c>
      <c r="AW141" s="21">
        <f t="shared" si="86"/>
        <v>0</v>
      </c>
      <c r="AX141" s="21">
        <f t="shared" si="86"/>
        <v>0</v>
      </c>
      <c r="AY141" s="21">
        <f t="shared" si="86"/>
        <v>0</v>
      </c>
      <c r="AZ141" s="21">
        <f t="shared" si="86"/>
        <v>0</v>
      </c>
      <c r="BA141" s="21">
        <f t="shared" si="86"/>
        <v>0</v>
      </c>
      <c r="BB141" s="21">
        <f t="shared" si="66"/>
        <v>0</v>
      </c>
    </row>
    <row r="142" spans="1:54">
      <c r="A142" s="456"/>
      <c r="B142" s="226">
        <v>2028</v>
      </c>
      <c r="C142" s="21">
        <f t="shared" ref="C142:BA142" si="87">C88-C115</f>
        <v>0</v>
      </c>
      <c r="D142" s="21">
        <f t="shared" si="87"/>
        <v>0</v>
      </c>
      <c r="E142" s="21">
        <f t="shared" si="87"/>
        <v>0</v>
      </c>
      <c r="F142" s="21">
        <f t="shared" si="87"/>
        <v>0</v>
      </c>
      <c r="G142" s="21">
        <f t="shared" si="87"/>
        <v>0</v>
      </c>
      <c r="H142" s="21">
        <f t="shared" si="87"/>
        <v>0</v>
      </c>
      <c r="I142" s="21">
        <f t="shared" si="87"/>
        <v>0</v>
      </c>
      <c r="J142" s="21">
        <f t="shared" si="87"/>
        <v>0</v>
      </c>
      <c r="K142" s="21">
        <f t="shared" si="87"/>
        <v>0</v>
      </c>
      <c r="L142" s="21">
        <f t="shared" si="87"/>
        <v>0</v>
      </c>
      <c r="M142" s="21">
        <f t="shared" si="87"/>
        <v>0</v>
      </c>
      <c r="N142" s="21">
        <f t="shared" si="87"/>
        <v>0</v>
      </c>
      <c r="O142" s="21">
        <f t="shared" si="87"/>
        <v>0</v>
      </c>
      <c r="P142" s="21">
        <f t="shared" si="87"/>
        <v>0</v>
      </c>
      <c r="Q142" s="21">
        <f t="shared" si="87"/>
        <v>0</v>
      </c>
      <c r="R142" s="21">
        <f t="shared" si="87"/>
        <v>0</v>
      </c>
      <c r="S142" s="21">
        <f t="shared" si="87"/>
        <v>0</v>
      </c>
      <c r="T142" s="21">
        <f t="shared" si="87"/>
        <v>0</v>
      </c>
      <c r="U142" s="21">
        <f t="shared" si="87"/>
        <v>0</v>
      </c>
      <c r="V142" s="21">
        <f t="shared" si="87"/>
        <v>0</v>
      </c>
      <c r="W142" s="21">
        <f t="shared" si="87"/>
        <v>0</v>
      </c>
      <c r="X142" s="21">
        <f t="shared" si="87"/>
        <v>0</v>
      </c>
      <c r="Y142" s="21">
        <f t="shared" si="87"/>
        <v>0</v>
      </c>
      <c r="Z142" s="21">
        <f t="shared" si="87"/>
        <v>0</v>
      </c>
      <c r="AA142" s="21">
        <f t="shared" si="87"/>
        <v>0</v>
      </c>
      <c r="AB142" s="21">
        <f t="shared" si="87"/>
        <v>0</v>
      </c>
      <c r="AC142" s="21">
        <f t="shared" si="87"/>
        <v>0</v>
      </c>
      <c r="AD142" s="21">
        <f t="shared" si="87"/>
        <v>0</v>
      </c>
      <c r="AE142" s="21">
        <f t="shared" si="87"/>
        <v>0</v>
      </c>
      <c r="AF142" s="21">
        <f t="shared" si="87"/>
        <v>0</v>
      </c>
      <c r="AG142" s="21">
        <f t="shared" si="87"/>
        <v>0</v>
      </c>
      <c r="AH142" s="21">
        <f t="shared" si="87"/>
        <v>0</v>
      </c>
      <c r="AI142" s="21">
        <f t="shared" si="87"/>
        <v>0</v>
      </c>
      <c r="AJ142" s="21">
        <f t="shared" si="87"/>
        <v>0</v>
      </c>
      <c r="AK142" s="21">
        <f t="shared" si="87"/>
        <v>0</v>
      </c>
      <c r="AL142" s="21">
        <f t="shared" si="87"/>
        <v>0</v>
      </c>
      <c r="AM142" s="21">
        <f t="shared" si="87"/>
        <v>0</v>
      </c>
      <c r="AN142" s="21">
        <f t="shared" si="87"/>
        <v>0</v>
      </c>
      <c r="AO142" s="21">
        <f t="shared" si="87"/>
        <v>0</v>
      </c>
      <c r="AP142" s="21">
        <f t="shared" si="87"/>
        <v>0</v>
      </c>
      <c r="AQ142" s="21">
        <f t="shared" si="87"/>
        <v>0</v>
      </c>
      <c r="AR142" s="21">
        <f t="shared" si="87"/>
        <v>0</v>
      </c>
      <c r="AS142" s="21">
        <f t="shared" si="87"/>
        <v>0</v>
      </c>
      <c r="AT142" s="21">
        <f t="shared" si="87"/>
        <v>0</v>
      </c>
      <c r="AU142" s="21">
        <f t="shared" si="87"/>
        <v>0</v>
      </c>
      <c r="AV142" s="21">
        <f t="shared" si="87"/>
        <v>0</v>
      </c>
      <c r="AW142" s="21">
        <f t="shared" si="87"/>
        <v>0</v>
      </c>
      <c r="AX142" s="21">
        <f t="shared" si="87"/>
        <v>0</v>
      </c>
      <c r="AY142" s="21">
        <f t="shared" si="87"/>
        <v>0</v>
      </c>
      <c r="AZ142" s="21">
        <f t="shared" si="87"/>
        <v>0</v>
      </c>
      <c r="BA142" s="21">
        <f t="shared" si="87"/>
        <v>0</v>
      </c>
      <c r="BB142" s="21">
        <f t="shared" si="66"/>
        <v>0</v>
      </c>
    </row>
    <row r="143" spans="1:54">
      <c r="A143" s="456"/>
      <c r="B143" s="228">
        <v>2029</v>
      </c>
      <c r="C143" s="21">
        <f t="shared" ref="C143:BA143" si="88">C89-C116</f>
        <v>0</v>
      </c>
      <c r="D143" s="21">
        <f t="shared" si="88"/>
        <v>0</v>
      </c>
      <c r="E143" s="21">
        <f t="shared" si="88"/>
        <v>0</v>
      </c>
      <c r="F143" s="21">
        <f t="shared" si="88"/>
        <v>0</v>
      </c>
      <c r="G143" s="21">
        <f t="shared" si="88"/>
        <v>0</v>
      </c>
      <c r="H143" s="21">
        <f t="shared" si="88"/>
        <v>0</v>
      </c>
      <c r="I143" s="21">
        <f t="shared" si="88"/>
        <v>0</v>
      </c>
      <c r="J143" s="21">
        <f t="shared" si="88"/>
        <v>0</v>
      </c>
      <c r="K143" s="21">
        <f t="shared" si="88"/>
        <v>0</v>
      </c>
      <c r="L143" s="21">
        <f t="shared" si="88"/>
        <v>0</v>
      </c>
      <c r="M143" s="21">
        <f t="shared" si="88"/>
        <v>0</v>
      </c>
      <c r="N143" s="21">
        <f t="shared" si="88"/>
        <v>0</v>
      </c>
      <c r="O143" s="21">
        <f t="shared" si="88"/>
        <v>0</v>
      </c>
      <c r="P143" s="21">
        <f t="shared" si="88"/>
        <v>0</v>
      </c>
      <c r="Q143" s="21">
        <f t="shared" si="88"/>
        <v>0</v>
      </c>
      <c r="R143" s="21">
        <f t="shared" si="88"/>
        <v>0</v>
      </c>
      <c r="S143" s="21">
        <f t="shared" si="88"/>
        <v>0</v>
      </c>
      <c r="T143" s="21">
        <f t="shared" si="88"/>
        <v>0</v>
      </c>
      <c r="U143" s="21">
        <f t="shared" si="88"/>
        <v>0</v>
      </c>
      <c r="V143" s="21">
        <f t="shared" si="88"/>
        <v>0</v>
      </c>
      <c r="W143" s="21">
        <f t="shared" si="88"/>
        <v>0</v>
      </c>
      <c r="X143" s="21">
        <f t="shared" si="88"/>
        <v>0</v>
      </c>
      <c r="Y143" s="21">
        <f t="shared" si="88"/>
        <v>0</v>
      </c>
      <c r="Z143" s="21">
        <f t="shared" si="88"/>
        <v>0</v>
      </c>
      <c r="AA143" s="21">
        <f t="shared" si="88"/>
        <v>0</v>
      </c>
      <c r="AB143" s="21">
        <f t="shared" si="88"/>
        <v>0</v>
      </c>
      <c r="AC143" s="21">
        <f t="shared" si="88"/>
        <v>0</v>
      </c>
      <c r="AD143" s="21">
        <f t="shared" si="88"/>
        <v>0</v>
      </c>
      <c r="AE143" s="21">
        <f t="shared" si="88"/>
        <v>0</v>
      </c>
      <c r="AF143" s="21">
        <f t="shared" si="88"/>
        <v>0</v>
      </c>
      <c r="AG143" s="21">
        <f t="shared" si="88"/>
        <v>0</v>
      </c>
      <c r="AH143" s="21">
        <f t="shared" si="88"/>
        <v>0</v>
      </c>
      <c r="AI143" s="21">
        <f t="shared" si="88"/>
        <v>0</v>
      </c>
      <c r="AJ143" s="21">
        <f t="shared" si="88"/>
        <v>0</v>
      </c>
      <c r="AK143" s="21">
        <f t="shared" si="88"/>
        <v>0</v>
      </c>
      <c r="AL143" s="21">
        <f t="shared" si="88"/>
        <v>0</v>
      </c>
      <c r="AM143" s="21">
        <f t="shared" si="88"/>
        <v>0</v>
      </c>
      <c r="AN143" s="21">
        <f t="shared" si="88"/>
        <v>0</v>
      </c>
      <c r="AO143" s="21">
        <f t="shared" si="88"/>
        <v>0</v>
      </c>
      <c r="AP143" s="21">
        <f t="shared" si="88"/>
        <v>0</v>
      </c>
      <c r="AQ143" s="21">
        <f t="shared" si="88"/>
        <v>0</v>
      </c>
      <c r="AR143" s="21">
        <f t="shared" si="88"/>
        <v>0</v>
      </c>
      <c r="AS143" s="21">
        <f t="shared" si="88"/>
        <v>0</v>
      </c>
      <c r="AT143" s="21">
        <f t="shared" si="88"/>
        <v>0</v>
      </c>
      <c r="AU143" s="21">
        <f t="shared" si="88"/>
        <v>0</v>
      </c>
      <c r="AV143" s="21">
        <f t="shared" si="88"/>
        <v>0</v>
      </c>
      <c r="AW143" s="21">
        <f t="shared" si="88"/>
        <v>0</v>
      </c>
      <c r="AX143" s="21">
        <f t="shared" si="88"/>
        <v>0</v>
      </c>
      <c r="AY143" s="21">
        <f t="shared" si="88"/>
        <v>0</v>
      </c>
      <c r="AZ143" s="21">
        <f t="shared" si="88"/>
        <v>0</v>
      </c>
      <c r="BA143" s="21">
        <f t="shared" si="88"/>
        <v>0</v>
      </c>
      <c r="BB143" s="21">
        <f t="shared" si="66"/>
        <v>0</v>
      </c>
    </row>
    <row r="144" spans="1:54">
      <c r="A144" s="456"/>
      <c r="B144" s="226">
        <v>2030</v>
      </c>
      <c r="C144" s="21">
        <f t="shared" ref="C144:BA144" si="89">C90-C117</f>
        <v>0</v>
      </c>
      <c r="D144" s="21">
        <f t="shared" si="89"/>
        <v>0</v>
      </c>
      <c r="E144" s="21">
        <f t="shared" si="89"/>
        <v>0</v>
      </c>
      <c r="F144" s="21">
        <f t="shared" si="89"/>
        <v>0</v>
      </c>
      <c r="G144" s="21">
        <f t="shared" si="89"/>
        <v>0</v>
      </c>
      <c r="H144" s="21">
        <f t="shared" si="89"/>
        <v>0</v>
      </c>
      <c r="I144" s="21">
        <f t="shared" si="89"/>
        <v>0</v>
      </c>
      <c r="J144" s="21">
        <f t="shared" si="89"/>
        <v>0</v>
      </c>
      <c r="K144" s="21">
        <f t="shared" si="89"/>
        <v>0</v>
      </c>
      <c r="L144" s="21">
        <f t="shared" si="89"/>
        <v>0</v>
      </c>
      <c r="M144" s="21">
        <f t="shared" si="89"/>
        <v>0</v>
      </c>
      <c r="N144" s="21">
        <f t="shared" si="89"/>
        <v>0</v>
      </c>
      <c r="O144" s="21">
        <f t="shared" si="89"/>
        <v>0</v>
      </c>
      <c r="P144" s="21">
        <f t="shared" si="89"/>
        <v>0</v>
      </c>
      <c r="Q144" s="21">
        <f t="shared" si="89"/>
        <v>0</v>
      </c>
      <c r="R144" s="21">
        <f t="shared" si="89"/>
        <v>0</v>
      </c>
      <c r="S144" s="21">
        <f t="shared" si="89"/>
        <v>0</v>
      </c>
      <c r="T144" s="21">
        <f t="shared" si="89"/>
        <v>0</v>
      </c>
      <c r="U144" s="21">
        <f t="shared" si="89"/>
        <v>0</v>
      </c>
      <c r="V144" s="21">
        <f t="shared" si="89"/>
        <v>0</v>
      </c>
      <c r="W144" s="21">
        <f t="shared" si="89"/>
        <v>0</v>
      </c>
      <c r="X144" s="21">
        <f t="shared" si="89"/>
        <v>0</v>
      </c>
      <c r="Y144" s="21">
        <f t="shared" si="89"/>
        <v>0</v>
      </c>
      <c r="Z144" s="21">
        <f t="shared" si="89"/>
        <v>0</v>
      </c>
      <c r="AA144" s="21">
        <f t="shared" si="89"/>
        <v>0</v>
      </c>
      <c r="AB144" s="21">
        <f t="shared" si="89"/>
        <v>0</v>
      </c>
      <c r="AC144" s="21">
        <f t="shared" si="89"/>
        <v>0</v>
      </c>
      <c r="AD144" s="21">
        <f t="shared" si="89"/>
        <v>0</v>
      </c>
      <c r="AE144" s="21">
        <f t="shared" si="89"/>
        <v>0</v>
      </c>
      <c r="AF144" s="21">
        <f t="shared" si="89"/>
        <v>0</v>
      </c>
      <c r="AG144" s="21">
        <f t="shared" si="89"/>
        <v>0</v>
      </c>
      <c r="AH144" s="21">
        <f t="shared" si="89"/>
        <v>0</v>
      </c>
      <c r="AI144" s="21">
        <f t="shared" si="89"/>
        <v>0</v>
      </c>
      <c r="AJ144" s="21">
        <f t="shared" si="89"/>
        <v>0</v>
      </c>
      <c r="AK144" s="21">
        <f t="shared" si="89"/>
        <v>0</v>
      </c>
      <c r="AL144" s="21">
        <f t="shared" si="89"/>
        <v>0</v>
      </c>
      <c r="AM144" s="21">
        <f t="shared" si="89"/>
        <v>0</v>
      </c>
      <c r="AN144" s="21">
        <f t="shared" si="89"/>
        <v>0</v>
      </c>
      <c r="AO144" s="21">
        <f t="shared" si="89"/>
        <v>0</v>
      </c>
      <c r="AP144" s="21">
        <f t="shared" si="89"/>
        <v>0</v>
      </c>
      <c r="AQ144" s="21">
        <f t="shared" si="89"/>
        <v>0</v>
      </c>
      <c r="AR144" s="21">
        <f t="shared" si="89"/>
        <v>0</v>
      </c>
      <c r="AS144" s="21">
        <f t="shared" si="89"/>
        <v>0</v>
      </c>
      <c r="AT144" s="21">
        <f t="shared" si="89"/>
        <v>0</v>
      </c>
      <c r="AU144" s="21">
        <f t="shared" si="89"/>
        <v>0</v>
      </c>
      <c r="AV144" s="21">
        <f t="shared" si="89"/>
        <v>0</v>
      </c>
      <c r="AW144" s="21">
        <f t="shared" si="89"/>
        <v>0</v>
      </c>
      <c r="AX144" s="21">
        <f t="shared" si="89"/>
        <v>0</v>
      </c>
      <c r="AY144" s="21">
        <f t="shared" si="89"/>
        <v>0</v>
      </c>
      <c r="AZ144" s="21">
        <f t="shared" si="89"/>
        <v>0</v>
      </c>
      <c r="BA144" s="21">
        <f t="shared" si="89"/>
        <v>0</v>
      </c>
      <c r="BB144" s="21">
        <f t="shared" si="66"/>
        <v>0</v>
      </c>
    </row>
    <row r="145" spans="1:54" s="63" customFormat="1"/>
    <row r="146" spans="1:54">
      <c r="B146" s="226" t="s">
        <v>225</v>
      </c>
      <c r="C146" t="str">
        <f>C119</f>
        <v>AL</v>
      </c>
      <c r="D146" t="str">
        <f t="shared" ref="D146:BA146" si="90">D119</f>
        <v>AK</v>
      </c>
      <c r="E146" t="str">
        <f t="shared" si="90"/>
        <v>AZ</v>
      </c>
      <c r="F146" t="str">
        <f t="shared" si="90"/>
        <v>AR</v>
      </c>
      <c r="G146" t="str">
        <f t="shared" si="90"/>
        <v>CA</v>
      </c>
      <c r="H146" t="str">
        <f t="shared" si="90"/>
        <v>CO</v>
      </c>
      <c r="I146" t="str">
        <f t="shared" si="90"/>
        <v>CT</v>
      </c>
      <c r="J146" t="str">
        <f t="shared" si="90"/>
        <v>DE</v>
      </c>
      <c r="K146" t="str">
        <f t="shared" si="90"/>
        <v>DC</v>
      </c>
      <c r="L146" t="str">
        <f t="shared" si="90"/>
        <v>FL</v>
      </c>
      <c r="M146" t="str">
        <f t="shared" si="90"/>
        <v>GA</v>
      </c>
      <c r="N146" t="str">
        <f t="shared" si="90"/>
        <v>HI</v>
      </c>
      <c r="O146" t="str">
        <f t="shared" si="90"/>
        <v>ID</v>
      </c>
      <c r="P146" t="str">
        <f t="shared" si="90"/>
        <v>IL</v>
      </c>
      <c r="Q146" t="str">
        <f t="shared" si="90"/>
        <v>IN</v>
      </c>
      <c r="R146" t="str">
        <f t="shared" si="90"/>
        <v>IA</v>
      </c>
      <c r="S146" t="str">
        <f t="shared" si="90"/>
        <v>KS</v>
      </c>
      <c r="T146" t="str">
        <f t="shared" si="90"/>
        <v>KY</v>
      </c>
      <c r="U146" t="str">
        <f t="shared" si="90"/>
        <v>LA</v>
      </c>
      <c r="V146" t="str">
        <f t="shared" si="90"/>
        <v>ME</v>
      </c>
      <c r="W146" t="str">
        <f t="shared" si="90"/>
        <v>MD</v>
      </c>
      <c r="X146" t="str">
        <f t="shared" si="90"/>
        <v>MA</v>
      </c>
      <c r="Y146" t="str">
        <f t="shared" si="90"/>
        <v>MI</v>
      </c>
      <c r="Z146" t="str">
        <f t="shared" si="90"/>
        <v>MN</v>
      </c>
      <c r="AA146" t="str">
        <f t="shared" si="90"/>
        <v>MS</v>
      </c>
      <c r="AB146" t="str">
        <f t="shared" si="90"/>
        <v>MO</v>
      </c>
      <c r="AC146" t="str">
        <f t="shared" si="90"/>
        <v>MT</v>
      </c>
      <c r="AD146" t="str">
        <f t="shared" si="90"/>
        <v>NE</v>
      </c>
      <c r="AE146" t="str">
        <f t="shared" si="90"/>
        <v>NV</v>
      </c>
      <c r="AF146" t="str">
        <f t="shared" si="90"/>
        <v>NH</v>
      </c>
      <c r="AG146" t="str">
        <f t="shared" si="90"/>
        <v>NJ</v>
      </c>
      <c r="AH146" t="str">
        <f t="shared" si="90"/>
        <v>NM</v>
      </c>
      <c r="AI146" t="str">
        <f t="shared" si="90"/>
        <v>NY</v>
      </c>
      <c r="AJ146" t="str">
        <f t="shared" si="90"/>
        <v>NC</v>
      </c>
      <c r="AK146" t="str">
        <f t="shared" si="90"/>
        <v>ND</v>
      </c>
      <c r="AL146" t="str">
        <f t="shared" si="90"/>
        <v>OH</v>
      </c>
      <c r="AM146" t="str">
        <f t="shared" si="90"/>
        <v>OK</v>
      </c>
      <c r="AN146" t="str">
        <f t="shared" si="90"/>
        <v>OR</v>
      </c>
      <c r="AO146" t="str">
        <f t="shared" si="90"/>
        <v>PA</v>
      </c>
      <c r="AP146" t="str">
        <f t="shared" si="90"/>
        <v>RI</v>
      </c>
      <c r="AQ146" t="str">
        <f t="shared" si="90"/>
        <v>SC</v>
      </c>
      <c r="AR146" t="str">
        <f t="shared" si="90"/>
        <v>SD</v>
      </c>
      <c r="AS146" t="str">
        <f t="shared" si="90"/>
        <v>TN</v>
      </c>
      <c r="AT146" t="str">
        <f t="shared" si="90"/>
        <v>TX</v>
      </c>
      <c r="AU146" t="str">
        <f t="shared" si="90"/>
        <v>UT</v>
      </c>
      <c r="AV146" t="str">
        <f t="shared" si="90"/>
        <v>VT</v>
      </c>
      <c r="AW146" t="str">
        <f t="shared" si="90"/>
        <v>VA</v>
      </c>
      <c r="AX146" t="str">
        <f t="shared" si="90"/>
        <v>WA</v>
      </c>
      <c r="AY146" t="str">
        <f t="shared" si="90"/>
        <v>WV</v>
      </c>
      <c r="AZ146" t="str">
        <f t="shared" si="90"/>
        <v>WI</v>
      </c>
      <c r="BA146" t="str">
        <f t="shared" si="90"/>
        <v>WY</v>
      </c>
      <c r="BB146" t="s">
        <v>96</v>
      </c>
    </row>
    <row r="147" spans="1:54">
      <c r="A147" s="456" t="s">
        <v>233</v>
      </c>
      <c r="B147" s="226" t="s">
        <v>11</v>
      </c>
    </row>
    <row r="148" spans="1:54">
      <c r="A148" s="456"/>
      <c r="B148" s="228">
        <v>2007</v>
      </c>
      <c r="C148" s="21">
        <f t="shared" ref="C148:AH148" si="91">(C94*(kwh_per_gal_drnk_water+kwh_per_gal_waste_water))+(C121*kwh_per_gal_drnk_water)</f>
        <v>0</v>
      </c>
      <c r="D148" s="21">
        <f t="shared" si="91"/>
        <v>0</v>
      </c>
      <c r="E148" s="21">
        <f t="shared" si="91"/>
        <v>0</v>
      </c>
      <c r="F148" s="21">
        <f t="shared" si="91"/>
        <v>0</v>
      </c>
      <c r="G148" s="21">
        <f t="shared" si="91"/>
        <v>0</v>
      </c>
      <c r="H148" s="21">
        <f t="shared" si="91"/>
        <v>0</v>
      </c>
      <c r="I148" s="21">
        <f t="shared" si="91"/>
        <v>0</v>
      </c>
      <c r="J148" s="21">
        <f t="shared" si="91"/>
        <v>0</v>
      </c>
      <c r="K148" s="21">
        <f t="shared" si="91"/>
        <v>0</v>
      </c>
      <c r="L148" s="21">
        <f t="shared" si="91"/>
        <v>0</v>
      </c>
      <c r="M148" s="21">
        <f t="shared" si="91"/>
        <v>0</v>
      </c>
      <c r="N148" s="21">
        <f t="shared" si="91"/>
        <v>0</v>
      </c>
      <c r="O148" s="21">
        <f t="shared" si="91"/>
        <v>0</v>
      </c>
      <c r="P148" s="21">
        <f t="shared" si="91"/>
        <v>0</v>
      </c>
      <c r="Q148" s="21">
        <f t="shared" si="91"/>
        <v>0</v>
      </c>
      <c r="R148" s="21">
        <f t="shared" si="91"/>
        <v>0</v>
      </c>
      <c r="S148" s="21">
        <f t="shared" si="91"/>
        <v>0</v>
      </c>
      <c r="T148" s="21">
        <f t="shared" si="91"/>
        <v>0</v>
      </c>
      <c r="U148" s="21">
        <f t="shared" si="91"/>
        <v>0</v>
      </c>
      <c r="V148" s="21">
        <f t="shared" si="91"/>
        <v>0</v>
      </c>
      <c r="W148" s="21">
        <f t="shared" si="91"/>
        <v>0</v>
      </c>
      <c r="X148" s="21">
        <f t="shared" si="91"/>
        <v>0</v>
      </c>
      <c r="Y148" s="21">
        <f t="shared" si="91"/>
        <v>0</v>
      </c>
      <c r="Z148" s="21">
        <f t="shared" si="91"/>
        <v>0</v>
      </c>
      <c r="AA148" s="21">
        <f t="shared" si="91"/>
        <v>0</v>
      </c>
      <c r="AB148" s="21">
        <f t="shared" si="91"/>
        <v>0</v>
      </c>
      <c r="AC148" s="21">
        <f t="shared" si="91"/>
        <v>0</v>
      </c>
      <c r="AD148" s="21">
        <f t="shared" si="91"/>
        <v>0</v>
      </c>
      <c r="AE148" s="21">
        <f t="shared" si="91"/>
        <v>0</v>
      </c>
      <c r="AF148" s="21">
        <f t="shared" si="91"/>
        <v>0</v>
      </c>
      <c r="AG148" s="21">
        <f t="shared" si="91"/>
        <v>0</v>
      </c>
      <c r="AH148" s="21">
        <f t="shared" si="91"/>
        <v>0</v>
      </c>
      <c r="AI148" s="21">
        <f t="shared" ref="AI148:BA148" si="92">(AI94*(kwh_per_gal_drnk_water+kwh_per_gal_waste_water))+(AI121*kwh_per_gal_drnk_water)</f>
        <v>0</v>
      </c>
      <c r="AJ148" s="21">
        <f t="shared" si="92"/>
        <v>0</v>
      </c>
      <c r="AK148" s="21">
        <f t="shared" si="92"/>
        <v>0</v>
      </c>
      <c r="AL148" s="21">
        <f t="shared" si="92"/>
        <v>0</v>
      </c>
      <c r="AM148" s="21">
        <f t="shared" si="92"/>
        <v>0</v>
      </c>
      <c r="AN148" s="21">
        <f t="shared" si="92"/>
        <v>0</v>
      </c>
      <c r="AO148" s="21">
        <f t="shared" si="92"/>
        <v>0</v>
      </c>
      <c r="AP148" s="21">
        <f t="shared" si="92"/>
        <v>0</v>
      </c>
      <c r="AQ148" s="21">
        <f t="shared" si="92"/>
        <v>0</v>
      </c>
      <c r="AR148" s="21">
        <f t="shared" si="92"/>
        <v>0</v>
      </c>
      <c r="AS148" s="21">
        <f t="shared" si="92"/>
        <v>0</v>
      </c>
      <c r="AT148" s="21">
        <f t="shared" si="92"/>
        <v>0</v>
      </c>
      <c r="AU148" s="21">
        <f t="shared" si="92"/>
        <v>0</v>
      </c>
      <c r="AV148" s="21">
        <f t="shared" si="92"/>
        <v>0</v>
      </c>
      <c r="AW148" s="21">
        <f t="shared" si="92"/>
        <v>0</v>
      </c>
      <c r="AX148" s="21">
        <f t="shared" si="92"/>
        <v>0</v>
      </c>
      <c r="AY148" s="21">
        <f t="shared" si="92"/>
        <v>0</v>
      </c>
      <c r="AZ148" s="21">
        <f t="shared" si="92"/>
        <v>0</v>
      </c>
      <c r="BA148" s="21">
        <f t="shared" si="92"/>
        <v>0</v>
      </c>
      <c r="BB148" s="21">
        <f t="shared" ref="BB148:BB171" si="93">SUM(C148:BA148)</f>
        <v>0</v>
      </c>
    </row>
    <row r="149" spans="1:54">
      <c r="A149" s="456"/>
      <c r="B149" s="226">
        <v>2008</v>
      </c>
      <c r="C149" s="21">
        <f t="shared" ref="C149:AH149" si="94">(C95*(kwh_per_gal_drnk_water+kwh_per_gal_waste_water))+(C122*kwh_per_gal_drnk_water)</f>
        <v>0</v>
      </c>
      <c r="D149" s="21">
        <f t="shared" si="94"/>
        <v>0</v>
      </c>
      <c r="E149" s="21">
        <f t="shared" si="94"/>
        <v>0</v>
      </c>
      <c r="F149" s="21">
        <f t="shared" si="94"/>
        <v>0</v>
      </c>
      <c r="G149" s="21">
        <f t="shared" si="94"/>
        <v>0</v>
      </c>
      <c r="H149" s="21">
        <f t="shared" si="94"/>
        <v>0</v>
      </c>
      <c r="I149" s="21">
        <f t="shared" si="94"/>
        <v>0</v>
      </c>
      <c r="J149" s="21">
        <f t="shared" si="94"/>
        <v>0</v>
      </c>
      <c r="K149" s="21">
        <f t="shared" si="94"/>
        <v>0</v>
      </c>
      <c r="L149" s="21">
        <f t="shared" si="94"/>
        <v>0</v>
      </c>
      <c r="M149" s="21">
        <f t="shared" si="94"/>
        <v>0</v>
      </c>
      <c r="N149" s="21">
        <f t="shared" si="94"/>
        <v>0</v>
      </c>
      <c r="O149" s="21">
        <f t="shared" si="94"/>
        <v>0</v>
      </c>
      <c r="P149" s="21">
        <f t="shared" si="94"/>
        <v>0</v>
      </c>
      <c r="Q149" s="21">
        <f t="shared" si="94"/>
        <v>0</v>
      </c>
      <c r="R149" s="21">
        <f t="shared" si="94"/>
        <v>0</v>
      </c>
      <c r="S149" s="21">
        <f t="shared" si="94"/>
        <v>0</v>
      </c>
      <c r="T149" s="21">
        <f t="shared" si="94"/>
        <v>0</v>
      </c>
      <c r="U149" s="21">
        <f t="shared" si="94"/>
        <v>0</v>
      </c>
      <c r="V149" s="21">
        <f t="shared" si="94"/>
        <v>0</v>
      </c>
      <c r="W149" s="21">
        <f t="shared" si="94"/>
        <v>0</v>
      </c>
      <c r="X149" s="21">
        <f t="shared" si="94"/>
        <v>0</v>
      </c>
      <c r="Y149" s="21">
        <f t="shared" si="94"/>
        <v>0</v>
      </c>
      <c r="Z149" s="21">
        <f t="shared" si="94"/>
        <v>0</v>
      </c>
      <c r="AA149" s="21">
        <f t="shared" si="94"/>
        <v>0</v>
      </c>
      <c r="AB149" s="21">
        <f t="shared" si="94"/>
        <v>0</v>
      </c>
      <c r="AC149" s="21">
        <f t="shared" si="94"/>
        <v>0</v>
      </c>
      <c r="AD149" s="21">
        <f t="shared" si="94"/>
        <v>0</v>
      </c>
      <c r="AE149" s="21">
        <f t="shared" si="94"/>
        <v>0</v>
      </c>
      <c r="AF149" s="21">
        <f t="shared" si="94"/>
        <v>0</v>
      </c>
      <c r="AG149" s="21">
        <f t="shared" si="94"/>
        <v>0</v>
      </c>
      <c r="AH149" s="21">
        <f t="shared" si="94"/>
        <v>0</v>
      </c>
      <c r="AI149" s="21">
        <f t="shared" ref="AI149:BA149" si="95">(AI95*(kwh_per_gal_drnk_water+kwh_per_gal_waste_water))+(AI122*kwh_per_gal_drnk_water)</f>
        <v>0</v>
      </c>
      <c r="AJ149" s="21">
        <f t="shared" si="95"/>
        <v>0</v>
      </c>
      <c r="AK149" s="21">
        <f t="shared" si="95"/>
        <v>0</v>
      </c>
      <c r="AL149" s="21">
        <f t="shared" si="95"/>
        <v>0</v>
      </c>
      <c r="AM149" s="21">
        <f t="shared" si="95"/>
        <v>0</v>
      </c>
      <c r="AN149" s="21">
        <f t="shared" si="95"/>
        <v>0</v>
      </c>
      <c r="AO149" s="21">
        <f t="shared" si="95"/>
        <v>0</v>
      </c>
      <c r="AP149" s="21">
        <f t="shared" si="95"/>
        <v>0</v>
      </c>
      <c r="AQ149" s="21">
        <f t="shared" si="95"/>
        <v>0</v>
      </c>
      <c r="AR149" s="21">
        <f t="shared" si="95"/>
        <v>0</v>
      </c>
      <c r="AS149" s="21">
        <f t="shared" si="95"/>
        <v>0</v>
      </c>
      <c r="AT149" s="21">
        <f t="shared" si="95"/>
        <v>0</v>
      </c>
      <c r="AU149" s="21">
        <f t="shared" si="95"/>
        <v>0</v>
      </c>
      <c r="AV149" s="21">
        <f t="shared" si="95"/>
        <v>0</v>
      </c>
      <c r="AW149" s="21">
        <f t="shared" si="95"/>
        <v>0</v>
      </c>
      <c r="AX149" s="21">
        <f t="shared" si="95"/>
        <v>0</v>
      </c>
      <c r="AY149" s="21">
        <f t="shared" si="95"/>
        <v>0</v>
      </c>
      <c r="AZ149" s="21">
        <f t="shared" si="95"/>
        <v>0</v>
      </c>
      <c r="BA149" s="21">
        <f t="shared" si="95"/>
        <v>0</v>
      </c>
      <c r="BB149" s="21">
        <f t="shared" si="93"/>
        <v>0</v>
      </c>
    </row>
    <row r="150" spans="1:54">
      <c r="A150" s="456"/>
      <c r="B150" s="228">
        <v>2009</v>
      </c>
      <c r="C150" s="21">
        <f t="shared" ref="C150:AH150" si="96">(C96*(kwh_per_gal_drnk_water+kwh_per_gal_waste_water))+(C123*kwh_per_gal_drnk_water)</f>
        <v>0</v>
      </c>
      <c r="D150" s="21">
        <f t="shared" si="96"/>
        <v>0</v>
      </c>
      <c r="E150" s="21">
        <f t="shared" si="96"/>
        <v>0</v>
      </c>
      <c r="F150" s="21">
        <f t="shared" si="96"/>
        <v>0</v>
      </c>
      <c r="G150" s="21">
        <f t="shared" si="96"/>
        <v>0</v>
      </c>
      <c r="H150" s="21">
        <f t="shared" si="96"/>
        <v>0</v>
      </c>
      <c r="I150" s="21">
        <f t="shared" si="96"/>
        <v>0</v>
      </c>
      <c r="J150" s="21">
        <f t="shared" si="96"/>
        <v>0</v>
      </c>
      <c r="K150" s="21">
        <f t="shared" si="96"/>
        <v>0</v>
      </c>
      <c r="L150" s="21">
        <f t="shared" si="96"/>
        <v>0</v>
      </c>
      <c r="M150" s="21">
        <f t="shared" si="96"/>
        <v>0</v>
      </c>
      <c r="N150" s="21">
        <f t="shared" si="96"/>
        <v>0</v>
      </c>
      <c r="O150" s="21">
        <f t="shared" si="96"/>
        <v>0</v>
      </c>
      <c r="P150" s="21">
        <f t="shared" si="96"/>
        <v>0</v>
      </c>
      <c r="Q150" s="21">
        <f t="shared" si="96"/>
        <v>0</v>
      </c>
      <c r="R150" s="21">
        <f t="shared" si="96"/>
        <v>0</v>
      </c>
      <c r="S150" s="21">
        <f t="shared" si="96"/>
        <v>0</v>
      </c>
      <c r="T150" s="21">
        <f t="shared" si="96"/>
        <v>0</v>
      </c>
      <c r="U150" s="21">
        <f t="shared" si="96"/>
        <v>0</v>
      </c>
      <c r="V150" s="21">
        <f t="shared" si="96"/>
        <v>0</v>
      </c>
      <c r="W150" s="21">
        <f t="shared" si="96"/>
        <v>0</v>
      </c>
      <c r="X150" s="21">
        <f t="shared" si="96"/>
        <v>0</v>
      </c>
      <c r="Y150" s="21">
        <f t="shared" si="96"/>
        <v>0</v>
      </c>
      <c r="Z150" s="21">
        <f t="shared" si="96"/>
        <v>0</v>
      </c>
      <c r="AA150" s="21">
        <f t="shared" si="96"/>
        <v>0</v>
      </c>
      <c r="AB150" s="21">
        <f t="shared" si="96"/>
        <v>0</v>
      </c>
      <c r="AC150" s="21">
        <f t="shared" si="96"/>
        <v>0</v>
      </c>
      <c r="AD150" s="21">
        <f t="shared" si="96"/>
        <v>0</v>
      </c>
      <c r="AE150" s="21">
        <f t="shared" si="96"/>
        <v>0</v>
      </c>
      <c r="AF150" s="21">
        <f t="shared" si="96"/>
        <v>0</v>
      </c>
      <c r="AG150" s="21">
        <f t="shared" si="96"/>
        <v>0</v>
      </c>
      <c r="AH150" s="21">
        <f t="shared" si="96"/>
        <v>0</v>
      </c>
      <c r="AI150" s="21">
        <f t="shared" ref="AI150:BA150" si="97">(AI96*(kwh_per_gal_drnk_water+kwh_per_gal_waste_water))+(AI123*kwh_per_gal_drnk_water)</f>
        <v>0</v>
      </c>
      <c r="AJ150" s="21">
        <f t="shared" si="97"/>
        <v>0</v>
      </c>
      <c r="AK150" s="21">
        <f t="shared" si="97"/>
        <v>0</v>
      </c>
      <c r="AL150" s="21">
        <f t="shared" si="97"/>
        <v>0</v>
      </c>
      <c r="AM150" s="21">
        <f t="shared" si="97"/>
        <v>0</v>
      </c>
      <c r="AN150" s="21">
        <f t="shared" si="97"/>
        <v>0</v>
      </c>
      <c r="AO150" s="21">
        <f t="shared" si="97"/>
        <v>0</v>
      </c>
      <c r="AP150" s="21">
        <f t="shared" si="97"/>
        <v>0</v>
      </c>
      <c r="AQ150" s="21">
        <f t="shared" si="97"/>
        <v>0</v>
      </c>
      <c r="AR150" s="21">
        <f t="shared" si="97"/>
        <v>0</v>
      </c>
      <c r="AS150" s="21">
        <f t="shared" si="97"/>
        <v>0</v>
      </c>
      <c r="AT150" s="21">
        <f t="shared" si="97"/>
        <v>0</v>
      </c>
      <c r="AU150" s="21">
        <f t="shared" si="97"/>
        <v>0</v>
      </c>
      <c r="AV150" s="21">
        <f t="shared" si="97"/>
        <v>0</v>
      </c>
      <c r="AW150" s="21">
        <f t="shared" si="97"/>
        <v>0</v>
      </c>
      <c r="AX150" s="21">
        <f t="shared" si="97"/>
        <v>0</v>
      </c>
      <c r="AY150" s="21">
        <f t="shared" si="97"/>
        <v>0</v>
      </c>
      <c r="AZ150" s="21">
        <f t="shared" si="97"/>
        <v>0</v>
      </c>
      <c r="BA150" s="21">
        <f t="shared" si="97"/>
        <v>0</v>
      </c>
      <c r="BB150" s="21">
        <f t="shared" si="93"/>
        <v>0</v>
      </c>
    </row>
    <row r="151" spans="1:54">
      <c r="A151" s="456"/>
      <c r="B151" s="226">
        <v>2010</v>
      </c>
      <c r="C151" s="21">
        <f t="shared" ref="C151:AH151" si="98">(C97*(kwh_per_gal_drnk_water+kwh_per_gal_waste_water))+(C124*kwh_per_gal_drnk_water)</f>
        <v>0</v>
      </c>
      <c r="D151" s="21">
        <f t="shared" si="98"/>
        <v>0</v>
      </c>
      <c r="E151" s="21">
        <f t="shared" si="98"/>
        <v>0</v>
      </c>
      <c r="F151" s="21">
        <f t="shared" si="98"/>
        <v>0</v>
      </c>
      <c r="G151" s="21">
        <f t="shared" si="98"/>
        <v>0</v>
      </c>
      <c r="H151" s="21">
        <f t="shared" si="98"/>
        <v>0</v>
      </c>
      <c r="I151" s="21">
        <f t="shared" si="98"/>
        <v>0</v>
      </c>
      <c r="J151" s="21">
        <f t="shared" si="98"/>
        <v>0</v>
      </c>
      <c r="K151" s="21">
        <f t="shared" si="98"/>
        <v>0</v>
      </c>
      <c r="L151" s="21">
        <f t="shared" si="98"/>
        <v>0</v>
      </c>
      <c r="M151" s="21">
        <f t="shared" si="98"/>
        <v>0</v>
      </c>
      <c r="N151" s="21">
        <f t="shared" si="98"/>
        <v>0</v>
      </c>
      <c r="O151" s="21">
        <f t="shared" si="98"/>
        <v>0</v>
      </c>
      <c r="P151" s="21">
        <f t="shared" si="98"/>
        <v>0</v>
      </c>
      <c r="Q151" s="21">
        <f t="shared" si="98"/>
        <v>0</v>
      </c>
      <c r="R151" s="21">
        <f t="shared" si="98"/>
        <v>0</v>
      </c>
      <c r="S151" s="21">
        <f t="shared" si="98"/>
        <v>0</v>
      </c>
      <c r="T151" s="21">
        <f t="shared" si="98"/>
        <v>0</v>
      </c>
      <c r="U151" s="21">
        <f t="shared" si="98"/>
        <v>0</v>
      </c>
      <c r="V151" s="21">
        <f t="shared" si="98"/>
        <v>0</v>
      </c>
      <c r="W151" s="21">
        <f t="shared" si="98"/>
        <v>0</v>
      </c>
      <c r="X151" s="21">
        <f t="shared" si="98"/>
        <v>0</v>
      </c>
      <c r="Y151" s="21">
        <f t="shared" si="98"/>
        <v>0</v>
      </c>
      <c r="Z151" s="21">
        <f t="shared" si="98"/>
        <v>0</v>
      </c>
      <c r="AA151" s="21">
        <f t="shared" si="98"/>
        <v>0</v>
      </c>
      <c r="AB151" s="21">
        <f t="shared" si="98"/>
        <v>0</v>
      </c>
      <c r="AC151" s="21">
        <f t="shared" si="98"/>
        <v>0</v>
      </c>
      <c r="AD151" s="21">
        <f t="shared" si="98"/>
        <v>0</v>
      </c>
      <c r="AE151" s="21">
        <f t="shared" si="98"/>
        <v>0</v>
      </c>
      <c r="AF151" s="21">
        <f t="shared" si="98"/>
        <v>0</v>
      </c>
      <c r="AG151" s="21">
        <f t="shared" si="98"/>
        <v>0</v>
      </c>
      <c r="AH151" s="21">
        <f t="shared" si="98"/>
        <v>0</v>
      </c>
      <c r="AI151" s="21">
        <f t="shared" ref="AI151:BA151" si="99">(AI97*(kwh_per_gal_drnk_water+kwh_per_gal_waste_water))+(AI124*kwh_per_gal_drnk_water)</f>
        <v>0</v>
      </c>
      <c r="AJ151" s="21">
        <f t="shared" si="99"/>
        <v>0</v>
      </c>
      <c r="AK151" s="21">
        <f t="shared" si="99"/>
        <v>0</v>
      </c>
      <c r="AL151" s="21">
        <f t="shared" si="99"/>
        <v>0</v>
      </c>
      <c r="AM151" s="21">
        <f t="shared" si="99"/>
        <v>0</v>
      </c>
      <c r="AN151" s="21">
        <f t="shared" si="99"/>
        <v>0</v>
      </c>
      <c r="AO151" s="21">
        <f t="shared" si="99"/>
        <v>0</v>
      </c>
      <c r="AP151" s="21">
        <f t="shared" si="99"/>
        <v>0</v>
      </c>
      <c r="AQ151" s="21">
        <f t="shared" si="99"/>
        <v>0</v>
      </c>
      <c r="AR151" s="21">
        <f t="shared" si="99"/>
        <v>0</v>
      </c>
      <c r="AS151" s="21">
        <f t="shared" si="99"/>
        <v>0</v>
      </c>
      <c r="AT151" s="21">
        <f t="shared" si="99"/>
        <v>0</v>
      </c>
      <c r="AU151" s="21">
        <f t="shared" si="99"/>
        <v>0</v>
      </c>
      <c r="AV151" s="21">
        <f t="shared" si="99"/>
        <v>0</v>
      </c>
      <c r="AW151" s="21">
        <f t="shared" si="99"/>
        <v>0</v>
      </c>
      <c r="AX151" s="21">
        <f t="shared" si="99"/>
        <v>0</v>
      </c>
      <c r="AY151" s="21">
        <f t="shared" si="99"/>
        <v>0</v>
      </c>
      <c r="AZ151" s="21">
        <f t="shared" si="99"/>
        <v>0</v>
      </c>
      <c r="BA151" s="21">
        <f t="shared" si="99"/>
        <v>0</v>
      </c>
      <c r="BB151" s="21">
        <f t="shared" si="93"/>
        <v>0</v>
      </c>
    </row>
    <row r="152" spans="1:54">
      <c r="A152" s="456"/>
      <c r="B152" s="228">
        <v>2011</v>
      </c>
      <c r="C152" s="21">
        <f t="shared" ref="C152:AH152" si="100">(C98*(kwh_per_gal_drnk_water+kwh_per_gal_waste_water))+(C125*kwh_per_gal_drnk_water)</f>
        <v>0</v>
      </c>
      <c r="D152" s="21">
        <f t="shared" si="100"/>
        <v>0</v>
      </c>
      <c r="E152" s="21">
        <f t="shared" si="100"/>
        <v>0</v>
      </c>
      <c r="F152" s="21">
        <f t="shared" si="100"/>
        <v>0</v>
      </c>
      <c r="G152" s="21">
        <f t="shared" si="100"/>
        <v>0</v>
      </c>
      <c r="H152" s="21">
        <f t="shared" si="100"/>
        <v>0</v>
      </c>
      <c r="I152" s="21">
        <f t="shared" si="100"/>
        <v>0</v>
      </c>
      <c r="J152" s="21">
        <f t="shared" si="100"/>
        <v>0</v>
      </c>
      <c r="K152" s="21">
        <f t="shared" si="100"/>
        <v>0</v>
      </c>
      <c r="L152" s="21">
        <f t="shared" si="100"/>
        <v>0</v>
      </c>
      <c r="M152" s="21">
        <f t="shared" si="100"/>
        <v>0</v>
      </c>
      <c r="N152" s="21">
        <f t="shared" si="100"/>
        <v>0</v>
      </c>
      <c r="O152" s="21">
        <f t="shared" si="100"/>
        <v>0</v>
      </c>
      <c r="P152" s="21">
        <f t="shared" si="100"/>
        <v>0</v>
      </c>
      <c r="Q152" s="21">
        <f t="shared" si="100"/>
        <v>0</v>
      </c>
      <c r="R152" s="21">
        <f t="shared" si="100"/>
        <v>0</v>
      </c>
      <c r="S152" s="21">
        <f t="shared" si="100"/>
        <v>0</v>
      </c>
      <c r="T152" s="21">
        <f t="shared" si="100"/>
        <v>0</v>
      </c>
      <c r="U152" s="21">
        <f t="shared" si="100"/>
        <v>0</v>
      </c>
      <c r="V152" s="21">
        <f t="shared" si="100"/>
        <v>0</v>
      </c>
      <c r="W152" s="21">
        <f t="shared" si="100"/>
        <v>0</v>
      </c>
      <c r="X152" s="21">
        <f t="shared" si="100"/>
        <v>0</v>
      </c>
      <c r="Y152" s="21">
        <f t="shared" si="100"/>
        <v>0</v>
      </c>
      <c r="Z152" s="21">
        <f t="shared" si="100"/>
        <v>0</v>
      </c>
      <c r="AA152" s="21">
        <f t="shared" si="100"/>
        <v>0</v>
      </c>
      <c r="AB152" s="21">
        <f t="shared" si="100"/>
        <v>0</v>
      </c>
      <c r="AC152" s="21">
        <f t="shared" si="100"/>
        <v>0</v>
      </c>
      <c r="AD152" s="21">
        <f t="shared" si="100"/>
        <v>0</v>
      </c>
      <c r="AE152" s="21">
        <f t="shared" si="100"/>
        <v>0</v>
      </c>
      <c r="AF152" s="21">
        <f t="shared" si="100"/>
        <v>0</v>
      </c>
      <c r="AG152" s="21">
        <f t="shared" si="100"/>
        <v>0</v>
      </c>
      <c r="AH152" s="21">
        <f t="shared" si="100"/>
        <v>0</v>
      </c>
      <c r="AI152" s="21">
        <f t="shared" ref="AI152:BA152" si="101">(AI98*(kwh_per_gal_drnk_water+kwh_per_gal_waste_water))+(AI125*kwh_per_gal_drnk_water)</f>
        <v>0</v>
      </c>
      <c r="AJ152" s="21">
        <f t="shared" si="101"/>
        <v>0</v>
      </c>
      <c r="AK152" s="21">
        <f t="shared" si="101"/>
        <v>0</v>
      </c>
      <c r="AL152" s="21">
        <f t="shared" si="101"/>
        <v>0</v>
      </c>
      <c r="AM152" s="21">
        <f t="shared" si="101"/>
        <v>0</v>
      </c>
      <c r="AN152" s="21">
        <f t="shared" si="101"/>
        <v>0</v>
      </c>
      <c r="AO152" s="21">
        <f t="shared" si="101"/>
        <v>0</v>
      </c>
      <c r="AP152" s="21">
        <f t="shared" si="101"/>
        <v>0</v>
      </c>
      <c r="AQ152" s="21">
        <f t="shared" si="101"/>
        <v>0</v>
      </c>
      <c r="AR152" s="21">
        <f t="shared" si="101"/>
        <v>0</v>
      </c>
      <c r="AS152" s="21">
        <f t="shared" si="101"/>
        <v>0</v>
      </c>
      <c r="AT152" s="21">
        <f t="shared" si="101"/>
        <v>0</v>
      </c>
      <c r="AU152" s="21">
        <f t="shared" si="101"/>
        <v>0</v>
      </c>
      <c r="AV152" s="21">
        <f t="shared" si="101"/>
        <v>0</v>
      </c>
      <c r="AW152" s="21">
        <f t="shared" si="101"/>
        <v>0</v>
      </c>
      <c r="AX152" s="21">
        <f t="shared" si="101"/>
        <v>0</v>
      </c>
      <c r="AY152" s="21">
        <f t="shared" si="101"/>
        <v>0</v>
      </c>
      <c r="AZ152" s="21">
        <f t="shared" si="101"/>
        <v>0</v>
      </c>
      <c r="BA152" s="21">
        <f t="shared" si="101"/>
        <v>0</v>
      </c>
      <c r="BB152" s="21">
        <f t="shared" si="93"/>
        <v>0</v>
      </c>
    </row>
    <row r="153" spans="1:54">
      <c r="A153" s="456"/>
      <c r="B153" s="226">
        <v>2012</v>
      </c>
      <c r="C153" s="21">
        <f t="shared" ref="C153:AH153" si="102">(C99*(kwh_per_gal_drnk_water+kwh_per_gal_waste_water))+(C126*kwh_per_gal_drnk_water)</f>
        <v>0</v>
      </c>
      <c r="D153" s="21">
        <f t="shared" si="102"/>
        <v>0</v>
      </c>
      <c r="E153" s="21">
        <f t="shared" si="102"/>
        <v>0</v>
      </c>
      <c r="F153" s="21">
        <f t="shared" si="102"/>
        <v>0</v>
      </c>
      <c r="G153" s="21">
        <f t="shared" si="102"/>
        <v>0</v>
      </c>
      <c r="H153" s="21">
        <f t="shared" si="102"/>
        <v>0</v>
      </c>
      <c r="I153" s="21">
        <f t="shared" si="102"/>
        <v>0</v>
      </c>
      <c r="J153" s="21">
        <f t="shared" si="102"/>
        <v>0</v>
      </c>
      <c r="K153" s="21">
        <f t="shared" si="102"/>
        <v>0</v>
      </c>
      <c r="L153" s="21">
        <f t="shared" si="102"/>
        <v>0</v>
      </c>
      <c r="M153" s="21">
        <f t="shared" si="102"/>
        <v>0</v>
      </c>
      <c r="N153" s="21">
        <f t="shared" si="102"/>
        <v>0</v>
      </c>
      <c r="O153" s="21">
        <f t="shared" si="102"/>
        <v>0</v>
      </c>
      <c r="P153" s="21">
        <f t="shared" si="102"/>
        <v>0</v>
      </c>
      <c r="Q153" s="21">
        <f t="shared" si="102"/>
        <v>0</v>
      </c>
      <c r="R153" s="21">
        <f t="shared" si="102"/>
        <v>0</v>
      </c>
      <c r="S153" s="21">
        <f t="shared" si="102"/>
        <v>0</v>
      </c>
      <c r="T153" s="21">
        <f t="shared" si="102"/>
        <v>0</v>
      </c>
      <c r="U153" s="21">
        <f t="shared" si="102"/>
        <v>0</v>
      </c>
      <c r="V153" s="21">
        <f t="shared" si="102"/>
        <v>0</v>
      </c>
      <c r="W153" s="21">
        <f t="shared" si="102"/>
        <v>0</v>
      </c>
      <c r="X153" s="21">
        <f t="shared" si="102"/>
        <v>0</v>
      </c>
      <c r="Y153" s="21">
        <f t="shared" si="102"/>
        <v>0</v>
      </c>
      <c r="Z153" s="21">
        <f t="shared" si="102"/>
        <v>0</v>
      </c>
      <c r="AA153" s="21">
        <f t="shared" si="102"/>
        <v>0</v>
      </c>
      <c r="AB153" s="21">
        <f t="shared" si="102"/>
        <v>0</v>
      </c>
      <c r="AC153" s="21">
        <f t="shared" si="102"/>
        <v>0</v>
      </c>
      <c r="AD153" s="21">
        <f t="shared" si="102"/>
        <v>0</v>
      </c>
      <c r="AE153" s="21">
        <f t="shared" si="102"/>
        <v>0</v>
      </c>
      <c r="AF153" s="21">
        <f t="shared" si="102"/>
        <v>0</v>
      </c>
      <c r="AG153" s="21">
        <f t="shared" si="102"/>
        <v>0</v>
      </c>
      <c r="AH153" s="21">
        <f t="shared" si="102"/>
        <v>0</v>
      </c>
      <c r="AI153" s="21">
        <f t="shared" ref="AI153:BA153" si="103">(AI99*(kwh_per_gal_drnk_water+kwh_per_gal_waste_water))+(AI126*kwh_per_gal_drnk_water)</f>
        <v>0</v>
      </c>
      <c r="AJ153" s="21">
        <f t="shared" si="103"/>
        <v>0</v>
      </c>
      <c r="AK153" s="21">
        <f t="shared" si="103"/>
        <v>0</v>
      </c>
      <c r="AL153" s="21">
        <f t="shared" si="103"/>
        <v>0</v>
      </c>
      <c r="AM153" s="21">
        <f t="shared" si="103"/>
        <v>0</v>
      </c>
      <c r="AN153" s="21">
        <f t="shared" si="103"/>
        <v>0</v>
      </c>
      <c r="AO153" s="21">
        <f t="shared" si="103"/>
        <v>0</v>
      </c>
      <c r="AP153" s="21">
        <f t="shared" si="103"/>
        <v>0</v>
      </c>
      <c r="AQ153" s="21">
        <f t="shared" si="103"/>
        <v>0</v>
      </c>
      <c r="AR153" s="21">
        <f t="shared" si="103"/>
        <v>0</v>
      </c>
      <c r="AS153" s="21">
        <f t="shared" si="103"/>
        <v>0</v>
      </c>
      <c r="AT153" s="21">
        <f t="shared" si="103"/>
        <v>0</v>
      </c>
      <c r="AU153" s="21">
        <f t="shared" si="103"/>
        <v>0</v>
      </c>
      <c r="AV153" s="21">
        <f t="shared" si="103"/>
        <v>0</v>
      </c>
      <c r="AW153" s="21">
        <f t="shared" si="103"/>
        <v>0</v>
      </c>
      <c r="AX153" s="21">
        <f t="shared" si="103"/>
        <v>0</v>
      </c>
      <c r="AY153" s="21">
        <f t="shared" si="103"/>
        <v>0</v>
      </c>
      <c r="AZ153" s="21">
        <f t="shared" si="103"/>
        <v>0</v>
      </c>
      <c r="BA153" s="21">
        <f t="shared" si="103"/>
        <v>0</v>
      </c>
      <c r="BB153" s="21">
        <f t="shared" si="93"/>
        <v>0</v>
      </c>
    </row>
    <row r="154" spans="1:54">
      <c r="A154" s="456"/>
      <c r="B154" s="228">
        <v>2013</v>
      </c>
      <c r="C154" s="21">
        <f t="shared" ref="C154:AH154" si="104">(C100*(kwh_per_gal_drnk_water+kwh_per_gal_waste_water))+(C127*kwh_per_gal_drnk_water)</f>
        <v>0</v>
      </c>
      <c r="D154" s="21">
        <f t="shared" si="104"/>
        <v>0</v>
      </c>
      <c r="E154" s="21">
        <f t="shared" si="104"/>
        <v>0</v>
      </c>
      <c r="F154" s="21">
        <f t="shared" si="104"/>
        <v>0</v>
      </c>
      <c r="G154" s="21">
        <f t="shared" si="104"/>
        <v>0</v>
      </c>
      <c r="H154" s="21">
        <f t="shared" si="104"/>
        <v>0</v>
      </c>
      <c r="I154" s="21">
        <f t="shared" si="104"/>
        <v>0</v>
      </c>
      <c r="J154" s="21">
        <f t="shared" si="104"/>
        <v>0</v>
      </c>
      <c r="K154" s="21">
        <f t="shared" si="104"/>
        <v>0</v>
      </c>
      <c r="L154" s="21">
        <f t="shared" si="104"/>
        <v>0</v>
      </c>
      <c r="M154" s="21">
        <f t="shared" si="104"/>
        <v>0</v>
      </c>
      <c r="N154" s="21">
        <f t="shared" si="104"/>
        <v>0</v>
      </c>
      <c r="O154" s="21">
        <f t="shared" si="104"/>
        <v>0</v>
      </c>
      <c r="P154" s="21">
        <f t="shared" si="104"/>
        <v>0</v>
      </c>
      <c r="Q154" s="21">
        <f t="shared" si="104"/>
        <v>0</v>
      </c>
      <c r="R154" s="21">
        <f t="shared" si="104"/>
        <v>0</v>
      </c>
      <c r="S154" s="21">
        <f t="shared" si="104"/>
        <v>0</v>
      </c>
      <c r="T154" s="21">
        <f t="shared" si="104"/>
        <v>0</v>
      </c>
      <c r="U154" s="21">
        <f t="shared" si="104"/>
        <v>0</v>
      </c>
      <c r="V154" s="21">
        <f t="shared" si="104"/>
        <v>0</v>
      </c>
      <c r="W154" s="21">
        <f t="shared" si="104"/>
        <v>0</v>
      </c>
      <c r="X154" s="21">
        <f t="shared" si="104"/>
        <v>0</v>
      </c>
      <c r="Y154" s="21">
        <f t="shared" si="104"/>
        <v>0</v>
      </c>
      <c r="Z154" s="21">
        <f t="shared" si="104"/>
        <v>0</v>
      </c>
      <c r="AA154" s="21">
        <f t="shared" si="104"/>
        <v>0</v>
      </c>
      <c r="AB154" s="21">
        <f t="shared" si="104"/>
        <v>0</v>
      </c>
      <c r="AC154" s="21">
        <f t="shared" si="104"/>
        <v>0</v>
      </c>
      <c r="AD154" s="21">
        <f t="shared" si="104"/>
        <v>0</v>
      </c>
      <c r="AE154" s="21">
        <f t="shared" si="104"/>
        <v>0</v>
      </c>
      <c r="AF154" s="21">
        <f t="shared" si="104"/>
        <v>0</v>
      </c>
      <c r="AG154" s="21">
        <f t="shared" si="104"/>
        <v>0</v>
      </c>
      <c r="AH154" s="21">
        <f t="shared" si="104"/>
        <v>0</v>
      </c>
      <c r="AI154" s="21">
        <f t="shared" ref="AI154:BA154" si="105">(AI100*(kwh_per_gal_drnk_water+kwh_per_gal_waste_water))+(AI127*kwh_per_gal_drnk_water)</f>
        <v>0</v>
      </c>
      <c r="AJ154" s="21">
        <f t="shared" si="105"/>
        <v>0</v>
      </c>
      <c r="AK154" s="21">
        <f t="shared" si="105"/>
        <v>0</v>
      </c>
      <c r="AL154" s="21">
        <f t="shared" si="105"/>
        <v>0</v>
      </c>
      <c r="AM154" s="21">
        <f t="shared" si="105"/>
        <v>0</v>
      </c>
      <c r="AN154" s="21">
        <f t="shared" si="105"/>
        <v>0</v>
      </c>
      <c r="AO154" s="21">
        <f t="shared" si="105"/>
        <v>0</v>
      </c>
      <c r="AP154" s="21">
        <f t="shared" si="105"/>
        <v>0</v>
      </c>
      <c r="AQ154" s="21">
        <f t="shared" si="105"/>
        <v>0</v>
      </c>
      <c r="AR154" s="21">
        <f t="shared" si="105"/>
        <v>0</v>
      </c>
      <c r="AS154" s="21">
        <f t="shared" si="105"/>
        <v>0</v>
      </c>
      <c r="AT154" s="21">
        <f t="shared" si="105"/>
        <v>0</v>
      </c>
      <c r="AU154" s="21">
        <f t="shared" si="105"/>
        <v>0</v>
      </c>
      <c r="AV154" s="21">
        <f t="shared" si="105"/>
        <v>0</v>
      </c>
      <c r="AW154" s="21">
        <f t="shared" si="105"/>
        <v>0</v>
      </c>
      <c r="AX154" s="21">
        <f t="shared" si="105"/>
        <v>0</v>
      </c>
      <c r="AY154" s="21">
        <f t="shared" si="105"/>
        <v>0</v>
      </c>
      <c r="AZ154" s="21">
        <f t="shared" si="105"/>
        <v>0</v>
      </c>
      <c r="BA154" s="21">
        <f t="shared" si="105"/>
        <v>0</v>
      </c>
      <c r="BB154" s="21">
        <f t="shared" si="93"/>
        <v>0</v>
      </c>
    </row>
    <row r="155" spans="1:54">
      <c r="A155" s="456"/>
      <c r="B155" s="226">
        <v>2014</v>
      </c>
      <c r="C155" s="21">
        <f t="shared" ref="C155:AH155" si="106">(C101*(kwh_per_gal_drnk_water+kwh_per_gal_waste_water))+(C128*kwh_per_gal_drnk_water)</f>
        <v>0</v>
      </c>
      <c r="D155" s="21">
        <f t="shared" si="106"/>
        <v>0</v>
      </c>
      <c r="E155" s="21">
        <f t="shared" si="106"/>
        <v>0</v>
      </c>
      <c r="F155" s="21">
        <f t="shared" si="106"/>
        <v>0</v>
      </c>
      <c r="G155" s="21">
        <f t="shared" si="106"/>
        <v>0</v>
      </c>
      <c r="H155" s="21">
        <f t="shared" si="106"/>
        <v>0</v>
      </c>
      <c r="I155" s="21">
        <f t="shared" si="106"/>
        <v>0</v>
      </c>
      <c r="J155" s="21">
        <f t="shared" si="106"/>
        <v>0</v>
      </c>
      <c r="K155" s="21">
        <f t="shared" si="106"/>
        <v>0</v>
      </c>
      <c r="L155" s="21">
        <f t="shared" si="106"/>
        <v>0</v>
      </c>
      <c r="M155" s="21">
        <f t="shared" si="106"/>
        <v>0</v>
      </c>
      <c r="N155" s="21">
        <f t="shared" si="106"/>
        <v>0</v>
      </c>
      <c r="O155" s="21">
        <f t="shared" si="106"/>
        <v>0</v>
      </c>
      <c r="P155" s="21">
        <f t="shared" si="106"/>
        <v>0</v>
      </c>
      <c r="Q155" s="21">
        <f t="shared" si="106"/>
        <v>0</v>
      </c>
      <c r="R155" s="21">
        <f t="shared" si="106"/>
        <v>0</v>
      </c>
      <c r="S155" s="21">
        <f t="shared" si="106"/>
        <v>0</v>
      </c>
      <c r="T155" s="21">
        <f t="shared" si="106"/>
        <v>0</v>
      </c>
      <c r="U155" s="21">
        <f t="shared" si="106"/>
        <v>0</v>
      </c>
      <c r="V155" s="21">
        <f t="shared" si="106"/>
        <v>0</v>
      </c>
      <c r="W155" s="21">
        <f t="shared" si="106"/>
        <v>0</v>
      </c>
      <c r="X155" s="21">
        <f t="shared" si="106"/>
        <v>0</v>
      </c>
      <c r="Y155" s="21">
        <f t="shared" si="106"/>
        <v>0</v>
      </c>
      <c r="Z155" s="21">
        <f t="shared" si="106"/>
        <v>0</v>
      </c>
      <c r="AA155" s="21">
        <f t="shared" si="106"/>
        <v>0</v>
      </c>
      <c r="AB155" s="21">
        <f t="shared" si="106"/>
        <v>0</v>
      </c>
      <c r="AC155" s="21">
        <f t="shared" si="106"/>
        <v>0</v>
      </c>
      <c r="AD155" s="21">
        <f t="shared" si="106"/>
        <v>0</v>
      </c>
      <c r="AE155" s="21">
        <f t="shared" si="106"/>
        <v>0</v>
      </c>
      <c r="AF155" s="21">
        <f t="shared" si="106"/>
        <v>0</v>
      </c>
      <c r="AG155" s="21">
        <f t="shared" si="106"/>
        <v>0</v>
      </c>
      <c r="AH155" s="21">
        <f t="shared" si="106"/>
        <v>0</v>
      </c>
      <c r="AI155" s="21">
        <f t="shared" ref="AI155:BA155" si="107">(AI101*(kwh_per_gal_drnk_water+kwh_per_gal_waste_water))+(AI128*kwh_per_gal_drnk_water)</f>
        <v>0</v>
      </c>
      <c r="AJ155" s="21">
        <f t="shared" si="107"/>
        <v>0</v>
      </c>
      <c r="AK155" s="21">
        <f t="shared" si="107"/>
        <v>0</v>
      </c>
      <c r="AL155" s="21">
        <f t="shared" si="107"/>
        <v>0</v>
      </c>
      <c r="AM155" s="21">
        <f t="shared" si="107"/>
        <v>0</v>
      </c>
      <c r="AN155" s="21">
        <f t="shared" si="107"/>
        <v>0</v>
      </c>
      <c r="AO155" s="21">
        <f t="shared" si="107"/>
        <v>0</v>
      </c>
      <c r="AP155" s="21">
        <f t="shared" si="107"/>
        <v>0</v>
      </c>
      <c r="AQ155" s="21">
        <f t="shared" si="107"/>
        <v>0</v>
      </c>
      <c r="AR155" s="21">
        <f t="shared" si="107"/>
        <v>0</v>
      </c>
      <c r="AS155" s="21">
        <f t="shared" si="107"/>
        <v>0</v>
      </c>
      <c r="AT155" s="21">
        <f t="shared" si="107"/>
        <v>0</v>
      </c>
      <c r="AU155" s="21">
        <f t="shared" si="107"/>
        <v>0</v>
      </c>
      <c r="AV155" s="21">
        <f t="shared" si="107"/>
        <v>0</v>
      </c>
      <c r="AW155" s="21">
        <f t="shared" si="107"/>
        <v>0</v>
      </c>
      <c r="AX155" s="21">
        <f t="shared" si="107"/>
        <v>0</v>
      </c>
      <c r="AY155" s="21">
        <f t="shared" si="107"/>
        <v>0</v>
      </c>
      <c r="AZ155" s="21">
        <f t="shared" si="107"/>
        <v>0</v>
      </c>
      <c r="BA155" s="21">
        <f t="shared" si="107"/>
        <v>0</v>
      </c>
      <c r="BB155" s="21">
        <f t="shared" si="93"/>
        <v>0</v>
      </c>
    </row>
    <row r="156" spans="1:54">
      <c r="A156" s="456"/>
      <c r="B156" s="228">
        <v>2015</v>
      </c>
      <c r="C156" s="21">
        <f t="shared" ref="C156:AH156" si="108">(C102*(kwh_per_gal_drnk_water+kwh_per_gal_waste_water))+(C129*kwh_per_gal_drnk_water)</f>
        <v>0</v>
      </c>
      <c r="D156" s="21">
        <f t="shared" si="108"/>
        <v>0</v>
      </c>
      <c r="E156" s="21">
        <f t="shared" si="108"/>
        <v>0</v>
      </c>
      <c r="F156" s="21">
        <f t="shared" si="108"/>
        <v>0</v>
      </c>
      <c r="G156" s="21">
        <f t="shared" si="108"/>
        <v>0</v>
      </c>
      <c r="H156" s="21">
        <f t="shared" si="108"/>
        <v>0</v>
      </c>
      <c r="I156" s="21">
        <f t="shared" si="108"/>
        <v>0</v>
      </c>
      <c r="J156" s="21">
        <f t="shared" si="108"/>
        <v>0</v>
      </c>
      <c r="K156" s="21">
        <f t="shared" si="108"/>
        <v>0</v>
      </c>
      <c r="L156" s="21">
        <f t="shared" si="108"/>
        <v>0</v>
      </c>
      <c r="M156" s="21">
        <f t="shared" si="108"/>
        <v>0</v>
      </c>
      <c r="N156" s="21">
        <f t="shared" si="108"/>
        <v>0</v>
      </c>
      <c r="O156" s="21">
        <f t="shared" si="108"/>
        <v>0</v>
      </c>
      <c r="P156" s="21">
        <f t="shared" si="108"/>
        <v>0</v>
      </c>
      <c r="Q156" s="21">
        <f t="shared" si="108"/>
        <v>0</v>
      </c>
      <c r="R156" s="21">
        <f t="shared" si="108"/>
        <v>0</v>
      </c>
      <c r="S156" s="21">
        <f t="shared" si="108"/>
        <v>0</v>
      </c>
      <c r="T156" s="21">
        <f t="shared" si="108"/>
        <v>0</v>
      </c>
      <c r="U156" s="21">
        <f t="shared" si="108"/>
        <v>0</v>
      </c>
      <c r="V156" s="21">
        <f t="shared" si="108"/>
        <v>0</v>
      </c>
      <c r="W156" s="21">
        <f t="shared" si="108"/>
        <v>0</v>
      </c>
      <c r="X156" s="21">
        <f t="shared" si="108"/>
        <v>0</v>
      </c>
      <c r="Y156" s="21">
        <f t="shared" si="108"/>
        <v>0</v>
      </c>
      <c r="Z156" s="21">
        <f t="shared" si="108"/>
        <v>0</v>
      </c>
      <c r="AA156" s="21">
        <f t="shared" si="108"/>
        <v>0</v>
      </c>
      <c r="AB156" s="21">
        <f t="shared" si="108"/>
        <v>0</v>
      </c>
      <c r="AC156" s="21">
        <f t="shared" si="108"/>
        <v>0</v>
      </c>
      <c r="AD156" s="21">
        <f t="shared" si="108"/>
        <v>0</v>
      </c>
      <c r="AE156" s="21">
        <f t="shared" si="108"/>
        <v>0</v>
      </c>
      <c r="AF156" s="21">
        <f t="shared" si="108"/>
        <v>0</v>
      </c>
      <c r="AG156" s="21">
        <f t="shared" si="108"/>
        <v>0</v>
      </c>
      <c r="AH156" s="21">
        <f t="shared" si="108"/>
        <v>0</v>
      </c>
      <c r="AI156" s="21">
        <f t="shared" ref="AI156:BA156" si="109">(AI102*(kwh_per_gal_drnk_water+kwh_per_gal_waste_water))+(AI129*kwh_per_gal_drnk_water)</f>
        <v>0</v>
      </c>
      <c r="AJ156" s="21">
        <f t="shared" si="109"/>
        <v>0</v>
      </c>
      <c r="AK156" s="21">
        <f t="shared" si="109"/>
        <v>0</v>
      </c>
      <c r="AL156" s="21">
        <f t="shared" si="109"/>
        <v>0</v>
      </c>
      <c r="AM156" s="21">
        <f t="shared" si="109"/>
        <v>0</v>
      </c>
      <c r="AN156" s="21">
        <f t="shared" si="109"/>
        <v>0</v>
      </c>
      <c r="AO156" s="21">
        <f t="shared" si="109"/>
        <v>0</v>
      </c>
      <c r="AP156" s="21">
        <f t="shared" si="109"/>
        <v>0</v>
      </c>
      <c r="AQ156" s="21">
        <f t="shared" si="109"/>
        <v>0</v>
      </c>
      <c r="AR156" s="21">
        <f t="shared" si="109"/>
        <v>0</v>
      </c>
      <c r="AS156" s="21">
        <f t="shared" si="109"/>
        <v>0</v>
      </c>
      <c r="AT156" s="21">
        <f t="shared" si="109"/>
        <v>0</v>
      </c>
      <c r="AU156" s="21">
        <f t="shared" si="109"/>
        <v>0</v>
      </c>
      <c r="AV156" s="21">
        <f t="shared" si="109"/>
        <v>0</v>
      </c>
      <c r="AW156" s="21">
        <f t="shared" si="109"/>
        <v>0</v>
      </c>
      <c r="AX156" s="21">
        <f t="shared" si="109"/>
        <v>0</v>
      </c>
      <c r="AY156" s="21">
        <f t="shared" si="109"/>
        <v>0</v>
      </c>
      <c r="AZ156" s="21">
        <f t="shared" si="109"/>
        <v>0</v>
      </c>
      <c r="BA156" s="21">
        <f t="shared" si="109"/>
        <v>0</v>
      </c>
      <c r="BB156" s="21">
        <f t="shared" si="93"/>
        <v>0</v>
      </c>
    </row>
    <row r="157" spans="1:54">
      <c r="A157" s="456"/>
      <c r="B157" s="226">
        <v>2016</v>
      </c>
      <c r="C157" s="21">
        <f>(C103*(kwh_per_gal_drnk_water+kwh_per_gal_waste_water))+(C130*kwh_per_gal_drnk_water)</f>
        <v>0</v>
      </c>
      <c r="D157" s="21">
        <f t="shared" ref="D157:AH157" si="110">(D103*(kwh_per_gal_drnk_water+kwh_per_gal_waste_water))+(D130*kwh_per_gal_drnk_water)</f>
        <v>0</v>
      </c>
      <c r="E157" s="21">
        <f t="shared" si="110"/>
        <v>0</v>
      </c>
      <c r="F157" s="21">
        <f t="shared" si="110"/>
        <v>0</v>
      </c>
      <c r="G157" s="21">
        <f t="shared" si="110"/>
        <v>0</v>
      </c>
      <c r="H157" s="21">
        <f t="shared" si="110"/>
        <v>0</v>
      </c>
      <c r="I157" s="21">
        <f t="shared" si="110"/>
        <v>0</v>
      </c>
      <c r="J157" s="21">
        <f t="shared" si="110"/>
        <v>0</v>
      </c>
      <c r="K157" s="21">
        <f t="shared" si="110"/>
        <v>0</v>
      </c>
      <c r="L157" s="21">
        <f t="shared" si="110"/>
        <v>0</v>
      </c>
      <c r="M157" s="21">
        <f t="shared" si="110"/>
        <v>0</v>
      </c>
      <c r="N157" s="21">
        <f t="shared" si="110"/>
        <v>0</v>
      </c>
      <c r="O157" s="21">
        <f t="shared" si="110"/>
        <v>0</v>
      </c>
      <c r="P157" s="21">
        <f t="shared" si="110"/>
        <v>0</v>
      </c>
      <c r="Q157" s="21">
        <f t="shared" si="110"/>
        <v>0</v>
      </c>
      <c r="R157" s="21">
        <f t="shared" si="110"/>
        <v>0</v>
      </c>
      <c r="S157" s="21">
        <f t="shared" si="110"/>
        <v>0</v>
      </c>
      <c r="T157" s="21">
        <f t="shared" si="110"/>
        <v>0</v>
      </c>
      <c r="U157" s="21">
        <f t="shared" si="110"/>
        <v>0</v>
      </c>
      <c r="V157" s="21">
        <f t="shared" si="110"/>
        <v>0</v>
      </c>
      <c r="W157" s="21">
        <f t="shared" si="110"/>
        <v>0</v>
      </c>
      <c r="X157" s="21">
        <f t="shared" si="110"/>
        <v>0</v>
      </c>
      <c r="Y157" s="21">
        <f t="shared" si="110"/>
        <v>0</v>
      </c>
      <c r="Z157" s="21">
        <f t="shared" si="110"/>
        <v>0</v>
      </c>
      <c r="AA157" s="21">
        <f t="shared" si="110"/>
        <v>0</v>
      </c>
      <c r="AB157" s="21">
        <f t="shared" si="110"/>
        <v>0</v>
      </c>
      <c r="AC157" s="21">
        <f t="shared" si="110"/>
        <v>0</v>
      </c>
      <c r="AD157" s="21">
        <f t="shared" si="110"/>
        <v>0</v>
      </c>
      <c r="AE157" s="21">
        <f t="shared" si="110"/>
        <v>0</v>
      </c>
      <c r="AF157" s="21">
        <f t="shared" si="110"/>
        <v>0</v>
      </c>
      <c r="AG157" s="21">
        <f t="shared" si="110"/>
        <v>0</v>
      </c>
      <c r="AH157" s="21">
        <f t="shared" si="110"/>
        <v>0</v>
      </c>
      <c r="AI157" s="21">
        <f t="shared" ref="AI157:BA157" si="111">(AI103*(kwh_per_gal_drnk_water+kwh_per_gal_waste_water))+(AI130*kwh_per_gal_drnk_water)</f>
        <v>0</v>
      </c>
      <c r="AJ157" s="21">
        <f t="shared" si="111"/>
        <v>0</v>
      </c>
      <c r="AK157" s="21">
        <f t="shared" si="111"/>
        <v>0</v>
      </c>
      <c r="AL157" s="21">
        <f t="shared" si="111"/>
        <v>0</v>
      </c>
      <c r="AM157" s="21">
        <f t="shared" si="111"/>
        <v>0</v>
      </c>
      <c r="AN157" s="21">
        <f t="shared" si="111"/>
        <v>0</v>
      </c>
      <c r="AO157" s="21">
        <f t="shared" si="111"/>
        <v>0</v>
      </c>
      <c r="AP157" s="21">
        <f t="shared" si="111"/>
        <v>0</v>
      </c>
      <c r="AQ157" s="21">
        <f t="shared" si="111"/>
        <v>0</v>
      </c>
      <c r="AR157" s="21">
        <f t="shared" si="111"/>
        <v>0</v>
      </c>
      <c r="AS157" s="21">
        <f t="shared" si="111"/>
        <v>0</v>
      </c>
      <c r="AT157" s="21">
        <f t="shared" si="111"/>
        <v>0</v>
      </c>
      <c r="AU157" s="21">
        <f t="shared" si="111"/>
        <v>0</v>
      </c>
      <c r="AV157" s="21">
        <f t="shared" si="111"/>
        <v>0</v>
      </c>
      <c r="AW157" s="21">
        <f t="shared" si="111"/>
        <v>0</v>
      </c>
      <c r="AX157" s="21">
        <f t="shared" si="111"/>
        <v>0</v>
      </c>
      <c r="AY157" s="21">
        <f t="shared" si="111"/>
        <v>0</v>
      </c>
      <c r="AZ157" s="21">
        <f t="shared" si="111"/>
        <v>0</v>
      </c>
      <c r="BA157" s="21">
        <f t="shared" si="111"/>
        <v>0</v>
      </c>
      <c r="BB157" s="21">
        <f t="shared" si="93"/>
        <v>0</v>
      </c>
    </row>
    <row r="158" spans="1:54">
      <c r="A158" s="456"/>
      <c r="B158" s="228">
        <v>2017</v>
      </c>
      <c r="C158" s="21">
        <f t="shared" ref="C158:AH158" si="112">(C104*(kwh_per_gal_drnk_water+kwh_per_gal_waste_water))+(C131*kwh_per_gal_drnk_water)</f>
        <v>0</v>
      </c>
      <c r="D158" s="21">
        <f t="shared" si="112"/>
        <v>0</v>
      </c>
      <c r="E158" s="21">
        <f t="shared" si="112"/>
        <v>0</v>
      </c>
      <c r="F158" s="21">
        <f t="shared" si="112"/>
        <v>0</v>
      </c>
      <c r="G158" s="21">
        <f t="shared" si="112"/>
        <v>0</v>
      </c>
      <c r="H158" s="21">
        <f t="shared" si="112"/>
        <v>0</v>
      </c>
      <c r="I158" s="21">
        <f t="shared" si="112"/>
        <v>0</v>
      </c>
      <c r="J158" s="21">
        <f t="shared" si="112"/>
        <v>0</v>
      </c>
      <c r="K158" s="21">
        <f t="shared" si="112"/>
        <v>0</v>
      </c>
      <c r="L158" s="21">
        <f t="shared" si="112"/>
        <v>0</v>
      </c>
      <c r="M158" s="21">
        <f t="shared" si="112"/>
        <v>0</v>
      </c>
      <c r="N158" s="21">
        <f t="shared" si="112"/>
        <v>0</v>
      </c>
      <c r="O158" s="21">
        <f t="shared" si="112"/>
        <v>0</v>
      </c>
      <c r="P158" s="21">
        <f t="shared" si="112"/>
        <v>0</v>
      </c>
      <c r="Q158" s="21">
        <f t="shared" si="112"/>
        <v>0</v>
      </c>
      <c r="R158" s="21">
        <f t="shared" si="112"/>
        <v>0</v>
      </c>
      <c r="S158" s="21">
        <f t="shared" si="112"/>
        <v>0</v>
      </c>
      <c r="T158" s="21">
        <f t="shared" si="112"/>
        <v>0</v>
      </c>
      <c r="U158" s="21">
        <f t="shared" si="112"/>
        <v>0</v>
      </c>
      <c r="V158" s="21">
        <f t="shared" si="112"/>
        <v>0</v>
      </c>
      <c r="W158" s="21">
        <f t="shared" si="112"/>
        <v>0</v>
      </c>
      <c r="X158" s="21">
        <f t="shared" si="112"/>
        <v>0</v>
      </c>
      <c r="Y158" s="21">
        <f t="shared" si="112"/>
        <v>0</v>
      </c>
      <c r="Z158" s="21">
        <f t="shared" si="112"/>
        <v>0</v>
      </c>
      <c r="AA158" s="21">
        <f t="shared" si="112"/>
        <v>0</v>
      </c>
      <c r="AB158" s="21">
        <f t="shared" si="112"/>
        <v>0</v>
      </c>
      <c r="AC158" s="21">
        <f t="shared" si="112"/>
        <v>0</v>
      </c>
      <c r="AD158" s="21">
        <f t="shared" si="112"/>
        <v>0</v>
      </c>
      <c r="AE158" s="21">
        <f t="shared" si="112"/>
        <v>0</v>
      </c>
      <c r="AF158" s="21">
        <f t="shared" si="112"/>
        <v>0</v>
      </c>
      <c r="AG158" s="21">
        <f t="shared" si="112"/>
        <v>0</v>
      </c>
      <c r="AH158" s="21">
        <f t="shared" si="112"/>
        <v>0</v>
      </c>
      <c r="AI158" s="21">
        <f t="shared" ref="AI158:BA158" si="113">(AI104*(kwh_per_gal_drnk_water+kwh_per_gal_waste_water))+(AI131*kwh_per_gal_drnk_water)</f>
        <v>0</v>
      </c>
      <c r="AJ158" s="21">
        <f t="shared" si="113"/>
        <v>0</v>
      </c>
      <c r="AK158" s="21">
        <f t="shared" si="113"/>
        <v>0</v>
      </c>
      <c r="AL158" s="21">
        <f t="shared" si="113"/>
        <v>0</v>
      </c>
      <c r="AM158" s="21">
        <f t="shared" si="113"/>
        <v>0</v>
      </c>
      <c r="AN158" s="21">
        <f t="shared" si="113"/>
        <v>0</v>
      </c>
      <c r="AO158" s="21">
        <f t="shared" si="113"/>
        <v>0</v>
      </c>
      <c r="AP158" s="21">
        <f t="shared" si="113"/>
        <v>0</v>
      </c>
      <c r="AQ158" s="21">
        <f t="shared" si="113"/>
        <v>0</v>
      </c>
      <c r="AR158" s="21">
        <f t="shared" si="113"/>
        <v>0</v>
      </c>
      <c r="AS158" s="21">
        <f t="shared" si="113"/>
        <v>0</v>
      </c>
      <c r="AT158" s="21">
        <f t="shared" si="113"/>
        <v>0</v>
      </c>
      <c r="AU158" s="21">
        <f t="shared" si="113"/>
        <v>0</v>
      </c>
      <c r="AV158" s="21">
        <f t="shared" si="113"/>
        <v>0</v>
      </c>
      <c r="AW158" s="21">
        <f t="shared" si="113"/>
        <v>0</v>
      </c>
      <c r="AX158" s="21">
        <f t="shared" si="113"/>
        <v>0</v>
      </c>
      <c r="AY158" s="21">
        <f t="shared" si="113"/>
        <v>0</v>
      </c>
      <c r="AZ158" s="21">
        <f t="shared" si="113"/>
        <v>0</v>
      </c>
      <c r="BA158" s="21">
        <f t="shared" si="113"/>
        <v>0</v>
      </c>
      <c r="BB158" s="21">
        <f t="shared" si="93"/>
        <v>0</v>
      </c>
    </row>
    <row r="159" spans="1:54">
      <c r="A159" s="456"/>
      <c r="B159" s="226">
        <v>2018</v>
      </c>
      <c r="C159" s="21">
        <f t="shared" ref="C159:AH159" si="114">(C105*(kwh_per_gal_drnk_water+kwh_per_gal_waste_water))+(C132*kwh_per_gal_drnk_water)</f>
        <v>0</v>
      </c>
      <c r="D159" s="21">
        <f t="shared" si="114"/>
        <v>0</v>
      </c>
      <c r="E159" s="21">
        <f t="shared" si="114"/>
        <v>0</v>
      </c>
      <c r="F159" s="21">
        <f t="shared" si="114"/>
        <v>0</v>
      </c>
      <c r="G159" s="21">
        <f t="shared" si="114"/>
        <v>0</v>
      </c>
      <c r="H159" s="21">
        <f t="shared" si="114"/>
        <v>0</v>
      </c>
      <c r="I159" s="21">
        <f t="shared" si="114"/>
        <v>0</v>
      </c>
      <c r="J159" s="21">
        <f t="shared" si="114"/>
        <v>0</v>
      </c>
      <c r="K159" s="21">
        <f t="shared" si="114"/>
        <v>0</v>
      </c>
      <c r="L159" s="21">
        <f t="shared" si="114"/>
        <v>0</v>
      </c>
      <c r="M159" s="21">
        <f t="shared" si="114"/>
        <v>0</v>
      </c>
      <c r="N159" s="21">
        <f t="shared" si="114"/>
        <v>0</v>
      </c>
      <c r="O159" s="21">
        <f t="shared" si="114"/>
        <v>0</v>
      </c>
      <c r="P159" s="21">
        <f t="shared" si="114"/>
        <v>0</v>
      </c>
      <c r="Q159" s="21">
        <f t="shared" si="114"/>
        <v>0</v>
      </c>
      <c r="R159" s="21">
        <f t="shared" si="114"/>
        <v>0</v>
      </c>
      <c r="S159" s="21">
        <f t="shared" si="114"/>
        <v>0</v>
      </c>
      <c r="T159" s="21">
        <f t="shared" si="114"/>
        <v>0</v>
      </c>
      <c r="U159" s="21">
        <f t="shared" si="114"/>
        <v>0</v>
      </c>
      <c r="V159" s="21">
        <f t="shared" si="114"/>
        <v>0</v>
      </c>
      <c r="W159" s="21">
        <f t="shared" si="114"/>
        <v>0</v>
      </c>
      <c r="X159" s="21">
        <f t="shared" si="114"/>
        <v>0</v>
      </c>
      <c r="Y159" s="21">
        <f t="shared" si="114"/>
        <v>0</v>
      </c>
      <c r="Z159" s="21">
        <f t="shared" si="114"/>
        <v>0</v>
      </c>
      <c r="AA159" s="21">
        <f t="shared" si="114"/>
        <v>0</v>
      </c>
      <c r="AB159" s="21">
        <f t="shared" si="114"/>
        <v>0</v>
      </c>
      <c r="AC159" s="21">
        <f t="shared" si="114"/>
        <v>0</v>
      </c>
      <c r="AD159" s="21">
        <f t="shared" si="114"/>
        <v>0</v>
      </c>
      <c r="AE159" s="21">
        <f t="shared" si="114"/>
        <v>0</v>
      </c>
      <c r="AF159" s="21">
        <f t="shared" si="114"/>
        <v>0</v>
      </c>
      <c r="AG159" s="21">
        <f t="shared" si="114"/>
        <v>0</v>
      </c>
      <c r="AH159" s="21">
        <f t="shared" si="114"/>
        <v>0</v>
      </c>
      <c r="AI159" s="21">
        <f t="shared" ref="AI159:BA159" si="115">(AI105*(kwh_per_gal_drnk_water+kwh_per_gal_waste_water))+(AI132*kwh_per_gal_drnk_water)</f>
        <v>0</v>
      </c>
      <c r="AJ159" s="21">
        <f t="shared" si="115"/>
        <v>0</v>
      </c>
      <c r="AK159" s="21">
        <f t="shared" si="115"/>
        <v>0</v>
      </c>
      <c r="AL159" s="21">
        <f t="shared" si="115"/>
        <v>0</v>
      </c>
      <c r="AM159" s="21">
        <f t="shared" si="115"/>
        <v>0</v>
      </c>
      <c r="AN159" s="21">
        <f t="shared" si="115"/>
        <v>0</v>
      </c>
      <c r="AO159" s="21">
        <f t="shared" si="115"/>
        <v>0</v>
      </c>
      <c r="AP159" s="21">
        <f t="shared" si="115"/>
        <v>0</v>
      </c>
      <c r="AQ159" s="21">
        <f t="shared" si="115"/>
        <v>0</v>
      </c>
      <c r="AR159" s="21">
        <f t="shared" si="115"/>
        <v>0</v>
      </c>
      <c r="AS159" s="21">
        <f t="shared" si="115"/>
        <v>0</v>
      </c>
      <c r="AT159" s="21">
        <f t="shared" si="115"/>
        <v>0</v>
      </c>
      <c r="AU159" s="21">
        <f t="shared" si="115"/>
        <v>0</v>
      </c>
      <c r="AV159" s="21">
        <f t="shared" si="115"/>
        <v>0</v>
      </c>
      <c r="AW159" s="21">
        <f t="shared" si="115"/>
        <v>0</v>
      </c>
      <c r="AX159" s="21">
        <f t="shared" si="115"/>
        <v>0</v>
      </c>
      <c r="AY159" s="21">
        <f t="shared" si="115"/>
        <v>0</v>
      </c>
      <c r="AZ159" s="21">
        <f t="shared" si="115"/>
        <v>0</v>
      </c>
      <c r="BA159" s="21">
        <f t="shared" si="115"/>
        <v>0</v>
      </c>
      <c r="BB159" s="21">
        <f t="shared" si="93"/>
        <v>0</v>
      </c>
    </row>
    <row r="160" spans="1:54">
      <c r="A160" s="456"/>
      <c r="B160" s="228">
        <v>2019</v>
      </c>
      <c r="C160" s="21">
        <f t="shared" ref="C160:AH160" si="116">(C106*(kwh_per_gal_drnk_water+kwh_per_gal_waste_water))+(C133*kwh_per_gal_drnk_water)</f>
        <v>0</v>
      </c>
      <c r="D160" s="21">
        <f t="shared" si="116"/>
        <v>0</v>
      </c>
      <c r="E160" s="21">
        <f t="shared" si="116"/>
        <v>0</v>
      </c>
      <c r="F160" s="21">
        <f t="shared" si="116"/>
        <v>0</v>
      </c>
      <c r="G160" s="21">
        <f t="shared" si="116"/>
        <v>0</v>
      </c>
      <c r="H160" s="21">
        <f t="shared" si="116"/>
        <v>0</v>
      </c>
      <c r="I160" s="21">
        <f t="shared" si="116"/>
        <v>0</v>
      </c>
      <c r="J160" s="21">
        <f t="shared" si="116"/>
        <v>0</v>
      </c>
      <c r="K160" s="21">
        <f t="shared" si="116"/>
        <v>0</v>
      </c>
      <c r="L160" s="21">
        <f t="shared" si="116"/>
        <v>0</v>
      </c>
      <c r="M160" s="21">
        <f t="shared" si="116"/>
        <v>0</v>
      </c>
      <c r="N160" s="21">
        <f t="shared" si="116"/>
        <v>0</v>
      </c>
      <c r="O160" s="21">
        <f t="shared" si="116"/>
        <v>0</v>
      </c>
      <c r="P160" s="21">
        <f t="shared" si="116"/>
        <v>0</v>
      </c>
      <c r="Q160" s="21">
        <f t="shared" si="116"/>
        <v>0</v>
      </c>
      <c r="R160" s="21">
        <f t="shared" si="116"/>
        <v>0</v>
      </c>
      <c r="S160" s="21">
        <f t="shared" si="116"/>
        <v>0</v>
      </c>
      <c r="T160" s="21">
        <f t="shared" si="116"/>
        <v>0</v>
      </c>
      <c r="U160" s="21">
        <f t="shared" si="116"/>
        <v>0</v>
      </c>
      <c r="V160" s="21">
        <f t="shared" si="116"/>
        <v>0</v>
      </c>
      <c r="W160" s="21">
        <f t="shared" si="116"/>
        <v>0</v>
      </c>
      <c r="X160" s="21">
        <f t="shared" si="116"/>
        <v>0</v>
      </c>
      <c r="Y160" s="21">
        <f t="shared" si="116"/>
        <v>0</v>
      </c>
      <c r="Z160" s="21">
        <f t="shared" si="116"/>
        <v>0</v>
      </c>
      <c r="AA160" s="21">
        <f t="shared" si="116"/>
        <v>0</v>
      </c>
      <c r="AB160" s="21">
        <f t="shared" si="116"/>
        <v>0</v>
      </c>
      <c r="AC160" s="21">
        <f t="shared" si="116"/>
        <v>0</v>
      </c>
      <c r="AD160" s="21">
        <f t="shared" si="116"/>
        <v>0</v>
      </c>
      <c r="AE160" s="21">
        <f t="shared" si="116"/>
        <v>0</v>
      </c>
      <c r="AF160" s="21">
        <f t="shared" si="116"/>
        <v>0</v>
      </c>
      <c r="AG160" s="21">
        <f t="shared" si="116"/>
        <v>0</v>
      </c>
      <c r="AH160" s="21">
        <f t="shared" si="116"/>
        <v>0</v>
      </c>
      <c r="AI160" s="21">
        <f t="shared" ref="AI160:BA160" si="117">(AI106*(kwh_per_gal_drnk_water+kwh_per_gal_waste_water))+(AI133*kwh_per_gal_drnk_water)</f>
        <v>0</v>
      </c>
      <c r="AJ160" s="21">
        <f t="shared" si="117"/>
        <v>0</v>
      </c>
      <c r="AK160" s="21">
        <f t="shared" si="117"/>
        <v>0</v>
      </c>
      <c r="AL160" s="21">
        <f t="shared" si="117"/>
        <v>0</v>
      </c>
      <c r="AM160" s="21">
        <f t="shared" si="117"/>
        <v>0</v>
      </c>
      <c r="AN160" s="21">
        <f t="shared" si="117"/>
        <v>0</v>
      </c>
      <c r="AO160" s="21">
        <f t="shared" si="117"/>
        <v>0</v>
      </c>
      <c r="AP160" s="21">
        <f t="shared" si="117"/>
        <v>0</v>
      </c>
      <c r="AQ160" s="21">
        <f t="shared" si="117"/>
        <v>0</v>
      </c>
      <c r="AR160" s="21">
        <f t="shared" si="117"/>
        <v>0</v>
      </c>
      <c r="AS160" s="21">
        <f t="shared" si="117"/>
        <v>0</v>
      </c>
      <c r="AT160" s="21">
        <f t="shared" si="117"/>
        <v>0</v>
      </c>
      <c r="AU160" s="21">
        <f t="shared" si="117"/>
        <v>0</v>
      </c>
      <c r="AV160" s="21">
        <f t="shared" si="117"/>
        <v>0</v>
      </c>
      <c r="AW160" s="21">
        <f t="shared" si="117"/>
        <v>0</v>
      </c>
      <c r="AX160" s="21">
        <f t="shared" si="117"/>
        <v>0</v>
      </c>
      <c r="AY160" s="21">
        <f t="shared" si="117"/>
        <v>0</v>
      </c>
      <c r="AZ160" s="21">
        <f t="shared" si="117"/>
        <v>0</v>
      </c>
      <c r="BA160" s="21">
        <f t="shared" si="117"/>
        <v>0</v>
      </c>
      <c r="BB160" s="21">
        <f t="shared" si="93"/>
        <v>0</v>
      </c>
    </row>
    <row r="161" spans="1:54">
      <c r="A161" s="456"/>
      <c r="B161" s="226">
        <v>2020</v>
      </c>
      <c r="C161" s="21">
        <f t="shared" ref="C161:AH161" si="118">(C107*(kwh_per_gal_drnk_water+kwh_per_gal_waste_water))+(C134*kwh_per_gal_drnk_water)</f>
        <v>0</v>
      </c>
      <c r="D161" s="21">
        <f t="shared" si="118"/>
        <v>0</v>
      </c>
      <c r="E161" s="21">
        <f t="shared" si="118"/>
        <v>0</v>
      </c>
      <c r="F161" s="21">
        <f t="shared" si="118"/>
        <v>0</v>
      </c>
      <c r="G161" s="21">
        <f t="shared" si="118"/>
        <v>0</v>
      </c>
      <c r="H161" s="21">
        <f t="shared" si="118"/>
        <v>0</v>
      </c>
      <c r="I161" s="21">
        <f t="shared" si="118"/>
        <v>0</v>
      </c>
      <c r="J161" s="21">
        <f t="shared" si="118"/>
        <v>0</v>
      </c>
      <c r="K161" s="21">
        <f t="shared" si="118"/>
        <v>0</v>
      </c>
      <c r="L161" s="21">
        <f t="shared" si="118"/>
        <v>0</v>
      </c>
      <c r="M161" s="21">
        <f t="shared" si="118"/>
        <v>0</v>
      </c>
      <c r="N161" s="21">
        <f t="shared" si="118"/>
        <v>0</v>
      </c>
      <c r="O161" s="21">
        <f t="shared" si="118"/>
        <v>0</v>
      </c>
      <c r="P161" s="21">
        <f t="shared" si="118"/>
        <v>0</v>
      </c>
      <c r="Q161" s="21">
        <f t="shared" si="118"/>
        <v>0</v>
      </c>
      <c r="R161" s="21">
        <f t="shared" si="118"/>
        <v>0</v>
      </c>
      <c r="S161" s="21">
        <f t="shared" si="118"/>
        <v>0</v>
      </c>
      <c r="T161" s="21">
        <f t="shared" si="118"/>
        <v>0</v>
      </c>
      <c r="U161" s="21">
        <f t="shared" si="118"/>
        <v>0</v>
      </c>
      <c r="V161" s="21">
        <f t="shared" si="118"/>
        <v>0</v>
      </c>
      <c r="W161" s="21">
        <f t="shared" si="118"/>
        <v>0</v>
      </c>
      <c r="X161" s="21">
        <f t="shared" si="118"/>
        <v>0</v>
      </c>
      <c r="Y161" s="21">
        <f t="shared" si="118"/>
        <v>0</v>
      </c>
      <c r="Z161" s="21">
        <f t="shared" si="118"/>
        <v>0</v>
      </c>
      <c r="AA161" s="21">
        <f t="shared" si="118"/>
        <v>0</v>
      </c>
      <c r="AB161" s="21">
        <f t="shared" si="118"/>
        <v>0</v>
      </c>
      <c r="AC161" s="21">
        <f t="shared" si="118"/>
        <v>0</v>
      </c>
      <c r="AD161" s="21">
        <f t="shared" si="118"/>
        <v>0</v>
      </c>
      <c r="AE161" s="21">
        <f t="shared" si="118"/>
        <v>0</v>
      </c>
      <c r="AF161" s="21">
        <f t="shared" si="118"/>
        <v>0</v>
      </c>
      <c r="AG161" s="21">
        <f t="shared" si="118"/>
        <v>0</v>
      </c>
      <c r="AH161" s="21">
        <f t="shared" si="118"/>
        <v>0</v>
      </c>
      <c r="AI161" s="21">
        <f t="shared" ref="AI161:BA161" si="119">(AI107*(kwh_per_gal_drnk_water+kwh_per_gal_waste_water))+(AI134*kwh_per_gal_drnk_water)</f>
        <v>0</v>
      </c>
      <c r="AJ161" s="21">
        <f t="shared" si="119"/>
        <v>0</v>
      </c>
      <c r="AK161" s="21">
        <f t="shared" si="119"/>
        <v>0</v>
      </c>
      <c r="AL161" s="21">
        <f t="shared" si="119"/>
        <v>0</v>
      </c>
      <c r="AM161" s="21">
        <f t="shared" si="119"/>
        <v>0</v>
      </c>
      <c r="AN161" s="21">
        <f t="shared" si="119"/>
        <v>0</v>
      </c>
      <c r="AO161" s="21">
        <f t="shared" si="119"/>
        <v>0</v>
      </c>
      <c r="AP161" s="21">
        <f t="shared" si="119"/>
        <v>0</v>
      </c>
      <c r="AQ161" s="21">
        <f t="shared" si="119"/>
        <v>0</v>
      </c>
      <c r="AR161" s="21">
        <f t="shared" si="119"/>
        <v>0</v>
      </c>
      <c r="AS161" s="21">
        <f t="shared" si="119"/>
        <v>0</v>
      </c>
      <c r="AT161" s="21">
        <f t="shared" si="119"/>
        <v>0</v>
      </c>
      <c r="AU161" s="21">
        <f t="shared" si="119"/>
        <v>0</v>
      </c>
      <c r="AV161" s="21">
        <f t="shared" si="119"/>
        <v>0</v>
      </c>
      <c r="AW161" s="21">
        <f t="shared" si="119"/>
        <v>0</v>
      </c>
      <c r="AX161" s="21">
        <f t="shared" si="119"/>
        <v>0</v>
      </c>
      <c r="AY161" s="21">
        <f t="shared" si="119"/>
        <v>0</v>
      </c>
      <c r="AZ161" s="21">
        <f t="shared" si="119"/>
        <v>0</v>
      </c>
      <c r="BA161" s="21">
        <f t="shared" si="119"/>
        <v>0</v>
      </c>
      <c r="BB161" s="21">
        <f t="shared" si="93"/>
        <v>0</v>
      </c>
    </row>
    <row r="162" spans="1:54">
      <c r="A162" s="456"/>
      <c r="B162" s="228">
        <v>2021</v>
      </c>
      <c r="C162" s="21">
        <f t="shared" ref="C162:AH162" si="120">(C108*(kwh_per_gal_drnk_water+kwh_per_gal_waste_water))+(C135*kwh_per_gal_drnk_water)</f>
        <v>0</v>
      </c>
      <c r="D162" s="21">
        <f t="shared" si="120"/>
        <v>0</v>
      </c>
      <c r="E162" s="21">
        <f t="shared" si="120"/>
        <v>0</v>
      </c>
      <c r="F162" s="21">
        <f t="shared" si="120"/>
        <v>0</v>
      </c>
      <c r="G162" s="21">
        <f t="shared" si="120"/>
        <v>0</v>
      </c>
      <c r="H162" s="21">
        <f t="shared" si="120"/>
        <v>0</v>
      </c>
      <c r="I162" s="21">
        <f t="shared" si="120"/>
        <v>0</v>
      </c>
      <c r="J162" s="21">
        <f t="shared" si="120"/>
        <v>0</v>
      </c>
      <c r="K162" s="21">
        <f t="shared" si="120"/>
        <v>0</v>
      </c>
      <c r="L162" s="21">
        <f t="shared" si="120"/>
        <v>0</v>
      </c>
      <c r="M162" s="21">
        <f t="shared" si="120"/>
        <v>0</v>
      </c>
      <c r="N162" s="21">
        <f t="shared" si="120"/>
        <v>0</v>
      </c>
      <c r="O162" s="21">
        <f t="shared" si="120"/>
        <v>0</v>
      </c>
      <c r="P162" s="21">
        <f t="shared" si="120"/>
        <v>0</v>
      </c>
      <c r="Q162" s="21">
        <f t="shared" si="120"/>
        <v>0</v>
      </c>
      <c r="R162" s="21">
        <f t="shared" si="120"/>
        <v>0</v>
      </c>
      <c r="S162" s="21">
        <f t="shared" si="120"/>
        <v>0</v>
      </c>
      <c r="T162" s="21">
        <f t="shared" si="120"/>
        <v>0</v>
      </c>
      <c r="U162" s="21">
        <f t="shared" si="120"/>
        <v>0</v>
      </c>
      <c r="V162" s="21">
        <f t="shared" si="120"/>
        <v>0</v>
      </c>
      <c r="W162" s="21">
        <f t="shared" si="120"/>
        <v>0</v>
      </c>
      <c r="X162" s="21">
        <f t="shared" si="120"/>
        <v>0</v>
      </c>
      <c r="Y162" s="21">
        <f t="shared" si="120"/>
        <v>0</v>
      </c>
      <c r="Z162" s="21">
        <f t="shared" si="120"/>
        <v>0</v>
      </c>
      <c r="AA162" s="21">
        <f t="shared" si="120"/>
        <v>0</v>
      </c>
      <c r="AB162" s="21">
        <f t="shared" si="120"/>
        <v>0</v>
      </c>
      <c r="AC162" s="21">
        <f t="shared" si="120"/>
        <v>0</v>
      </c>
      <c r="AD162" s="21">
        <f t="shared" si="120"/>
        <v>0</v>
      </c>
      <c r="AE162" s="21">
        <f t="shared" si="120"/>
        <v>0</v>
      </c>
      <c r="AF162" s="21">
        <f t="shared" si="120"/>
        <v>0</v>
      </c>
      <c r="AG162" s="21">
        <f t="shared" si="120"/>
        <v>0</v>
      </c>
      <c r="AH162" s="21">
        <f t="shared" si="120"/>
        <v>0</v>
      </c>
      <c r="AI162" s="21">
        <f t="shared" ref="AI162:BA162" si="121">(AI108*(kwh_per_gal_drnk_water+kwh_per_gal_waste_water))+(AI135*kwh_per_gal_drnk_water)</f>
        <v>0</v>
      </c>
      <c r="AJ162" s="21">
        <f t="shared" si="121"/>
        <v>0</v>
      </c>
      <c r="AK162" s="21">
        <f t="shared" si="121"/>
        <v>0</v>
      </c>
      <c r="AL162" s="21">
        <f t="shared" si="121"/>
        <v>0</v>
      </c>
      <c r="AM162" s="21">
        <f t="shared" si="121"/>
        <v>0</v>
      </c>
      <c r="AN162" s="21">
        <f t="shared" si="121"/>
        <v>0</v>
      </c>
      <c r="AO162" s="21">
        <f t="shared" si="121"/>
        <v>0</v>
      </c>
      <c r="AP162" s="21">
        <f t="shared" si="121"/>
        <v>0</v>
      </c>
      <c r="AQ162" s="21">
        <f t="shared" si="121"/>
        <v>0</v>
      </c>
      <c r="AR162" s="21">
        <f t="shared" si="121"/>
        <v>0</v>
      </c>
      <c r="AS162" s="21">
        <f t="shared" si="121"/>
        <v>0</v>
      </c>
      <c r="AT162" s="21">
        <f t="shared" si="121"/>
        <v>0</v>
      </c>
      <c r="AU162" s="21">
        <f t="shared" si="121"/>
        <v>0</v>
      </c>
      <c r="AV162" s="21">
        <f t="shared" si="121"/>
        <v>0</v>
      </c>
      <c r="AW162" s="21">
        <f t="shared" si="121"/>
        <v>0</v>
      </c>
      <c r="AX162" s="21">
        <f t="shared" si="121"/>
        <v>0</v>
      </c>
      <c r="AY162" s="21">
        <f t="shared" si="121"/>
        <v>0</v>
      </c>
      <c r="AZ162" s="21">
        <f t="shared" si="121"/>
        <v>0</v>
      </c>
      <c r="BA162" s="21">
        <f t="shared" si="121"/>
        <v>0</v>
      </c>
      <c r="BB162" s="21">
        <f t="shared" si="93"/>
        <v>0</v>
      </c>
    </row>
    <row r="163" spans="1:54">
      <c r="A163" s="456"/>
      <c r="B163" s="226">
        <v>2022</v>
      </c>
      <c r="C163" s="21">
        <f t="shared" ref="C163:AH163" si="122">(C109*(kwh_per_gal_drnk_water+kwh_per_gal_waste_water))+(C136*kwh_per_gal_drnk_water)</f>
        <v>0</v>
      </c>
      <c r="D163" s="21">
        <f t="shared" si="122"/>
        <v>0</v>
      </c>
      <c r="E163" s="21">
        <f t="shared" si="122"/>
        <v>0</v>
      </c>
      <c r="F163" s="21">
        <f t="shared" si="122"/>
        <v>0</v>
      </c>
      <c r="G163" s="21">
        <f t="shared" si="122"/>
        <v>0</v>
      </c>
      <c r="H163" s="21">
        <f t="shared" si="122"/>
        <v>0</v>
      </c>
      <c r="I163" s="21">
        <f t="shared" si="122"/>
        <v>0</v>
      </c>
      <c r="J163" s="21">
        <f t="shared" si="122"/>
        <v>0</v>
      </c>
      <c r="K163" s="21">
        <f t="shared" si="122"/>
        <v>0</v>
      </c>
      <c r="L163" s="21">
        <f t="shared" si="122"/>
        <v>0</v>
      </c>
      <c r="M163" s="21">
        <f t="shared" si="122"/>
        <v>0</v>
      </c>
      <c r="N163" s="21">
        <f t="shared" si="122"/>
        <v>0</v>
      </c>
      <c r="O163" s="21">
        <f t="shared" si="122"/>
        <v>0</v>
      </c>
      <c r="P163" s="21">
        <f t="shared" si="122"/>
        <v>0</v>
      </c>
      <c r="Q163" s="21">
        <f t="shared" si="122"/>
        <v>0</v>
      </c>
      <c r="R163" s="21">
        <f t="shared" si="122"/>
        <v>0</v>
      </c>
      <c r="S163" s="21">
        <f t="shared" si="122"/>
        <v>0</v>
      </c>
      <c r="T163" s="21">
        <f t="shared" si="122"/>
        <v>0</v>
      </c>
      <c r="U163" s="21">
        <f t="shared" si="122"/>
        <v>0</v>
      </c>
      <c r="V163" s="21">
        <f t="shared" si="122"/>
        <v>0</v>
      </c>
      <c r="W163" s="21">
        <f t="shared" si="122"/>
        <v>0</v>
      </c>
      <c r="X163" s="21">
        <f t="shared" si="122"/>
        <v>0</v>
      </c>
      <c r="Y163" s="21">
        <f t="shared" si="122"/>
        <v>0</v>
      </c>
      <c r="Z163" s="21">
        <f t="shared" si="122"/>
        <v>0</v>
      </c>
      <c r="AA163" s="21">
        <f t="shared" si="122"/>
        <v>0</v>
      </c>
      <c r="AB163" s="21">
        <f t="shared" si="122"/>
        <v>0</v>
      </c>
      <c r="AC163" s="21">
        <f t="shared" si="122"/>
        <v>0</v>
      </c>
      <c r="AD163" s="21">
        <f t="shared" si="122"/>
        <v>0</v>
      </c>
      <c r="AE163" s="21">
        <f t="shared" si="122"/>
        <v>0</v>
      </c>
      <c r="AF163" s="21">
        <f t="shared" si="122"/>
        <v>0</v>
      </c>
      <c r="AG163" s="21">
        <f t="shared" si="122"/>
        <v>0</v>
      </c>
      <c r="AH163" s="21">
        <f t="shared" si="122"/>
        <v>0</v>
      </c>
      <c r="AI163" s="21">
        <f t="shared" ref="AI163:BA163" si="123">(AI109*(kwh_per_gal_drnk_water+kwh_per_gal_waste_water))+(AI136*kwh_per_gal_drnk_water)</f>
        <v>0</v>
      </c>
      <c r="AJ163" s="21">
        <f t="shared" si="123"/>
        <v>0</v>
      </c>
      <c r="AK163" s="21">
        <f t="shared" si="123"/>
        <v>0</v>
      </c>
      <c r="AL163" s="21">
        <f t="shared" si="123"/>
        <v>0</v>
      </c>
      <c r="AM163" s="21">
        <f t="shared" si="123"/>
        <v>0</v>
      </c>
      <c r="AN163" s="21">
        <f t="shared" si="123"/>
        <v>0</v>
      </c>
      <c r="AO163" s="21">
        <f t="shared" si="123"/>
        <v>0</v>
      </c>
      <c r="AP163" s="21">
        <f t="shared" si="123"/>
        <v>0</v>
      </c>
      <c r="AQ163" s="21">
        <f t="shared" si="123"/>
        <v>0</v>
      </c>
      <c r="AR163" s="21">
        <f t="shared" si="123"/>
        <v>0</v>
      </c>
      <c r="AS163" s="21">
        <f t="shared" si="123"/>
        <v>0</v>
      </c>
      <c r="AT163" s="21">
        <f t="shared" si="123"/>
        <v>0</v>
      </c>
      <c r="AU163" s="21">
        <f t="shared" si="123"/>
        <v>0</v>
      </c>
      <c r="AV163" s="21">
        <f t="shared" si="123"/>
        <v>0</v>
      </c>
      <c r="AW163" s="21">
        <f t="shared" si="123"/>
        <v>0</v>
      </c>
      <c r="AX163" s="21">
        <f t="shared" si="123"/>
        <v>0</v>
      </c>
      <c r="AY163" s="21">
        <f t="shared" si="123"/>
        <v>0</v>
      </c>
      <c r="AZ163" s="21">
        <f t="shared" si="123"/>
        <v>0</v>
      </c>
      <c r="BA163" s="21">
        <f t="shared" si="123"/>
        <v>0</v>
      </c>
      <c r="BB163" s="21">
        <f t="shared" si="93"/>
        <v>0</v>
      </c>
    </row>
    <row r="164" spans="1:54">
      <c r="A164" s="456"/>
      <c r="B164" s="228">
        <v>2023</v>
      </c>
      <c r="C164" s="21">
        <f t="shared" ref="C164:AH164" si="124">(C110*(kwh_per_gal_drnk_water+kwh_per_gal_waste_water))+(C137*kwh_per_gal_drnk_water)</f>
        <v>0</v>
      </c>
      <c r="D164" s="21">
        <f t="shared" si="124"/>
        <v>0</v>
      </c>
      <c r="E164" s="21">
        <f t="shared" si="124"/>
        <v>0</v>
      </c>
      <c r="F164" s="21">
        <f t="shared" si="124"/>
        <v>0</v>
      </c>
      <c r="G164" s="21">
        <f t="shared" si="124"/>
        <v>0</v>
      </c>
      <c r="H164" s="21">
        <f t="shared" si="124"/>
        <v>0</v>
      </c>
      <c r="I164" s="21">
        <f t="shared" si="124"/>
        <v>0</v>
      </c>
      <c r="J164" s="21">
        <f t="shared" si="124"/>
        <v>0</v>
      </c>
      <c r="K164" s="21">
        <f t="shared" si="124"/>
        <v>0</v>
      </c>
      <c r="L164" s="21">
        <f t="shared" si="124"/>
        <v>0</v>
      </c>
      <c r="M164" s="21">
        <f t="shared" si="124"/>
        <v>0</v>
      </c>
      <c r="N164" s="21">
        <f t="shared" si="124"/>
        <v>0</v>
      </c>
      <c r="O164" s="21">
        <f t="shared" si="124"/>
        <v>0</v>
      </c>
      <c r="P164" s="21">
        <f t="shared" si="124"/>
        <v>0</v>
      </c>
      <c r="Q164" s="21">
        <f t="shared" si="124"/>
        <v>0</v>
      </c>
      <c r="R164" s="21">
        <f t="shared" si="124"/>
        <v>0</v>
      </c>
      <c r="S164" s="21">
        <f t="shared" si="124"/>
        <v>0</v>
      </c>
      <c r="T164" s="21">
        <f t="shared" si="124"/>
        <v>0</v>
      </c>
      <c r="U164" s="21">
        <f t="shared" si="124"/>
        <v>0</v>
      </c>
      <c r="V164" s="21">
        <f t="shared" si="124"/>
        <v>0</v>
      </c>
      <c r="W164" s="21">
        <f t="shared" si="124"/>
        <v>0</v>
      </c>
      <c r="X164" s="21">
        <f t="shared" si="124"/>
        <v>0</v>
      </c>
      <c r="Y164" s="21">
        <f t="shared" si="124"/>
        <v>0</v>
      </c>
      <c r="Z164" s="21">
        <f t="shared" si="124"/>
        <v>0</v>
      </c>
      <c r="AA164" s="21">
        <f t="shared" si="124"/>
        <v>0</v>
      </c>
      <c r="AB164" s="21">
        <f t="shared" si="124"/>
        <v>0</v>
      </c>
      <c r="AC164" s="21">
        <f t="shared" si="124"/>
        <v>0</v>
      </c>
      <c r="AD164" s="21">
        <f t="shared" si="124"/>
        <v>0</v>
      </c>
      <c r="AE164" s="21">
        <f t="shared" si="124"/>
        <v>0</v>
      </c>
      <c r="AF164" s="21">
        <f t="shared" si="124"/>
        <v>0</v>
      </c>
      <c r="AG164" s="21">
        <f t="shared" si="124"/>
        <v>0</v>
      </c>
      <c r="AH164" s="21">
        <f t="shared" si="124"/>
        <v>0</v>
      </c>
      <c r="AI164" s="21">
        <f t="shared" ref="AI164:BA164" si="125">(AI110*(kwh_per_gal_drnk_water+kwh_per_gal_waste_water))+(AI137*kwh_per_gal_drnk_water)</f>
        <v>0</v>
      </c>
      <c r="AJ164" s="21">
        <f t="shared" si="125"/>
        <v>0</v>
      </c>
      <c r="AK164" s="21">
        <f t="shared" si="125"/>
        <v>0</v>
      </c>
      <c r="AL164" s="21">
        <f t="shared" si="125"/>
        <v>0</v>
      </c>
      <c r="AM164" s="21">
        <f t="shared" si="125"/>
        <v>0</v>
      </c>
      <c r="AN164" s="21">
        <f t="shared" si="125"/>
        <v>0</v>
      </c>
      <c r="AO164" s="21">
        <f t="shared" si="125"/>
        <v>0</v>
      </c>
      <c r="AP164" s="21">
        <f t="shared" si="125"/>
        <v>0</v>
      </c>
      <c r="AQ164" s="21">
        <f t="shared" si="125"/>
        <v>0</v>
      </c>
      <c r="AR164" s="21">
        <f t="shared" si="125"/>
        <v>0</v>
      </c>
      <c r="AS164" s="21">
        <f t="shared" si="125"/>
        <v>0</v>
      </c>
      <c r="AT164" s="21">
        <f t="shared" si="125"/>
        <v>0</v>
      </c>
      <c r="AU164" s="21">
        <f t="shared" si="125"/>
        <v>0</v>
      </c>
      <c r="AV164" s="21">
        <f t="shared" si="125"/>
        <v>0</v>
      </c>
      <c r="AW164" s="21">
        <f t="shared" si="125"/>
        <v>0</v>
      </c>
      <c r="AX164" s="21">
        <f t="shared" si="125"/>
        <v>0</v>
      </c>
      <c r="AY164" s="21">
        <f t="shared" si="125"/>
        <v>0</v>
      </c>
      <c r="AZ164" s="21">
        <f t="shared" si="125"/>
        <v>0</v>
      </c>
      <c r="BA164" s="21">
        <f t="shared" si="125"/>
        <v>0</v>
      </c>
      <c r="BB164" s="21">
        <f t="shared" si="93"/>
        <v>0</v>
      </c>
    </row>
    <row r="165" spans="1:54">
      <c r="A165" s="456"/>
      <c r="B165" s="226">
        <v>2024</v>
      </c>
      <c r="C165" s="21">
        <f t="shared" ref="C165:AH165" si="126">(C111*(kwh_per_gal_drnk_water+kwh_per_gal_waste_water))+(C138*kwh_per_gal_drnk_water)</f>
        <v>0</v>
      </c>
      <c r="D165" s="21">
        <f t="shared" si="126"/>
        <v>0</v>
      </c>
      <c r="E165" s="21">
        <f t="shared" si="126"/>
        <v>0</v>
      </c>
      <c r="F165" s="21">
        <f t="shared" si="126"/>
        <v>0</v>
      </c>
      <c r="G165" s="21">
        <f t="shared" si="126"/>
        <v>0</v>
      </c>
      <c r="H165" s="21">
        <f t="shared" si="126"/>
        <v>0</v>
      </c>
      <c r="I165" s="21">
        <f t="shared" si="126"/>
        <v>0</v>
      </c>
      <c r="J165" s="21">
        <f t="shared" si="126"/>
        <v>0</v>
      </c>
      <c r="K165" s="21">
        <f t="shared" si="126"/>
        <v>0</v>
      </c>
      <c r="L165" s="21">
        <f t="shared" si="126"/>
        <v>0</v>
      </c>
      <c r="M165" s="21">
        <f t="shared" si="126"/>
        <v>0</v>
      </c>
      <c r="N165" s="21">
        <f t="shared" si="126"/>
        <v>0</v>
      </c>
      <c r="O165" s="21">
        <f t="shared" si="126"/>
        <v>0</v>
      </c>
      <c r="P165" s="21">
        <f t="shared" si="126"/>
        <v>0</v>
      </c>
      <c r="Q165" s="21">
        <f t="shared" si="126"/>
        <v>0</v>
      </c>
      <c r="R165" s="21">
        <f t="shared" si="126"/>
        <v>0</v>
      </c>
      <c r="S165" s="21">
        <f t="shared" si="126"/>
        <v>0</v>
      </c>
      <c r="T165" s="21">
        <f t="shared" si="126"/>
        <v>0</v>
      </c>
      <c r="U165" s="21">
        <f t="shared" si="126"/>
        <v>0</v>
      </c>
      <c r="V165" s="21">
        <f t="shared" si="126"/>
        <v>0</v>
      </c>
      <c r="W165" s="21">
        <f t="shared" si="126"/>
        <v>0</v>
      </c>
      <c r="X165" s="21">
        <f t="shared" si="126"/>
        <v>0</v>
      </c>
      <c r="Y165" s="21">
        <f t="shared" si="126"/>
        <v>0</v>
      </c>
      <c r="Z165" s="21">
        <f t="shared" si="126"/>
        <v>0</v>
      </c>
      <c r="AA165" s="21">
        <f t="shared" si="126"/>
        <v>0</v>
      </c>
      <c r="AB165" s="21">
        <f t="shared" si="126"/>
        <v>0</v>
      </c>
      <c r="AC165" s="21">
        <f t="shared" si="126"/>
        <v>0</v>
      </c>
      <c r="AD165" s="21">
        <f t="shared" si="126"/>
        <v>0</v>
      </c>
      <c r="AE165" s="21">
        <f t="shared" si="126"/>
        <v>0</v>
      </c>
      <c r="AF165" s="21">
        <f t="shared" si="126"/>
        <v>0</v>
      </c>
      <c r="AG165" s="21">
        <f t="shared" si="126"/>
        <v>0</v>
      </c>
      <c r="AH165" s="21">
        <f t="shared" si="126"/>
        <v>0</v>
      </c>
      <c r="AI165" s="21">
        <f t="shared" ref="AI165:BA165" si="127">(AI111*(kwh_per_gal_drnk_water+kwh_per_gal_waste_water))+(AI138*kwh_per_gal_drnk_water)</f>
        <v>0</v>
      </c>
      <c r="AJ165" s="21">
        <f t="shared" si="127"/>
        <v>0</v>
      </c>
      <c r="AK165" s="21">
        <f t="shared" si="127"/>
        <v>0</v>
      </c>
      <c r="AL165" s="21">
        <f t="shared" si="127"/>
        <v>0</v>
      </c>
      <c r="AM165" s="21">
        <f t="shared" si="127"/>
        <v>0</v>
      </c>
      <c r="AN165" s="21">
        <f t="shared" si="127"/>
        <v>0</v>
      </c>
      <c r="AO165" s="21">
        <f t="shared" si="127"/>
        <v>0</v>
      </c>
      <c r="AP165" s="21">
        <f t="shared" si="127"/>
        <v>0</v>
      </c>
      <c r="AQ165" s="21">
        <f t="shared" si="127"/>
        <v>0</v>
      </c>
      <c r="AR165" s="21">
        <f t="shared" si="127"/>
        <v>0</v>
      </c>
      <c r="AS165" s="21">
        <f t="shared" si="127"/>
        <v>0</v>
      </c>
      <c r="AT165" s="21">
        <f t="shared" si="127"/>
        <v>0</v>
      </c>
      <c r="AU165" s="21">
        <f t="shared" si="127"/>
        <v>0</v>
      </c>
      <c r="AV165" s="21">
        <f t="shared" si="127"/>
        <v>0</v>
      </c>
      <c r="AW165" s="21">
        <f t="shared" si="127"/>
        <v>0</v>
      </c>
      <c r="AX165" s="21">
        <f t="shared" si="127"/>
        <v>0</v>
      </c>
      <c r="AY165" s="21">
        <f t="shared" si="127"/>
        <v>0</v>
      </c>
      <c r="AZ165" s="21">
        <f t="shared" si="127"/>
        <v>0</v>
      </c>
      <c r="BA165" s="21">
        <f t="shared" si="127"/>
        <v>0</v>
      </c>
      <c r="BB165" s="21">
        <f t="shared" si="93"/>
        <v>0</v>
      </c>
    </row>
    <row r="166" spans="1:54">
      <c r="A166" s="456"/>
      <c r="B166" s="228">
        <v>2025</v>
      </c>
      <c r="C166" s="21">
        <f t="shared" ref="C166:AH166" si="128">(C112*(kwh_per_gal_drnk_water+kwh_per_gal_waste_water))+(C139*kwh_per_gal_drnk_water)</f>
        <v>0</v>
      </c>
      <c r="D166" s="21">
        <f t="shared" si="128"/>
        <v>0</v>
      </c>
      <c r="E166" s="21">
        <f t="shared" si="128"/>
        <v>0</v>
      </c>
      <c r="F166" s="21">
        <f t="shared" si="128"/>
        <v>0</v>
      </c>
      <c r="G166" s="21">
        <f t="shared" si="128"/>
        <v>0</v>
      </c>
      <c r="H166" s="21">
        <f t="shared" si="128"/>
        <v>0</v>
      </c>
      <c r="I166" s="21">
        <f t="shared" si="128"/>
        <v>0</v>
      </c>
      <c r="J166" s="21">
        <f t="shared" si="128"/>
        <v>0</v>
      </c>
      <c r="K166" s="21">
        <f t="shared" si="128"/>
        <v>0</v>
      </c>
      <c r="L166" s="21">
        <f t="shared" si="128"/>
        <v>0</v>
      </c>
      <c r="M166" s="21">
        <f t="shared" si="128"/>
        <v>0</v>
      </c>
      <c r="N166" s="21">
        <f t="shared" si="128"/>
        <v>0</v>
      </c>
      <c r="O166" s="21">
        <f t="shared" si="128"/>
        <v>0</v>
      </c>
      <c r="P166" s="21">
        <f t="shared" si="128"/>
        <v>0</v>
      </c>
      <c r="Q166" s="21">
        <f t="shared" si="128"/>
        <v>0</v>
      </c>
      <c r="R166" s="21">
        <f t="shared" si="128"/>
        <v>0</v>
      </c>
      <c r="S166" s="21">
        <f t="shared" si="128"/>
        <v>0</v>
      </c>
      <c r="T166" s="21">
        <f t="shared" si="128"/>
        <v>0</v>
      </c>
      <c r="U166" s="21">
        <f t="shared" si="128"/>
        <v>0</v>
      </c>
      <c r="V166" s="21">
        <f t="shared" si="128"/>
        <v>0</v>
      </c>
      <c r="W166" s="21">
        <f t="shared" si="128"/>
        <v>0</v>
      </c>
      <c r="X166" s="21">
        <f t="shared" si="128"/>
        <v>0</v>
      </c>
      <c r="Y166" s="21">
        <f t="shared" si="128"/>
        <v>0</v>
      </c>
      <c r="Z166" s="21">
        <f t="shared" si="128"/>
        <v>0</v>
      </c>
      <c r="AA166" s="21">
        <f t="shared" si="128"/>
        <v>0</v>
      </c>
      <c r="AB166" s="21">
        <f t="shared" si="128"/>
        <v>0</v>
      </c>
      <c r="AC166" s="21">
        <f t="shared" si="128"/>
        <v>0</v>
      </c>
      <c r="AD166" s="21">
        <f t="shared" si="128"/>
        <v>0</v>
      </c>
      <c r="AE166" s="21">
        <f t="shared" si="128"/>
        <v>0</v>
      </c>
      <c r="AF166" s="21">
        <f t="shared" si="128"/>
        <v>0</v>
      </c>
      <c r="AG166" s="21">
        <f t="shared" si="128"/>
        <v>0</v>
      </c>
      <c r="AH166" s="21">
        <f t="shared" si="128"/>
        <v>0</v>
      </c>
      <c r="AI166" s="21">
        <f t="shared" ref="AI166:BA166" si="129">(AI112*(kwh_per_gal_drnk_water+kwh_per_gal_waste_water))+(AI139*kwh_per_gal_drnk_water)</f>
        <v>0</v>
      </c>
      <c r="AJ166" s="21">
        <f t="shared" si="129"/>
        <v>0</v>
      </c>
      <c r="AK166" s="21">
        <f t="shared" si="129"/>
        <v>0</v>
      </c>
      <c r="AL166" s="21">
        <f t="shared" si="129"/>
        <v>0</v>
      </c>
      <c r="AM166" s="21">
        <f t="shared" si="129"/>
        <v>0</v>
      </c>
      <c r="AN166" s="21">
        <f t="shared" si="129"/>
        <v>0</v>
      </c>
      <c r="AO166" s="21">
        <f t="shared" si="129"/>
        <v>0</v>
      </c>
      <c r="AP166" s="21">
        <f t="shared" si="129"/>
        <v>0</v>
      </c>
      <c r="AQ166" s="21">
        <f t="shared" si="129"/>
        <v>0</v>
      </c>
      <c r="AR166" s="21">
        <f t="shared" si="129"/>
        <v>0</v>
      </c>
      <c r="AS166" s="21">
        <f t="shared" si="129"/>
        <v>0</v>
      </c>
      <c r="AT166" s="21">
        <f t="shared" si="129"/>
        <v>0</v>
      </c>
      <c r="AU166" s="21">
        <f t="shared" si="129"/>
        <v>0</v>
      </c>
      <c r="AV166" s="21">
        <f t="shared" si="129"/>
        <v>0</v>
      </c>
      <c r="AW166" s="21">
        <f t="shared" si="129"/>
        <v>0</v>
      </c>
      <c r="AX166" s="21">
        <f t="shared" si="129"/>
        <v>0</v>
      </c>
      <c r="AY166" s="21">
        <f t="shared" si="129"/>
        <v>0</v>
      </c>
      <c r="AZ166" s="21">
        <f t="shared" si="129"/>
        <v>0</v>
      </c>
      <c r="BA166" s="21">
        <f t="shared" si="129"/>
        <v>0</v>
      </c>
      <c r="BB166" s="21">
        <f t="shared" si="93"/>
        <v>0</v>
      </c>
    </row>
    <row r="167" spans="1:54">
      <c r="A167" s="456"/>
      <c r="B167" s="226">
        <v>2026</v>
      </c>
      <c r="C167" s="21">
        <f t="shared" ref="C167:AH167" si="130">(C113*(kwh_per_gal_drnk_water+kwh_per_gal_waste_water))+(C140*kwh_per_gal_drnk_water)</f>
        <v>0</v>
      </c>
      <c r="D167" s="21">
        <f t="shared" si="130"/>
        <v>0</v>
      </c>
      <c r="E167" s="21">
        <f t="shared" si="130"/>
        <v>0</v>
      </c>
      <c r="F167" s="21">
        <f t="shared" si="130"/>
        <v>0</v>
      </c>
      <c r="G167" s="21">
        <f t="shared" si="130"/>
        <v>0</v>
      </c>
      <c r="H167" s="21">
        <f t="shared" si="130"/>
        <v>0</v>
      </c>
      <c r="I167" s="21">
        <f t="shared" si="130"/>
        <v>0</v>
      </c>
      <c r="J167" s="21">
        <f t="shared" si="130"/>
        <v>0</v>
      </c>
      <c r="K167" s="21">
        <f t="shared" si="130"/>
        <v>0</v>
      </c>
      <c r="L167" s="21">
        <f t="shared" si="130"/>
        <v>0</v>
      </c>
      <c r="M167" s="21">
        <f t="shared" si="130"/>
        <v>0</v>
      </c>
      <c r="N167" s="21">
        <f t="shared" si="130"/>
        <v>0</v>
      </c>
      <c r="O167" s="21">
        <f t="shared" si="130"/>
        <v>0</v>
      </c>
      <c r="P167" s="21">
        <f t="shared" si="130"/>
        <v>0</v>
      </c>
      <c r="Q167" s="21">
        <f t="shared" si="130"/>
        <v>0</v>
      </c>
      <c r="R167" s="21">
        <f t="shared" si="130"/>
        <v>0</v>
      </c>
      <c r="S167" s="21">
        <f t="shared" si="130"/>
        <v>0</v>
      </c>
      <c r="T167" s="21">
        <f t="shared" si="130"/>
        <v>0</v>
      </c>
      <c r="U167" s="21">
        <f t="shared" si="130"/>
        <v>0</v>
      </c>
      <c r="V167" s="21">
        <f t="shared" si="130"/>
        <v>0</v>
      </c>
      <c r="W167" s="21">
        <f t="shared" si="130"/>
        <v>0</v>
      </c>
      <c r="X167" s="21">
        <f t="shared" si="130"/>
        <v>0</v>
      </c>
      <c r="Y167" s="21">
        <f t="shared" si="130"/>
        <v>0</v>
      </c>
      <c r="Z167" s="21">
        <f t="shared" si="130"/>
        <v>0</v>
      </c>
      <c r="AA167" s="21">
        <f t="shared" si="130"/>
        <v>0</v>
      </c>
      <c r="AB167" s="21">
        <f t="shared" si="130"/>
        <v>0</v>
      </c>
      <c r="AC167" s="21">
        <f t="shared" si="130"/>
        <v>0</v>
      </c>
      <c r="AD167" s="21">
        <f t="shared" si="130"/>
        <v>0</v>
      </c>
      <c r="AE167" s="21">
        <f t="shared" si="130"/>
        <v>0</v>
      </c>
      <c r="AF167" s="21">
        <f t="shared" si="130"/>
        <v>0</v>
      </c>
      <c r="AG167" s="21">
        <f t="shared" si="130"/>
        <v>0</v>
      </c>
      <c r="AH167" s="21">
        <f t="shared" si="130"/>
        <v>0</v>
      </c>
      <c r="AI167" s="21">
        <f t="shared" ref="AI167:BA167" si="131">(AI113*(kwh_per_gal_drnk_water+kwh_per_gal_waste_water))+(AI140*kwh_per_gal_drnk_water)</f>
        <v>0</v>
      </c>
      <c r="AJ167" s="21">
        <f t="shared" si="131"/>
        <v>0</v>
      </c>
      <c r="AK167" s="21">
        <f t="shared" si="131"/>
        <v>0</v>
      </c>
      <c r="AL167" s="21">
        <f t="shared" si="131"/>
        <v>0</v>
      </c>
      <c r="AM167" s="21">
        <f t="shared" si="131"/>
        <v>0</v>
      </c>
      <c r="AN167" s="21">
        <f t="shared" si="131"/>
        <v>0</v>
      </c>
      <c r="AO167" s="21">
        <f t="shared" si="131"/>
        <v>0</v>
      </c>
      <c r="AP167" s="21">
        <f t="shared" si="131"/>
        <v>0</v>
      </c>
      <c r="AQ167" s="21">
        <f t="shared" si="131"/>
        <v>0</v>
      </c>
      <c r="AR167" s="21">
        <f t="shared" si="131"/>
        <v>0</v>
      </c>
      <c r="AS167" s="21">
        <f t="shared" si="131"/>
        <v>0</v>
      </c>
      <c r="AT167" s="21">
        <f t="shared" si="131"/>
        <v>0</v>
      </c>
      <c r="AU167" s="21">
        <f t="shared" si="131"/>
        <v>0</v>
      </c>
      <c r="AV167" s="21">
        <f t="shared" si="131"/>
        <v>0</v>
      </c>
      <c r="AW167" s="21">
        <f t="shared" si="131"/>
        <v>0</v>
      </c>
      <c r="AX167" s="21">
        <f t="shared" si="131"/>
        <v>0</v>
      </c>
      <c r="AY167" s="21">
        <f t="shared" si="131"/>
        <v>0</v>
      </c>
      <c r="AZ167" s="21">
        <f t="shared" si="131"/>
        <v>0</v>
      </c>
      <c r="BA167" s="21">
        <f t="shared" si="131"/>
        <v>0</v>
      </c>
      <c r="BB167" s="21">
        <f t="shared" si="93"/>
        <v>0</v>
      </c>
    </row>
    <row r="168" spans="1:54">
      <c r="A168" s="456"/>
      <c r="B168" s="228">
        <v>2027</v>
      </c>
      <c r="C168" s="21">
        <f t="shared" ref="C168:AH168" si="132">(C114*(kwh_per_gal_drnk_water+kwh_per_gal_waste_water))+(C141*kwh_per_gal_drnk_water)</f>
        <v>0</v>
      </c>
      <c r="D168" s="21">
        <f t="shared" si="132"/>
        <v>0</v>
      </c>
      <c r="E168" s="21">
        <f t="shared" si="132"/>
        <v>0</v>
      </c>
      <c r="F168" s="21">
        <f t="shared" si="132"/>
        <v>0</v>
      </c>
      <c r="G168" s="21">
        <f t="shared" si="132"/>
        <v>0</v>
      </c>
      <c r="H168" s="21">
        <f t="shared" si="132"/>
        <v>0</v>
      </c>
      <c r="I168" s="21">
        <f t="shared" si="132"/>
        <v>0</v>
      </c>
      <c r="J168" s="21">
        <f t="shared" si="132"/>
        <v>0</v>
      </c>
      <c r="K168" s="21">
        <f t="shared" si="132"/>
        <v>0</v>
      </c>
      <c r="L168" s="21">
        <f t="shared" si="132"/>
        <v>0</v>
      </c>
      <c r="M168" s="21">
        <f t="shared" si="132"/>
        <v>0</v>
      </c>
      <c r="N168" s="21">
        <f t="shared" si="132"/>
        <v>0</v>
      </c>
      <c r="O168" s="21">
        <f t="shared" si="132"/>
        <v>0</v>
      </c>
      <c r="P168" s="21">
        <f t="shared" si="132"/>
        <v>0</v>
      </c>
      <c r="Q168" s="21">
        <f t="shared" si="132"/>
        <v>0</v>
      </c>
      <c r="R168" s="21">
        <f t="shared" si="132"/>
        <v>0</v>
      </c>
      <c r="S168" s="21">
        <f t="shared" si="132"/>
        <v>0</v>
      </c>
      <c r="T168" s="21">
        <f t="shared" si="132"/>
        <v>0</v>
      </c>
      <c r="U168" s="21">
        <f t="shared" si="132"/>
        <v>0</v>
      </c>
      <c r="V168" s="21">
        <f t="shared" si="132"/>
        <v>0</v>
      </c>
      <c r="W168" s="21">
        <f t="shared" si="132"/>
        <v>0</v>
      </c>
      <c r="X168" s="21">
        <f t="shared" si="132"/>
        <v>0</v>
      </c>
      <c r="Y168" s="21">
        <f t="shared" si="132"/>
        <v>0</v>
      </c>
      <c r="Z168" s="21">
        <f t="shared" si="132"/>
        <v>0</v>
      </c>
      <c r="AA168" s="21">
        <f t="shared" si="132"/>
        <v>0</v>
      </c>
      <c r="AB168" s="21">
        <f t="shared" si="132"/>
        <v>0</v>
      </c>
      <c r="AC168" s="21">
        <f t="shared" si="132"/>
        <v>0</v>
      </c>
      <c r="AD168" s="21">
        <f t="shared" si="132"/>
        <v>0</v>
      </c>
      <c r="AE168" s="21">
        <f t="shared" si="132"/>
        <v>0</v>
      </c>
      <c r="AF168" s="21">
        <f t="shared" si="132"/>
        <v>0</v>
      </c>
      <c r="AG168" s="21">
        <f t="shared" si="132"/>
        <v>0</v>
      </c>
      <c r="AH168" s="21">
        <f t="shared" si="132"/>
        <v>0</v>
      </c>
      <c r="AI168" s="21">
        <f t="shared" ref="AI168:BA168" si="133">(AI114*(kwh_per_gal_drnk_water+kwh_per_gal_waste_water))+(AI141*kwh_per_gal_drnk_water)</f>
        <v>0</v>
      </c>
      <c r="AJ168" s="21">
        <f t="shared" si="133"/>
        <v>0</v>
      </c>
      <c r="AK168" s="21">
        <f t="shared" si="133"/>
        <v>0</v>
      </c>
      <c r="AL168" s="21">
        <f t="shared" si="133"/>
        <v>0</v>
      </c>
      <c r="AM168" s="21">
        <f t="shared" si="133"/>
        <v>0</v>
      </c>
      <c r="AN168" s="21">
        <f t="shared" si="133"/>
        <v>0</v>
      </c>
      <c r="AO168" s="21">
        <f t="shared" si="133"/>
        <v>0</v>
      </c>
      <c r="AP168" s="21">
        <f t="shared" si="133"/>
        <v>0</v>
      </c>
      <c r="AQ168" s="21">
        <f t="shared" si="133"/>
        <v>0</v>
      </c>
      <c r="AR168" s="21">
        <f t="shared" si="133"/>
        <v>0</v>
      </c>
      <c r="AS168" s="21">
        <f t="shared" si="133"/>
        <v>0</v>
      </c>
      <c r="AT168" s="21">
        <f t="shared" si="133"/>
        <v>0</v>
      </c>
      <c r="AU168" s="21">
        <f t="shared" si="133"/>
        <v>0</v>
      </c>
      <c r="AV168" s="21">
        <f t="shared" si="133"/>
        <v>0</v>
      </c>
      <c r="AW168" s="21">
        <f t="shared" si="133"/>
        <v>0</v>
      </c>
      <c r="AX168" s="21">
        <f t="shared" si="133"/>
        <v>0</v>
      </c>
      <c r="AY168" s="21">
        <f t="shared" si="133"/>
        <v>0</v>
      </c>
      <c r="AZ168" s="21">
        <f t="shared" si="133"/>
        <v>0</v>
      </c>
      <c r="BA168" s="21">
        <f t="shared" si="133"/>
        <v>0</v>
      </c>
      <c r="BB168" s="21">
        <f t="shared" si="93"/>
        <v>0</v>
      </c>
    </row>
    <row r="169" spans="1:54">
      <c r="A169" s="456"/>
      <c r="B169" s="226">
        <v>2028</v>
      </c>
      <c r="C169" s="21">
        <f t="shared" ref="C169:AH169" si="134">(C115*(kwh_per_gal_drnk_water+kwh_per_gal_waste_water))+(C142*kwh_per_gal_drnk_water)</f>
        <v>0</v>
      </c>
      <c r="D169" s="21">
        <f t="shared" si="134"/>
        <v>0</v>
      </c>
      <c r="E169" s="21">
        <f t="shared" si="134"/>
        <v>0</v>
      </c>
      <c r="F169" s="21">
        <f t="shared" si="134"/>
        <v>0</v>
      </c>
      <c r="G169" s="21">
        <f t="shared" si="134"/>
        <v>0</v>
      </c>
      <c r="H169" s="21">
        <f t="shared" si="134"/>
        <v>0</v>
      </c>
      <c r="I169" s="21">
        <f t="shared" si="134"/>
        <v>0</v>
      </c>
      <c r="J169" s="21">
        <f t="shared" si="134"/>
        <v>0</v>
      </c>
      <c r="K169" s="21">
        <f t="shared" si="134"/>
        <v>0</v>
      </c>
      <c r="L169" s="21">
        <f t="shared" si="134"/>
        <v>0</v>
      </c>
      <c r="M169" s="21">
        <f t="shared" si="134"/>
        <v>0</v>
      </c>
      <c r="N169" s="21">
        <f t="shared" si="134"/>
        <v>0</v>
      </c>
      <c r="O169" s="21">
        <f t="shared" si="134"/>
        <v>0</v>
      </c>
      <c r="P169" s="21">
        <f t="shared" si="134"/>
        <v>0</v>
      </c>
      <c r="Q169" s="21">
        <f t="shared" si="134"/>
        <v>0</v>
      </c>
      <c r="R169" s="21">
        <f t="shared" si="134"/>
        <v>0</v>
      </c>
      <c r="S169" s="21">
        <f t="shared" si="134"/>
        <v>0</v>
      </c>
      <c r="T169" s="21">
        <f t="shared" si="134"/>
        <v>0</v>
      </c>
      <c r="U169" s="21">
        <f t="shared" si="134"/>
        <v>0</v>
      </c>
      <c r="V169" s="21">
        <f t="shared" si="134"/>
        <v>0</v>
      </c>
      <c r="W169" s="21">
        <f t="shared" si="134"/>
        <v>0</v>
      </c>
      <c r="X169" s="21">
        <f t="shared" si="134"/>
        <v>0</v>
      </c>
      <c r="Y169" s="21">
        <f t="shared" si="134"/>
        <v>0</v>
      </c>
      <c r="Z169" s="21">
        <f t="shared" si="134"/>
        <v>0</v>
      </c>
      <c r="AA169" s="21">
        <f t="shared" si="134"/>
        <v>0</v>
      </c>
      <c r="AB169" s="21">
        <f t="shared" si="134"/>
        <v>0</v>
      </c>
      <c r="AC169" s="21">
        <f t="shared" si="134"/>
        <v>0</v>
      </c>
      <c r="AD169" s="21">
        <f t="shared" si="134"/>
        <v>0</v>
      </c>
      <c r="AE169" s="21">
        <f t="shared" si="134"/>
        <v>0</v>
      </c>
      <c r="AF169" s="21">
        <f t="shared" si="134"/>
        <v>0</v>
      </c>
      <c r="AG169" s="21">
        <f t="shared" si="134"/>
        <v>0</v>
      </c>
      <c r="AH169" s="21">
        <f t="shared" si="134"/>
        <v>0</v>
      </c>
      <c r="AI169" s="21">
        <f t="shared" ref="AI169:BA169" si="135">(AI115*(kwh_per_gal_drnk_water+kwh_per_gal_waste_water))+(AI142*kwh_per_gal_drnk_water)</f>
        <v>0</v>
      </c>
      <c r="AJ169" s="21">
        <f t="shared" si="135"/>
        <v>0</v>
      </c>
      <c r="AK169" s="21">
        <f t="shared" si="135"/>
        <v>0</v>
      </c>
      <c r="AL169" s="21">
        <f t="shared" si="135"/>
        <v>0</v>
      </c>
      <c r="AM169" s="21">
        <f t="shared" si="135"/>
        <v>0</v>
      </c>
      <c r="AN169" s="21">
        <f t="shared" si="135"/>
        <v>0</v>
      </c>
      <c r="AO169" s="21">
        <f t="shared" si="135"/>
        <v>0</v>
      </c>
      <c r="AP169" s="21">
        <f t="shared" si="135"/>
        <v>0</v>
      </c>
      <c r="AQ169" s="21">
        <f t="shared" si="135"/>
        <v>0</v>
      </c>
      <c r="AR169" s="21">
        <f t="shared" si="135"/>
        <v>0</v>
      </c>
      <c r="AS169" s="21">
        <f t="shared" si="135"/>
        <v>0</v>
      </c>
      <c r="AT169" s="21">
        <f t="shared" si="135"/>
        <v>0</v>
      </c>
      <c r="AU169" s="21">
        <f t="shared" si="135"/>
        <v>0</v>
      </c>
      <c r="AV169" s="21">
        <f t="shared" si="135"/>
        <v>0</v>
      </c>
      <c r="AW169" s="21">
        <f t="shared" si="135"/>
        <v>0</v>
      </c>
      <c r="AX169" s="21">
        <f t="shared" si="135"/>
        <v>0</v>
      </c>
      <c r="AY169" s="21">
        <f t="shared" si="135"/>
        <v>0</v>
      </c>
      <c r="AZ169" s="21">
        <f t="shared" si="135"/>
        <v>0</v>
      </c>
      <c r="BA169" s="21">
        <f t="shared" si="135"/>
        <v>0</v>
      </c>
      <c r="BB169" s="21">
        <f t="shared" si="93"/>
        <v>0</v>
      </c>
    </row>
    <row r="170" spans="1:54">
      <c r="A170" s="456"/>
      <c r="B170" s="228">
        <v>2029</v>
      </c>
      <c r="C170" s="21">
        <f t="shared" ref="C170:AH170" si="136">(C116*(kwh_per_gal_drnk_water+kwh_per_gal_waste_water))+(C143*kwh_per_gal_drnk_water)</f>
        <v>0</v>
      </c>
      <c r="D170" s="21">
        <f t="shared" si="136"/>
        <v>0</v>
      </c>
      <c r="E170" s="21">
        <f t="shared" si="136"/>
        <v>0</v>
      </c>
      <c r="F170" s="21">
        <f t="shared" si="136"/>
        <v>0</v>
      </c>
      <c r="G170" s="21">
        <f t="shared" si="136"/>
        <v>0</v>
      </c>
      <c r="H170" s="21">
        <f t="shared" si="136"/>
        <v>0</v>
      </c>
      <c r="I170" s="21">
        <f t="shared" si="136"/>
        <v>0</v>
      </c>
      <c r="J170" s="21">
        <f t="shared" si="136"/>
        <v>0</v>
      </c>
      <c r="K170" s="21">
        <f t="shared" si="136"/>
        <v>0</v>
      </c>
      <c r="L170" s="21">
        <f t="shared" si="136"/>
        <v>0</v>
      </c>
      <c r="M170" s="21">
        <f t="shared" si="136"/>
        <v>0</v>
      </c>
      <c r="N170" s="21">
        <f t="shared" si="136"/>
        <v>0</v>
      </c>
      <c r="O170" s="21">
        <f t="shared" si="136"/>
        <v>0</v>
      </c>
      <c r="P170" s="21">
        <f t="shared" si="136"/>
        <v>0</v>
      </c>
      <c r="Q170" s="21">
        <f t="shared" si="136"/>
        <v>0</v>
      </c>
      <c r="R170" s="21">
        <f t="shared" si="136"/>
        <v>0</v>
      </c>
      <c r="S170" s="21">
        <f t="shared" si="136"/>
        <v>0</v>
      </c>
      <c r="T170" s="21">
        <f t="shared" si="136"/>
        <v>0</v>
      </c>
      <c r="U170" s="21">
        <f t="shared" si="136"/>
        <v>0</v>
      </c>
      <c r="V170" s="21">
        <f t="shared" si="136"/>
        <v>0</v>
      </c>
      <c r="W170" s="21">
        <f t="shared" si="136"/>
        <v>0</v>
      </c>
      <c r="X170" s="21">
        <f t="shared" si="136"/>
        <v>0</v>
      </c>
      <c r="Y170" s="21">
        <f t="shared" si="136"/>
        <v>0</v>
      </c>
      <c r="Z170" s="21">
        <f t="shared" si="136"/>
        <v>0</v>
      </c>
      <c r="AA170" s="21">
        <f t="shared" si="136"/>
        <v>0</v>
      </c>
      <c r="AB170" s="21">
        <f t="shared" si="136"/>
        <v>0</v>
      </c>
      <c r="AC170" s="21">
        <f t="shared" si="136"/>
        <v>0</v>
      </c>
      <c r="AD170" s="21">
        <f t="shared" si="136"/>
        <v>0</v>
      </c>
      <c r="AE170" s="21">
        <f t="shared" si="136"/>
        <v>0</v>
      </c>
      <c r="AF170" s="21">
        <f t="shared" si="136"/>
        <v>0</v>
      </c>
      <c r="AG170" s="21">
        <f t="shared" si="136"/>
        <v>0</v>
      </c>
      <c r="AH170" s="21">
        <f t="shared" si="136"/>
        <v>0</v>
      </c>
      <c r="AI170" s="21">
        <f t="shared" ref="AI170:BA170" si="137">(AI116*(kwh_per_gal_drnk_water+kwh_per_gal_waste_water))+(AI143*kwh_per_gal_drnk_water)</f>
        <v>0</v>
      </c>
      <c r="AJ170" s="21">
        <f t="shared" si="137"/>
        <v>0</v>
      </c>
      <c r="AK170" s="21">
        <f t="shared" si="137"/>
        <v>0</v>
      </c>
      <c r="AL170" s="21">
        <f t="shared" si="137"/>
        <v>0</v>
      </c>
      <c r="AM170" s="21">
        <f t="shared" si="137"/>
        <v>0</v>
      </c>
      <c r="AN170" s="21">
        <f t="shared" si="137"/>
        <v>0</v>
      </c>
      <c r="AO170" s="21">
        <f t="shared" si="137"/>
        <v>0</v>
      </c>
      <c r="AP170" s="21">
        <f t="shared" si="137"/>
        <v>0</v>
      </c>
      <c r="AQ170" s="21">
        <f t="shared" si="137"/>
        <v>0</v>
      </c>
      <c r="AR170" s="21">
        <f t="shared" si="137"/>
        <v>0</v>
      </c>
      <c r="AS170" s="21">
        <f t="shared" si="137"/>
        <v>0</v>
      </c>
      <c r="AT170" s="21">
        <f t="shared" si="137"/>
        <v>0</v>
      </c>
      <c r="AU170" s="21">
        <f t="shared" si="137"/>
        <v>0</v>
      </c>
      <c r="AV170" s="21">
        <f t="shared" si="137"/>
        <v>0</v>
      </c>
      <c r="AW170" s="21">
        <f t="shared" si="137"/>
        <v>0</v>
      </c>
      <c r="AX170" s="21">
        <f t="shared" si="137"/>
        <v>0</v>
      </c>
      <c r="AY170" s="21">
        <f t="shared" si="137"/>
        <v>0</v>
      </c>
      <c r="AZ170" s="21">
        <f t="shared" si="137"/>
        <v>0</v>
      </c>
      <c r="BA170" s="21">
        <f t="shared" si="137"/>
        <v>0</v>
      </c>
      <c r="BB170" s="21">
        <f t="shared" si="93"/>
        <v>0</v>
      </c>
    </row>
    <row r="171" spans="1:54">
      <c r="A171" s="456"/>
      <c r="B171" s="226">
        <v>2030</v>
      </c>
      <c r="C171" s="21">
        <f t="shared" ref="C171:AH171" si="138">(C117*(kwh_per_gal_drnk_water+kwh_per_gal_waste_water))+(C144*kwh_per_gal_drnk_water)</f>
        <v>0</v>
      </c>
      <c r="D171" s="21">
        <f t="shared" si="138"/>
        <v>0</v>
      </c>
      <c r="E171" s="21">
        <f t="shared" si="138"/>
        <v>0</v>
      </c>
      <c r="F171" s="21">
        <f t="shared" si="138"/>
        <v>0</v>
      </c>
      <c r="G171" s="21">
        <f t="shared" si="138"/>
        <v>0</v>
      </c>
      <c r="H171" s="21">
        <f t="shared" si="138"/>
        <v>0</v>
      </c>
      <c r="I171" s="21">
        <f t="shared" si="138"/>
        <v>0</v>
      </c>
      <c r="J171" s="21">
        <f t="shared" si="138"/>
        <v>0</v>
      </c>
      <c r="K171" s="21">
        <f t="shared" si="138"/>
        <v>0</v>
      </c>
      <c r="L171" s="21">
        <f t="shared" si="138"/>
        <v>0</v>
      </c>
      <c r="M171" s="21">
        <f t="shared" si="138"/>
        <v>0</v>
      </c>
      <c r="N171" s="21">
        <f t="shared" si="138"/>
        <v>0</v>
      </c>
      <c r="O171" s="21">
        <f t="shared" si="138"/>
        <v>0</v>
      </c>
      <c r="P171" s="21">
        <f t="shared" si="138"/>
        <v>0</v>
      </c>
      <c r="Q171" s="21">
        <f t="shared" si="138"/>
        <v>0</v>
      </c>
      <c r="R171" s="21">
        <f t="shared" si="138"/>
        <v>0</v>
      </c>
      <c r="S171" s="21">
        <f t="shared" si="138"/>
        <v>0</v>
      </c>
      <c r="T171" s="21">
        <f t="shared" si="138"/>
        <v>0</v>
      </c>
      <c r="U171" s="21">
        <f t="shared" si="138"/>
        <v>0</v>
      </c>
      <c r="V171" s="21">
        <f t="shared" si="138"/>
        <v>0</v>
      </c>
      <c r="W171" s="21">
        <f t="shared" si="138"/>
        <v>0</v>
      </c>
      <c r="X171" s="21">
        <f t="shared" si="138"/>
        <v>0</v>
      </c>
      <c r="Y171" s="21">
        <f t="shared" si="138"/>
        <v>0</v>
      </c>
      <c r="Z171" s="21">
        <f t="shared" si="138"/>
        <v>0</v>
      </c>
      <c r="AA171" s="21">
        <f t="shared" si="138"/>
        <v>0</v>
      </c>
      <c r="AB171" s="21">
        <f t="shared" si="138"/>
        <v>0</v>
      </c>
      <c r="AC171" s="21">
        <f t="shared" si="138"/>
        <v>0</v>
      </c>
      <c r="AD171" s="21">
        <f t="shared" si="138"/>
        <v>0</v>
      </c>
      <c r="AE171" s="21">
        <f t="shared" si="138"/>
        <v>0</v>
      </c>
      <c r="AF171" s="21">
        <f t="shared" si="138"/>
        <v>0</v>
      </c>
      <c r="AG171" s="21">
        <f t="shared" si="138"/>
        <v>0</v>
      </c>
      <c r="AH171" s="21">
        <f t="shared" si="138"/>
        <v>0</v>
      </c>
      <c r="AI171" s="21">
        <f t="shared" ref="AI171:BA171" si="139">(AI117*(kwh_per_gal_drnk_water+kwh_per_gal_waste_water))+(AI144*kwh_per_gal_drnk_water)</f>
        <v>0</v>
      </c>
      <c r="AJ171" s="21">
        <f t="shared" si="139"/>
        <v>0</v>
      </c>
      <c r="AK171" s="21">
        <f t="shared" si="139"/>
        <v>0</v>
      </c>
      <c r="AL171" s="21">
        <f t="shared" si="139"/>
        <v>0</v>
      </c>
      <c r="AM171" s="21">
        <f t="shared" si="139"/>
        <v>0</v>
      </c>
      <c r="AN171" s="21">
        <f t="shared" si="139"/>
        <v>0</v>
      </c>
      <c r="AO171" s="21">
        <f t="shared" si="139"/>
        <v>0</v>
      </c>
      <c r="AP171" s="21">
        <f t="shared" si="139"/>
        <v>0</v>
      </c>
      <c r="AQ171" s="21">
        <f t="shared" si="139"/>
        <v>0</v>
      </c>
      <c r="AR171" s="21">
        <f t="shared" si="139"/>
        <v>0</v>
      </c>
      <c r="AS171" s="21">
        <f t="shared" si="139"/>
        <v>0</v>
      </c>
      <c r="AT171" s="21">
        <f t="shared" si="139"/>
        <v>0</v>
      </c>
      <c r="AU171" s="21">
        <f t="shared" si="139"/>
        <v>0</v>
      </c>
      <c r="AV171" s="21">
        <f t="shared" si="139"/>
        <v>0</v>
      </c>
      <c r="AW171" s="21">
        <f t="shared" si="139"/>
        <v>0</v>
      </c>
      <c r="AX171" s="21">
        <f t="shared" si="139"/>
        <v>0</v>
      </c>
      <c r="AY171" s="21">
        <f t="shared" si="139"/>
        <v>0</v>
      </c>
      <c r="AZ171" s="21">
        <f t="shared" si="139"/>
        <v>0</v>
      </c>
      <c r="BA171" s="21">
        <f t="shared" si="139"/>
        <v>0</v>
      </c>
      <c r="BB171" s="21">
        <f t="shared" si="93"/>
        <v>0</v>
      </c>
    </row>
    <row r="172" spans="1:54" s="63" customFormat="1"/>
    <row r="173" spans="1:54">
      <c r="A173" s="456" t="s">
        <v>412</v>
      </c>
      <c r="B173" s="226" t="s">
        <v>225</v>
      </c>
      <c r="C173" t="str">
        <f>C146</f>
        <v>AL</v>
      </c>
      <c r="D173" t="str">
        <f t="shared" ref="D173:BA173" si="140">D146</f>
        <v>AK</v>
      </c>
      <c r="E173" t="str">
        <f t="shared" si="140"/>
        <v>AZ</v>
      </c>
      <c r="F173" t="str">
        <f t="shared" si="140"/>
        <v>AR</v>
      </c>
      <c r="G173" t="str">
        <f t="shared" si="140"/>
        <v>CA</v>
      </c>
      <c r="H173" t="str">
        <f t="shared" si="140"/>
        <v>CO</v>
      </c>
      <c r="I173" t="str">
        <f t="shared" si="140"/>
        <v>CT</v>
      </c>
      <c r="J173" t="str">
        <f t="shared" si="140"/>
        <v>DE</v>
      </c>
      <c r="K173" t="str">
        <f t="shared" si="140"/>
        <v>DC</v>
      </c>
      <c r="L173" t="str">
        <f t="shared" si="140"/>
        <v>FL</v>
      </c>
      <c r="M173" t="str">
        <f t="shared" si="140"/>
        <v>GA</v>
      </c>
      <c r="N173" t="str">
        <f t="shared" si="140"/>
        <v>HI</v>
      </c>
      <c r="O173" t="str">
        <f t="shared" si="140"/>
        <v>ID</v>
      </c>
      <c r="P173" t="str">
        <f t="shared" si="140"/>
        <v>IL</v>
      </c>
      <c r="Q173" t="str">
        <f t="shared" si="140"/>
        <v>IN</v>
      </c>
      <c r="R173" t="str">
        <f t="shared" si="140"/>
        <v>IA</v>
      </c>
      <c r="S173" t="str">
        <f t="shared" si="140"/>
        <v>KS</v>
      </c>
      <c r="T173" t="str">
        <f t="shared" si="140"/>
        <v>KY</v>
      </c>
      <c r="U173" t="str">
        <f t="shared" si="140"/>
        <v>LA</v>
      </c>
      <c r="V173" t="str">
        <f t="shared" si="140"/>
        <v>ME</v>
      </c>
      <c r="W173" t="str">
        <f t="shared" si="140"/>
        <v>MD</v>
      </c>
      <c r="X173" t="str">
        <f t="shared" si="140"/>
        <v>MA</v>
      </c>
      <c r="Y173" t="str">
        <f t="shared" si="140"/>
        <v>MI</v>
      </c>
      <c r="Z173" t="str">
        <f t="shared" si="140"/>
        <v>MN</v>
      </c>
      <c r="AA173" t="str">
        <f t="shared" si="140"/>
        <v>MS</v>
      </c>
      <c r="AB173" t="str">
        <f t="shared" si="140"/>
        <v>MO</v>
      </c>
      <c r="AC173" t="str">
        <f t="shared" si="140"/>
        <v>MT</v>
      </c>
      <c r="AD173" t="str">
        <f t="shared" si="140"/>
        <v>NE</v>
      </c>
      <c r="AE173" t="str">
        <f t="shared" si="140"/>
        <v>NV</v>
      </c>
      <c r="AF173" t="str">
        <f t="shared" si="140"/>
        <v>NH</v>
      </c>
      <c r="AG173" t="str">
        <f t="shared" si="140"/>
        <v>NJ</v>
      </c>
      <c r="AH173" t="str">
        <f t="shared" si="140"/>
        <v>NM</v>
      </c>
      <c r="AI173" t="str">
        <f t="shared" si="140"/>
        <v>NY</v>
      </c>
      <c r="AJ173" t="str">
        <f t="shared" si="140"/>
        <v>NC</v>
      </c>
      <c r="AK173" t="str">
        <f t="shared" si="140"/>
        <v>ND</v>
      </c>
      <c r="AL173" t="str">
        <f t="shared" si="140"/>
        <v>OH</v>
      </c>
      <c r="AM173" t="str">
        <f t="shared" si="140"/>
        <v>OK</v>
      </c>
      <c r="AN173" t="str">
        <f t="shared" si="140"/>
        <v>OR</v>
      </c>
      <c r="AO173" t="str">
        <f t="shared" si="140"/>
        <v>PA</v>
      </c>
      <c r="AP173" t="str">
        <f t="shared" si="140"/>
        <v>RI</v>
      </c>
      <c r="AQ173" t="str">
        <f t="shared" si="140"/>
        <v>SC</v>
      </c>
      <c r="AR173" t="str">
        <f t="shared" si="140"/>
        <v>SD</v>
      </c>
      <c r="AS173" t="str">
        <f t="shared" si="140"/>
        <v>TN</v>
      </c>
      <c r="AT173" t="str">
        <f t="shared" si="140"/>
        <v>TX</v>
      </c>
      <c r="AU173" t="str">
        <f t="shared" si="140"/>
        <v>UT</v>
      </c>
      <c r="AV173" t="str">
        <f t="shared" si="140"/>
        <v>VT</v>
      </c>
      <c r="AW173" t="str">
        <f t="shared" si="140"/>
        <v>VA</v>
      </c>
      <c r="AX173" t="str">
        <f t="shared" si="140"/>
        <v>WA</v>
      </c>
      <c r="AY173" t="str">
        <f t="shared" si="140"/>
        <v>WV</v>
      </c>
      <c r="AZ173" t="str">
        <f t="shared" si="140"/>
        <v>WI</v>
      </c>
      <c r="BA173" t="str">
        <f t="shared" si="140"/>
        <v>WY</v>
      </c>
      <c r="BB173" t="s">
        <v>96</v>
      </c>
    </row>
    <row r="174" spans="1:54">
      <c r="A174" s="456"/>
      <c r="B174" s="226" t="s">
        <v>11</v>
      </c>
    </row>
    <row r="175" spans="1:54">
      <c r="A175" s="456"/>
      <c r="B175" s="228">
        <v>2007</v>
      </c>
      <c r="C175" s="21">
        <f t="shared" ref="C175:AH175" si="141">C40*gallons_hot_home_saved</f>
        <v>0</v>
      </c>
      <c r="D175" s="21">
        <f t="shared" si="141"/>
        <v>0</v>
      </c>
      <c r="E175" s="21">
        <f t="shared" si="141"/>
        <v>0</v>
      </c>
      <c r="F175" s="21">
        <f t="shared" si="141"/>
        <v>0</v>
      </c>
      <c r="G175" s="21">
        <f t="shared" si="141"/>
        <v>0</v>
      </c>
      <c r="H175" s="21">
        <f t="shared" si="141"/>
        <v>0</v>
      </c>
      <c r="I175" s="21">
        <f t="shared" si="141"/>
        <v>0</v>
      </c>
      <c r="J175" s="21">
        <f t="shared" si="141"/>
        <v>0</v>
      </c>
      <c r="K175" s="21">
        <f t="shared" si="141"/>
        <v>0</v>
      </c>
      <c r="L175" s="21">
        <f t="shared" si="141"/>
        <v>0</v>
      </c>
      <c r="M175" s="21">
        <f t="shared" si="141"/>
        <v>0</v>
      </c>
      <c r="N175" s="21">
        <f t="shared" si="141"/>
        <v>0</v>
      </c>
      <c r="O175" s="21">
        <f t="shared" si="141"/>
        <v>0</v>
      </c>
      <c r="P175" s="21">
        <f t="shared" si="141"/>
        <v>0</v>
      </c>
      <c r="Q175" s="21">
        <f t="shared" si="141"/>
        <v>0</v>
      </c>
      <c r="R175" s="21">
        <f t="shared" si="141"/>
        <v>0</v>
      </c>
      <c r="S175" s="21">
        <f t="shared" si="141"/>
        <v>0</v>
      </c>
      <c r="T175" s="21">
        <f t="shared" si="141"/>
        <v>0</v>
      </c>
      <c r="U175" s="21">
        <f t="shared" si="141"/>
        <v>0</v>
      </c>
      <c r="V175" s="21">
        <f t="shared" si="141"/>
        <v>0</v>
      </c>
      <c r="W175" s="21">
        <f t="shared" si="141"/>
        <v>0</v>
      </c>
      <c r="X175" s="21">
        <f t="shared" si="141"/>
        <v>0</v>
      </c>
      <c r="Y175" s="21">
        <f t="shared" si="141"/>
        <v>0</v>
      </c>
      <c r="Z175" s="21">
        <f t="shared" si="141"/>
        <v>0</v>
      </c>
      <c r="AA175" s="21">
        <f t="shared" si="141"/>
        <v>0</v>
      </c>
      <c r="AB175" s="21">
        <f t="shared" si="141"/>
        <v>0</v>
      </c>
      <c r="AC175" s="21">
        <f t="shared" si="141"/>
        <v>0</v>
      </c>
      <c r="AD175" s="21">
        <f t="shared" si="141"/>
        <v>0</v>
      </c>
      <c r="AE175" s="21">
        <f t="shared" si="141"/>
        <v>0</v>
      </c>
      <c r="AF175" s="21">
        <f t="shared" si="141"/>
        <v>0</v>
      </c>
      <c r="AG175" s="21">
        <f t="shared" si="141"/>
        <v>0</v>
      </c>
      <c r="AH175" s="21">
        <f t="shared" si="141"/>
        <v>0</v>
      </c>
      <c r="AI175" s="21">
        <f t="shared" ref="AI175:BA175" si="142">AI40*gallons_hot_home_saved</f>
        <v>0</v>
      </c>
      <c r="AJ175" s="21">
        <f t="shared" si="142"/>
        <v>0</v>
      </c>
      <c r="AK175" s="21">
        <f t="shared" si="142"/>
        <v>0</v>
      </c>
      <c r="AL175" s="21">
        <f t="shared" si="142"/>
        <v>0</v>
      </c>
      <c r="AM175" s="21">
        <f t="shared" si="142"/>
        <v>0</v>
      </c>
      <c r="AN175" s="21">
        <f t="shared" si="142"/>
        <v>0</v>
      </c>
      <c r="AO175" s="21">
        <f t="shared" si="142"/>
        <v>0</v>
      </c>
      <c r="AP175" s="21">
        <f t="shared" si="142"/>
        <v>0</v>
      </c>
      <c r="AQ175" s="21">
        <f t="shared" si="142"/>
        <v>0</v>
      </c>
      <c r="AR175" s="21">
        <f t="shared" si="142"/>
        <v>0</v>
      </c>
      <c r="AS175" s="21">
        <f t="shared" si="142"/>
        <v>0</v>
      </c>
      <c r="AT175" s="21">
        <f t="shared" si="142"/>
        <v>0</v>
      </c>
      <c r="AU175" s="21">
        <f t="shared" si="142"/>
        <v>0</v>
      </c>
      <c r="AV175" s="21">
        <f t="shared" si="142"/>
        <v>0</v>
      </c>
      <c r="AW175" s="21">
        <f t="shared" si="142"/>
        <v>0</v>
      </c>
      <c r="AX175" s="21">
        <f t="shared" si="142"/>
        <v>0</v>
      </c>
      <c r="AY175" s="21">
        <f t="shared" si="142"/>
        <v>0</v>
      </c>
      <c r="AZ175" s="21">
        <f t="shared" si="142"/>
        <v>0</v>
      </c>
      <c r="BA175" s="21">
        <f t="shared" si="142"/>
        <v>0</v>
      </c>
      <c r="BB175" s="21">
        <f t="shared" ref="BB175:BB198" si="143">SUM(C175:BA175)</f>
        <v>0</v>
      </c>
    </row>
    <row r="176" spans="1:54">
      <c r="A176" s="456"/>
      <c r="B176" s="226">
        <v>2008</v>
      </c>
      <c r="C176" s="21">
        <f t="shared" ref="C176:AH176" si="144">C41*gallons_hot_home_saved</f>
        <v>0</v>
      </c>
      <c r="D176" s="21">
        <f t="shared" si="144"/>
        <v>0</v>
      </c>
      <c r="E176" s="21">
        <f t="shared" si="144"/>
        <v>0</v>
      </c>
      <c r="F176" s="21">
        <f t="shared" si="144"/>
        <v>0</v>
      </c>
      <c r="G176" s="21">
        <f t="shared" si="144"/>
        <v>0</v>
      </c>
      <c r="H176" s="21">
        <f t="shared" si="144"/>
        <v>0</v>
      </c>
      <c r="I176" s="21">
        <f t="shared" si="144"/>
        <v>0</v>
      </c>
      <c r="J176" s="21">
        <f t="shared" si="144"/>
        <v>0</v>
      </c>
      <c r="K176" s="21">
        <f t="shared" si="144"/>
        <v>0</v>
      </c>
      <c r="L176" s="21">
        <f t="shared" si="144"/>
        <v>0</v>
      </c>
      <c r="M176" s="21">
        <f t="shared" si="144"/>
        <v>0</v>
      </c>
      <c r="N176" s="21">
        <f t="shared" si="144"/>
        <v>0</v>
      </c>
      <c r="O176" s="21">
        <f t="shared" si="144"/>
        <v>0</v>
      </c>
      <c r="P176" s="21">
        <f t="shared" si="144"/>
        <v>0</v>
      </c>
      <c r="Q176" s="21">
        <f t="shared" si="144"/>
        <v>0</v>
      </c>
      <c r="R176" s="21">
        <f t="shared" si="144"/>
        <v>0</v>
      </c>
      <c r="S176" s="21">
        <f t="shared" si="144"/>
        <v>0</v>
      </c>
      <c r="T176" s="21">
        <f t="shared" si="144"/>
        <v>0</v>
      </c>
      <c r="U176" s="21">
        <f t="shared" si="144"/>
        <v>0</v>
      </c>
      <c r="V176" s="21">
        <f t="shared" si="144"/>
        <v>0</v>
      </c>
      <c r="W176" s="21">
        <f t="shared" si="144"/>
        <v>0</v>
      </c>
      <c r="X176" s="21">
        <f t="shared" si="144"/>
        <v>0</v>
      </c>
      <c r="Y176" s="21">
        <f t="shared" si="144"/>
        <v>0</v>
      </c>
      <c r="Z176" s="21">
        <f t="shared" si="144"/>
        <v>0</v>
      </c>
      <c r="AA176" s="21">
        <f t="shared" si="144"/>
        <v>0</v>
      </c>
      <c r="AB176" s="21">
        <f t="shared" si="144"/>
        <v>0</v>
      </c>
      <c r="AC176" s="21">
        <f t="shared" si="144"/>
        <v>0</v>
      </c>
      <c r="AD176" s="21">
        <f t="shared" si="144"/>
        <v>0</v>
      </c>
      <c r="AE176" s="21">
        <f t="shared" si="144"/>
        <v>0</v>
      </c>
      <c r="AF176" s="21">
        <f t="shared" si="144"/>
        <v>0</v>
      </c>
      <c r="AG176" s="21">
        <f t="shared" si="144"/>
        <v>0</v>
      </c>
      <c r="AH176" s="21">
        <f t="shared" si="144"/>
        <v>0</v>
      </c>
      <c r="AI176" s="21">
        <f t="shared" ref="AI176:BA176" si="145">AI41*gallons_hot_home_saved</f>
        <v>0</v>
      </c>
      <c r="AJ176" s="21">
        <f t="shared" si="145"/>
        <v>0</v>
      </c>
      <c r="AK176" s="21">
        <f t="shared" si="145"/>
        <v>0</v>
      </c>
      <c r="AL176" s="21">
        <f t="shared" si="145"/>
        <v>0</v>
      </c>
      <c r="AM176" s="21">
        <f t="shared" si="145"/>
        <v>0</v>
      </c>
      <c r="AN176" s="21">
        <f t="shared" si="145"/>
        <v>0</v>
      </c>
      <c r="AO176" s="21">
        <f t="shared" si="145"/>
        <v>0</v>
      </c>
      <c r="AP176" s="21">
        <f t="shared" si="145"/>
        <v>0</v>
      </c>
      <c r="AQ176" s="21">
        <f t="shared" si="145"/>
        <v>0</v>
      </c>
      <c r="AR176" s="21">
        <f t="shared" si="145"/>
        <v>0</v>
      </c>
      <c r="AS176" s="21">
        <f t="shared" si="145"/>
        <v>0</v>
      </c>
      <c r="AT176" s="21">
        <f t="shared" si="145"/>
        <v>0</v>
      </c>
      <c r="AU176" s="21">
        <f t="shared" si="145"/>
        <v>0</v>
      </c>
      <c r="AV176" s="21">
        <f t="shared" si="145"/>
        <v>0</v>
      </c>
      <c r="AW176" s="21">
        <f t="shared" si="145"/>
        <v>0</v>
      </c>
      <c r="AX176" s="21">
        <f t="shared" si="145"/>
        <v>0</v>
      </c>
      <c r="AY176" s="21">
        <f t="shared" si="145"/>
        <v>0</v>
      </c>
      <c r="AZ176" s="21">
        <f t="shared" si="145"/>
        <v>0</v>
      </c>
      <c r="BA176" s="21">
        <f t="shared" si="145"/>
        <v>0</v>
      </c>
      <c r="BB176" s="21">
        <f t="shared" si="143"/>
        <v>0</v>
      </c>
    </row>
    <row r="177" spans="1:54">
      <c r="A177" s="456"/>
      <c r="B177" s="228">
        <v>2009</v>
      </c>
      <c r="C177" s="21">
        <f t="shared" ref="C177:AH177" si="146">C42*gallons_hot_home_saved</f>
        <v>0</v>
      </c>
      <c r="D177" s="21">
        <f t="shared" si="146"/>
        <v>0</v>
      </c>
      <c r="E177" s="21">
        <f t="shared" si="146"/>
        <v>0</v>
      </c>
      <c r="F177" s="21">
        <f t="shared" si="146"/>
        <v>0</v>
      </c>
      <c r="G177" s="21">
        <f t="shared" si="146"/>
        <v>0</v>
      </c>
      <c r="H177" s="21">
        <f t="shared" si="146"/>
        <v>0</v>
      </c>
      <c r="I177" s="21">
        <f t="shared" si="146"/>
        <v>0</v>
      </c>
      <c r="J177" s="21">
        <f t="shared" si="146"/>
        <v>0</v>
      </c>
      <c r="K177" s="21">
        <f t="shared" si="146"/>
        <v>0</v>
      </c>
      <c r="L177" s="21">
        <f t="shared" si="146"/>
        <v>0</v>
      </c>
      <c r="M177" s="21">
        <f t="shared" si="146"/>
        <v>0</v>
      </c>
      <c r="N177" s="21">
        <f t="shared" si="146"/>
        <v>0</v>
      </c>
      <c r="O177" s="21">
        <f t="shared" si="146"/>
        <v>0</v>
      </c>
      <c r="P177" s="21">
        <f t="shared" si="146"/>
        <v>0</v>
      </c>
      <c r="Q177" s="21">
        <f t="shared" si="146"/>
        <v>0</v>
      </c>
      <c r="R177" s="21">
        <f t="shared" si="146"/>
        <v>0</v>
      </c>
      <c r="S177" s="21">
        <f t="shared" si="146"/>
        <v>0</v>
      </c>
      <c r="T177" s="21">
        <f t="shared" si="146"/>
        <v>0</v>
      </c>
      <c r="U177" s="21">
        <f t="shared" si="146"/>
        <v>0</v>
      </c>
      <c r="V177" s="21">
        <f t="shared" si="146"/>
        <v>0</v>
      </c>
      <c r="W177" s="21">
        <f t="shared" si="146"/>
        <v>0</v>
      </c>
      <c r="X177" s="21">
        <f t="shared" si="146"/>
        <v>0</v>
      </c>
      <c r="Y177" s="21">
        <f t="shared" si="146"/>
        <v>0</v>
      </c>
      <c r="Z177" s="21">
        <f t="shared" si="146"/>
        <v>0</v>
      </c>
      <c r="AA177" s="21">
        <f t="shared" si="146"/>
        <v>0</v>
      </c>
      <c r="AB177" s="21">
        <f t="shared" si="146"/>
        <v>0</v>
      </c>
      <c r="AC177" s="21">
        <f t="shared" si="146"/>
        <v>0</v>
      </c>
      <c r="AD177" s="21">
        <f t="shared" si="146"/>
        <v>0</v>
      </c>
      <c r="AE177" s="21">
        <f t="shared" si="146"/>
        <v>0</v>
      </c>
      <c r="AF177" s="21">
        <f t="shared" si="146"/>
        <v>0</v>
      </c>
      <c r="AG177" s="21">
        <f t="shared" si="146"/>
        <v>0</v>
      </c>
      <c r="AH177" s="21">
        <f t="shared" si="146"/>
        <v>0</v>
      </c>
      <c r="AI177" s="21">
        <f t="shared" ref="AI177:BA177" si="147">AI42*gallons_hot_home_saved</f>
        <v>0</v>
      </c>
      <c r="AJ177" s="21">
        <f t="shared" si="147"/>
        <v>0</v>
      </c>
      <c r="AK177" s="21">
        <f t="shared" si="147"/>
        <v>0</v>
      </c>
      <c r="AL177" s="21">
        <f t="shared" si="147"/>
        <v>0</v>
      </c>
      <c r="AM177" s="21">
        <f t="shared" si="147"/>
        <v>0</v>
      </c>
      <c r="AN177" s="21">
        <f t="shared" si="147"/>
        <v>0</v>
      </c>
      <c r="AO177" s="21">
        <f t="shared" si="147"/>
        <v>0</v>
      </c>
      <c r="AP177" s="21">
        <f t="shared" si="147"/>
        <v>0</v>
      </c>
      <c r="AQ177" s="21">
        <f t="shared" si="147"/>
        <v>0</v>
      </c>
      <c r="AR177" s="21">
        <f t="shared" si="147"/>
        <v>0</v>
      </c>
      <c r="AS177" s="21">
        <f t="shared" si="147"/>
        <v>0</v>
      </c>
      <c r="AT177" s="21">
        <f t="shared" si="147"/>
        <v>0</v>
      </c>
      <c r="AU177" s="21">
        <f t="shared" si="147"/>
        <v>0</v>
      </c>
      <c r="AV177" s="21">
        <f t="shared" si="147"/>
        <v>0</v>
      </c>
      <c r="AW177" s="21">
        <f t="shared" si="147"/>
        <v>0</v>
      </c>
      <c r="AX177" s="21">
        <f t="shared" si="147"/>
        <v>0</v>
      </c>
      <c r="AY177" s="21">
        <f t="shared" si="147"/>
        <v>0</v>
      </c>
      <c r="AZ177" s="21">
        <f t="shared" si="147"/>
        <v>0</v>
      </c>
      <c r="BA177" s="21">
        <f t="shared" si="147"/>
        <v>0</v>
      </c>
      <c r="BB177" s="21">
        <f t="shared" si="143"/>
        <v>0</v>
      </c>
    </row>
    <row r="178" spans="1:54">
      <c r="A178" s="456"/>
      <c r="B178" s="226">
        <v>2010</v>
      </c>
      <c r="C178" s="21">
        <f t="shared" ref="C178:AH178" si="148">C43*gallons_hot_home_saved</f>
        <v>0</v>
      </c>
      <c r="D178" s="21">
        <f t="shared" si="148"/>
        <v>0</v>
      </c>
      <c r="E178" s="21">
        <f t="shared" si="148"/>
        <v>0</v>
      </c>
      <c r="F178" s="21">
        <f t="shared" si="148"/>
        <v>0</v>
      </c>
      <c r="G178" s="21">
        <f t="shared" si="148"/>
        <v>0</v>
      </c>
      <c r="H178" s="21">
        <f t="shared" si="148"/>
        <v>0</v>
      </c>
      <c r="I178" s="21">
        <f t="shared" si="148"/>
        <v>0</v>
      </c>
      <c r="J178" s="21">
        <f t="shared" si="148"/>
        <v>0</v>
      </c>
      <c r="K178" s="21">
        <f t="shared" si="148"/>
        <v>0</v>
      </c>
      <c r="L178" s="21">
        <f t="shared" si="148"/>
        <v>0</v>
      </c>
      <c r="M178" s="21">
        <f t="shared" si="148"/>
        <v>0</v>
      </c>
      <c r="N178" s="21">
        <f t="shared" si="148"/>
        <v>0</v>
      </c>
      <c r="O178" s="21">
        <f t="shared" si="148"/>
        <v>0</v>
      </c>
      <c r="P178" s="21">
        <f t="shared" si="148"/>
        <v>0</v>
      </c>
      <c r="Q178" s="21">
        <f t="shared" si="148"/>
        <v>0</v>
      </c>
      <c r="R178" s="21">
        <f t="shared" si="148"/>
        <v>0</v>
      </c>
      <c r="S178" s="21">
        <f t="shared" si="148"/>
        <v>0</v>
      </c>
      <c r="T178" s="21">
        <f t="shared" si="148"/>
        <v>0</v>
      </c>
      <c r="U178" s="21">
        <f t="shared" si="148"/>
        <v>0</v>
      </c>
      <c r="V178" s="21">
        <f t="shared" si="148"/>
        <v>0</v>
      </c>
      <c r="W178" s="21">
        <f t="shared" si="148"/>
        <v>0</v>
      </c>
      <c r="X178" s="21">
        <f t="shared" si="148"/>
        <v>0</v>
      </c>
      <c r="Y178" s="21">
        <f t="shared" si="148"/>
        <v>0</v>
      </c>
      <c r="Z178" s="21">
        <f t="shared" si="148"/>
        <v>0</v>
      </c>
      <c r="AA178" s="21">
        <f t="shared" si="148"/>
        <v>0</v>
      </c>
      <c r="AB178" s="21">
        <f t="shared" si="148"/>
        <v>0</v>
      </c>
      <c r="AC178" s="21">
        <f t="shared" si="148"/>
        <v>0</v>
      </c>
      <c r="AD178" s="21">
        <f t="shared" si="148"/>
        <v>0</v>
      </c>
      <c r="AE178" s="21">
        <f t="shared" si="148"/>
        <v>0</v>
      </c>
      <c r="AF178" s="21">
        <f t="shared" si="148"/>
        <v>0</v>
      </c>
      <c r="AG178" s="21">
        <f t="shared" si="148"/>
        <v>0</v>
      </c>
      <c r="AH178" s="21">
        <f t="shared" si="148"/>
        <v>0</v>
      </c>
      <c r="AI178" s="21">
        <f t="shared" ref="AI178:BA178" si="149">AI43*gallons_hot_home_saved</f>
        <v>0</v>
      </c>
      <c r="AJ178" s="21">
        <f t="shared" si="149"/>
        <v>0</v>
      </c>
      <c r="AK178" s="21">
        <f t="shared" si="149"/>
        <v>0</v>
      </c>
      <c r="AL178" s="21">
        <f t="shared" si="149"/>
        <v>0</v>
      </c>
      <c r="AM178" s="21">
        <f t="shared" si="149"/>
        <v>0</v>
      </c>
      <c r="AN178" s="21">
        <f t="shared" si="149"/>
        <v>0</v>
      </c>
      <c r="AO178" s="21">
        <f t="shared" si="149"/>
        <v>0</v>
      </c>
      <c r="AP178" s="21">
        <f t="shared" si="149"/>
        <v>0</v>
      </c>
      <c r="AQ178" s="21">
        <f t="shared" si="149"/>
        <v>0</v>
      </c>
      <c r="AR178" s="21">
        <f t="shared" si="149"/>
        <v>0</v>
      </c>
      <c r="AS178" s="21">
        <f t="shared" si="149"/>
        <v>0</v>
      </c>
      <c r="AT178" s="21">
        <f t="shared" si="149"/>
        <v>0</v>
      </c>
      <c r="AU178" s="21">
        <f t="shared" si="149"/>
        <v>0</v>
      </c>
      <c r="AV178" s="21">
        <f t="shared" si="149"/>
        <v>0</v>
      </c>
      <c r="AW178" s="21">
        <f t="shared" si="149"/>
        <v>0</v>
      </c>
      <c r="AX178" s="21">
        <f t="shared" si="149"/>
        <v>0</v>
      </c>
      <c r="AY178" s="21">
        <f t="shared" si="149"/>
        <v>0</v>
      </c>
      <c r="AZ178" s="21">
        <f t="shared" si="149"/>
        <v>0</v>
      </c>
      <c r="BA178" s="21">
        <f t="shared" si="149"/>
        <v>0</v>
      </c>
      <c r="BB178" s="21">
        <f t="shared" si="143"/>
        <v>0</v>
      </c>
    </row>
    <row r="179" spans="1:54">
      <c r="A179" s="456"/>
      <c r="B179" s="228">
        <v>2011</v>
      </c>
      <c r="C179" s="21">
        <f t="shared" ref="C179:AH179" si="150">C44*gallons_hot_home_saved</f>
        <v>0</v>
      </c>
      <c r="D179" s="21">
        <f t="shared" si="150"/>
        <v>0</v>
      </c>
      <c r="E179" s="21">
        <f t="shared" si="150"/>
        <v>0</v>
      </c>
      <c r="F179" s="21">
        <f t="shared" si="150"/>
        <v>0</v>
      </c>
      <c r="G179" s="21">
        <f t="shared" si="150"/>
        <v>0</v>
      </c>
      <c r="H179" s="21">
        <f t="shared" si="150"/>
        <v>0</v>
      </c>
      <c r="I179" s="21">
        <f t="shared" si="150"/>
        <v>0</v>
      </c>
      <c r="J179" s="21">
        <f t="shared" si="150"/>
        <v>0</v>
      </c>
      <c r="K179" s="21">
        <f t="shared" si="150"/>
        <v>0</v>
      </c>
      <c r="L179" s="21">
        <f t="shared" si="150"/>
        <v>0</v>
      </c>
      <c r="M179" s="21">
        <f t="shared" si="150"/>
        <v>0</v>
      </c>
      <c r="N179" s="21">
        <f t="shared" si="150"/>
        <v>0</v>
      </c>
      <c r="O179" s="21">
        <f t="shared" si="150"/>
        <v>0</v>
      </c>
      <c r="P179" s="21">
        <f t="shared" si="150"/>
        <v>0</v>
      </c>
      <c r="Q179" s="21">
        <f t="shared" si="150"/>
        <v>0</v>
      </c>
      <c r="R179" s="21">
        <f t="shared" si="150"/>
        <v>0</v>
      </c>
      <c r="S179" s="21">
        <f t="shared" si="150"/>
        <v>0</v>
      </c>
      <c r="T179" s="21">
        <f t="shared" si="150"/>
        <v>0</v>
      </c>
      <c r="U179" s="21">
        <f t="shared" si="150"/>
        <v>0</v>
      </c>
      <c r="V179" s="21">
        <f t="shared" si="150"/>
        <v>0</v>
      </c>
      <c r="W179" s="21">
        <f t="shared" si="150"/>
        <v>0</v>
      </c>
      <c r="X179" s="21">
        <f t="shared" si="150"/>
        <v>0</v>
      </c>
      <c r="Y179" s="21">
        <f t="shared" si="150"/>
        <v>0</v>
      </c>
      <c r="Z179" s="21">
        <f t="shared" si="150"/>
        <v>0</v>
      </c>
      <c r="AA179" s="21">
        <f t="shared" si="150"/>
        <v>0</v>
      </c>
      <c r="AB179" s="21">
        <f t="shared" si="150"/>
        <v>0</v>
      </c>
      <c r="AC179" s="21">
        <f t="shared" si="150"/>
        <v>0</v>
      </c>
      <c r="AD179" s="21">
        <f t="shared" si="150"/>
        <v>0</v>
      </c>
      <c r="AE179" s="21">
        <f t="shared" si="150"/>
        <v>0</v>
      </c>
      <c r="AF179" s="21">
        <f t="shared" si="150"/>
        <v>0</v>
      </c>
      <c r="AG179" s="21">
        <f t="shared" si="150"/>
        <v>0</v>
      </c>
      <c r="AH179" s="21">
        <f t="shared" si="150"/>
        <v>0</v>
      </c>
      <c r="AI179" s="21">
        <f t="shared" ref="AI179:BA179" si="151">AI44*gallons_hot_home_saved</f>
        <v>0</v>
      </c>
      <c r="AJ179" s="21">
        <f t="shared" si="151"/>
        <v>0</v>
      </c>
      <c r="AK179" s="21">
        <f t="shared" si="151"/>
        <v>0</v>
      </c>
      <c r="AL179" s="21">
        <f t="shared" si="151"/>
        <v>0</v>
      </c>
      <c r="AM179" s="21">
        <f t="shared" si="151"/>
        <v>0</v>
      </c>
      <c r="AN179" s="21">
        <f t="shared" si="151"/>
        <v>0</v>
      </c>
      <c r="AO179" s="21">
        <f t="shared" si="151"/>
        <v>0</v>
      </c>
      <c r="AP179" s="21">
        <f t="shared" si="151"/>
        <v>0</v>
      </c>
      <c r="AQ179" s="21">
        <f t="shared" si="151"/>
        <v>0</v>
      </c>
      <c r="AR179" s="21">
        <f t="shared" si="151"/>
        <v>0</v>
      </c>
      <c r="AS179" s="21">
        <f t="shared" si="151"/>
        <v>0</v>
      </c>
      <c r="AT179" s="21">
        <f t="shared" si="151"/>
        <v>0</v>
      </c>
      <c r="AU179" s="21">
        <f t="shared" si="151"/>
        <v>0</v>
      </c>
      <c r="AV179" s="21">
        <f t="shared" si="151"/>
        <v>0</v>
      </c>
      <c r="AW179" s="21">
        <f t="shared" si="151"/>
        <v>0</v>
      </c>
      <c r="AX179" s="21">
        <f t="shared" si="151"/>
        <v>0</v>
      </c>
      <c r="AY179" s="21">
        <f t="shared" si="151"/>
        <v>0</v>
      </c>
      <c r="AZ179" s="21">
        <f t="shared" si="151"/>
        <v>0</v>
      </c>
      <c r="BA179" s="21">
        <f t="shared" si="151"/>
        <v>0</v>
      </c>
      <c r="BB179" s="21">
        <f t="shared" si="143"/>
        <v>0</v>
      </c>
    </row>
    <row r="180" spans="1:54">
      <c r="A180" s="456"/>
      <c r="B180" s="226">
        <v>2012</v>
      </c>
      <c r="C180" s="21">
        <f t="shared" ref="C180:AH180" si="152">C45*gallons_hot_home_saved</f>
        <v>0</v>
      </c>
      <c r="D180" s="21">
        <f t="shared" si="152"/>
        <v>0</v>
      </c>
      <c r="E180" s="21">
        <f t="shared" si="152"/>
        <v>0</v>
      </c>
      <c r="F180" s="21">
        <f t="shared" si="152"/>
        <v>0</v>
      </c>
      <c r="G180" s="21">
        <f t="shared" si="152"/>
        <v>0</v>
      </c>
      <c r="H180" s="21">
        <f t="shared" si="152"/>
        <v>0</v>
      </c>
      <c r="I180" s="21">
        <f t="shared" si="152"/>
        <v>0</v>
      </c>
      <c r="J180" s="21">
        <f t="shared" si="152"/>
        <v>0</v>
      </c>
      <c r="K180" s="21">
        <f t="shared" si="152"/>
        <v>0</v>
      </c>
      <c r="L180" s="21">
        <f t="shared" si="152"/>
        <v>0</v>
      </c>
      <c r="M180" s="21">
        <f t="shared" si="152"/>
        <v>0</v>
      </c>
      <c r="N180" s="21">
        <f t="shared" si="152"/>
        <v>0</v>
      </c>
      <c r="O180" s="21">
        <f t="shared" si="152"/>
        <v>0</v>
      </c>
      <c r="P180" s="21">
        <f t="shared" si="152"/>
        <v>0</v>
      </c>
      <c r="Q180" s="21">
        <f t="shared" si="152"/>
        <v>0</v>
      </c>
      <c r="R180" s="21">
        <f t="shared" si="152"/>
        <v>0</v>
      </c>
      <c r="S180" s="21">
        <f t="shared" si="152"/>
        <v>0</v>
      </c>
      <c r="T180" s="21">
        <f t="shared" si="152"/>
        <v>0</v>
      </c>
      <c r="U180" s="21">
        <f t="shared" si="152"/>
        <v>0</v>
      </c>
      <c r="V180" s="21">
        <f t="shared" si="152"/>
        <v>0</v>
      </c>
      <c r="W180" s="21">
        <f t="shared" si="152"/>
        <v>0</v>
      </c>
      <c r="X180" s="21">
        <f t="shared" si="152"/>
        <v>0</v>
      </c>
      <c r="Y180" s="21">
        <f t="shared" si="152"/>
        <v>0</v>
      </c>
      <c r="Z180" s="21">
        <f t="shared" si="152"/>
        <v>0</v>
      </c>
      <c r="AA180" s="21">
        <f t="shared" si="152"/>
        <v>0</v>
      </c>
      <c r="AB180" s="21">
        <f t="shared" si="152"/>
        <v>0</v>
      </c>
      <c r="AC180" s="21">
        <f t="shared" si="152"/>
        <v>0</v>
      </c>
      <c r="AD180" s="21">
        <f t="shared" si="152"/>
        <v>0</v>
      </c>
      <c r="AE180" s="21">
        <f t="shared" si="152"/>
        <v>0</v>
      </c>
      <c r="AF180" s="21">
        <f t="shared" si="152"/>
        <v>0</v>
      </c>
      <c r="AG180" s="21">
        <f t="shared" si="152"/>
        <v>0</v>
      </c>
      <c r="AH180" s="21">
        <f t="shared" si="152"/>
        <v>0</v>
      </c>
      <c r="AI180" s="21">
        <f t="shared" ref="AI180:BA180" si="153">AI45*gallons_hot_home_saved</f>
        <v>0</v>
      </c>
      <c r="AJ180" s="21">
        <f t="shared" si="153"/>
        <v>0</v>
      </c>
      <c r="AK180" s="21">
        <f t="shared" si="153"/>
        <v>0</v>
      </c>
      <c r="AL180" s="21">
        <f t="shared" si="153"/>
        <v>0</v>
      </c>
      <c r="AM180" s="21">
        <f t="shared" si="153"/>
        <v>0</v>
      </c>
      <c r="AN180" s="21">
        <f t="shared" si="153"/>
        <v>0</v>
      </c>
      <c r="AO180" s="21">
        <f t="shared" si="153"/>
        <v>0</v>
      </c>
      <c r="AP180" s="21">
        <f t="shared" si="153"/>
        <v>0</v>
      </c>
      <c r="AQ180" s="21">
        <f t="shared" si="153"/>
        <v>0</v>
      </c>
      <c r="AR180" s="21">
        <f t="shared" si="153"/>
        <v>0</v>
      </c>
      <c r="AS180" s="21">
        <f t="shared" si="153"/>
        <v>0</v>
      </c>
      <c r="AT180" s="21">
        <f t="shared" si="153"/>
        <v>0</v>
      </c>
      <c r="AU180" s="21">
        <f t="shared" si="153"/>
        <v>0</v>
      </c>
      <c r="AV180" s="21">
        <f t="shared" si="153"/>
        <v>0</v>
      </c>
      <c r="AW180" s="21">
        <f t="shared" si="153"/>
        <v>0</v>
      </c>
      <c r="AX180" s="21">
        <f t="shared" si="153"/>
        <v>0</v>
      </c>
      <c r="AY180" s="21">
        <f t="shared" si="153"/>
        <v>0</v>
      </c>
      <c r="AZ180" s="21">
        <f t="shared" si="153"/>
        <v>0</v>
      </c>
      <c r="BA180" s="21">
        <f t="shared" si="153"/>
        <v>0</v>
      </c>
      <c r="BB180" s="21">
        <f t="shared" si="143"/>
        <v>0</v>
      </c>
    </row>
    <row r="181" spans="1:54">
      <c r="A181" s="456"/>
      <c r="B181" s="228">
        <v>2013</v>
      </c>
      <c r="C181" s="21">
        <f t="shared" ref="C181:AH181" si="154">C46*gallons_hot_home_saved</f>
        <v>0</v>
      </c>
      <c r="D181" s="21">
        <f t="shared" si="154"/>
        <v>0</v>
      </c>
      <c r="E181" s="21">
        <f t="shared" si="154"/>
        <v>0</v>
      </c>
      <c r="F181" s="21">
        <f t="shared" si="154"/>
        <v>0</v>
      </c>
      <c r="G181" s="21">
        <f t="shared" si="154"/>
        <v>0</v>
      </c>
      <c r="H181" s="21">
        <f t="shared" si="154"/>
        <v>0</v>
      </c>
      <c r="I181" s="21">
        <f t="shared" si="154"/>
        <v>0</v>
      </c>
      <c r="J181" s="21">
        <f t="shared" si="154"/>
        <v>0</v>
      </c>
      <c r="K181" s="21">
        <f t="shared" si="154"/>
        <v>0</v>
      </c>
      <c r="L181" s="21">
        <f t="shared" si="154"/>
        <v>0</v>
      </c>
      <c r="M181" s="21">
        <f t="shared" si="154"/>
        <v>0</v>
      </c>
      <c r="N181" s="21">
        <f t="shared" si="154"/>
        <v>0</v>
      </c>
      <c r="O181" s="21">
        <f t="shared" si="154"/>
        <v>0</v>
      </c>
      <c r="P181" s="21">
        <f t="shared" si="154"/>
        <v>0</v>
      </c>
      <c r="Q181" s="21">
        <f t="shared" si="154"/>
        <v>0</v>
      </c>
      <c r="R181" s="21">
        <f t="shared" si="154"/>
        <v>0</v>
      </c>
      <c r="S181" s="21">
        <f t="shared" si="154"/>
        <v>0</v>
      </c>
      <c r="T181" s="21">
        <f t="shared" si="154"/>
        <v>0</v>
      </c>
      <c r="U181" s="21">
        <f t="shared" si="154"/>
        <v>0</v>
      </c>
      <c r="V181" s="21">
        <f t="shared" si="154"/>
        <v>0</v>
      </c>
      <c r="W181" s="21">
        <f t="shared" si="154"/>
        <v>0</v>
      </c>
      <c r="X181" s="21">
        <f t="shared" si="154"/>
        <v>0</v>
      </c>
      <c r="Y181" s="21">
        <f t="shared" si="154"/>
        <v>0</v>
      </c>
      <c r="Z181" s="21">
        <f t="shared" si="154"/>
        <v>0</v>
      </c>
      <c r="AA181" s="21">
        <f t="shared" si="154"/>
        <v>0</v>
      </c>
      <c r="AB181" s="21">
        <f t="shared" si="154"/>
        <v>0</v>
      </c>
      <c r="AC181" s="21">
        <f t="shared" si="154"/>
        <v>0</v>
      </c>
      <c r="AD181" s="21">
        <f t="shared" si="154"/>
        <v>0</v>
      </c>
      <c r="AE181" s="21">
        <f t="shared" si="154"/>
        <v>0</v>
      </c>
      <c r="AF181" s="21">
        <f t="shared" si="154"/>
        <v>0</v>
      </c>
      <c r="AG181" s="21">
        <f t="shared" si="154"/>
        <v>0</v>
      </c>
      <c r="AH181" s="21">
        <f t="shared" si="154"/>
        <v>0</v>
      </c>
      <c r="AI181" s="21">
        <f t="shared" ref="AI181:BA181" si="155">AI46*gallons_hot_home_saved</f>
        <v>0</v>
      </c>
      <c r="AJ181" s="21">
        <f t="shared" si="155"/>
        <v>0</v>
      </c>
      <c r="AK181" s="21">
        <f t="shared" si="155"/>
        <v>0</v>
      </c>
      <c r="AL181" s="21">
        <f t="shared" si="155"/>
        <v>0</v>
      </c>
      <c r="AM181" s="21">
        <f t="shared" si="155"/>
        <v>0</v>
      </c>
      <c r="AN181" s="21">
        <f t="shared" si="155"/>
        <v>0</v>
      </c>
      <c r="AO181" s="21">
        <f t="shared" si="155"/>
        <v>0</v>
      </c>
      <c r="AP181" s="21">
        <f t="shared" si="155"/>
        <v>0</v>
      </c>
      <c r="AQ181" s="21">
        <f t="shared" si="155"/>
        <v>0</v>
      </c>
      <c r="AR181" s="21">
        <f t="shared" si="155"/>
        <v>0</v>
      </c>
      <c r="AS181" s="21">
        <f t="shared" si="155"/>
        <v>0</v>
      </c>
      <c r="AT181" s="21">
        <f t="shared" si="155"/>
        <v>0</v>
      </c>
      <c r="AU181" s="21">
        <f t="shared" si="155"/>
        <v>0</v>
      </c>
      <c r="AV181" s="21">
        <f t="shared" si="155"/>
        <v>0</v>
      </c>
      <c r="AW181" s="21">
        <f t="shared" si="155"/>
        <v>0</v>
      </c>
      <c r="AX181" s="21">
        <f t="shared" si="155"/>
        <v>0</v>
      </c>
      <c r="AY181" s="21">
        <f t="shared" si="155"/>
        <v>0</v>
      </c>
      <c r="AZ181" s="21">
        <f t="shared" si="155"/>
        <v>0</v>
      </c>
      <c r="BA181" s="21">
        <f t="shared" si="155"/>
        <v>0</v>
      </c>
      <c r="BB181" s="21">
        <f t="shared" si="143"/>
        <v>0</v>
      </c>
    </row>
    <row r="182" spans="1:54">
      <c r="A182" s="456"/>
      <c r="B182" s="226">
        <v>2014</v>
      </c>
      <c r="C182" s="21">
        <f t="shared" ref="C182:AH182" si="156">C47*gallons_hot_home_saved</f>
        <v>0</v>
      </c>
      <c r="D182" s="21">
        <f t="shared" si="156"/>
        <v>0</v>
      </c>
      <c r="E182" s="21">
        <f t="shared" si="156"/>
        <v>0</v>
      </c>
      <c r="F182" s="21">
        <f t="shared" si="156"/>
        <v>0</v>
      </c>
      <c r="G182" s="21">
        <f t="shared" si="156"/>
        <v>0</v>
      </c>
      <c r="H182" s="21">
        <f t="shared" si="156"/>
        <v>0</v>
      </c>
      <c r="I182" s="21">
        <f t="shared" si="156"/>
        <v>0</v>
      </c>
      <c r="J182" s="21">
        <f t="shared" si="156"/>
        <v>0</v>
      </c>
      <c r="K182" s="21">
        <f t="shared" si="156"/>
        <v>0</v>
      </c>
      <c r="L182" s="21">
        <f t="shared" si="156"/>
        <v>0</v>
      </c>
      <c r="M182" s="21">
        <f t="shared" si="156"/>
        <v>0</v>
      </c>
      <c r="N182" s="21">
        <f t="shared" si="156"/>
        <v>0</v>
      </c>
      <c r="O182" s="21">
        <f t="shared" si="156"/>
        <v>0</v>
      </c>
      <c r="P182" s="21">
        <f t="shared" si="156"/>
        <v>0</v>
      </c>
      <c r="Q182" s="21">
        <f t="shared" si="156"/>
        <v>0</v>
      </c>
      <c r="R182" s="21">
        <f t="shared" si="156"/>
        <v>0</v>
      </c>
      <c r="S182" s="21">
        <f t="shared" si="156"/>
        <v>0</v>
      </c>
      <c r="T182" s="21">
        <f t="shared" si="156"/>
        <v>0</v>
      </c>
      <c r="U182" s="21">
        <f t="shared" si="156"/>
        <v>0</v>
      </c>
      <c r="V182" s="21">
        <f t="shared" si="156"/>
        <v>0</v>
      </c>
      <c r="W182" s="21">
        <f t="shared" si="156"/>
        <v>0</v>
      </c>
      <c r="X182" s="21">
        <f t="shared" si="156"/>
        <v>0</v>
      </c>
      <c r="Y182" s="21">
        <f t="shared" si="156"/>
        <v>0</v>
      </c>
      <c r="Z182" s="21">
        <f t="shared" si="156"/>
        <v>0</v>
      </c>
      <c r="AA182" s="21">
        <f t="shared" si="156"/>
        <v>0</v>
      </c>
      <c r="AB182" s="21">
        <f t="shared" si="156"/>
        <v>0</v>
      </c>
      <c r="AC182" s="21">
        <f t="shared" si="156"/>
        <v>0</v>
      </c>
      <c r="AD182" s="21">
        <f t="shared" si="156"/>
        <v>0</v>
      </c>
      <c r="AE182" s="21">
        <f t="shared" si="156"/>
        <v>0</v>
      </c>
      <c r="AF182" s="21">
        <f t="shared" si="156"/>
        <v>0</v>
      </c>
      <c r="AG182" s="21">
        <f t="shared" si="156"/>
        <v>0</v>
      </c>
      <c r="AH182" s="21">
        <f t="shared" si="156"/>
        <v>0</v>
      </c>
      <c r="AI182" s="21">
        <f t="shared" ref="AI182:BA182" si="157">AI47*gallons_hot_home_saved</f>
        <v>0</v>
      </c>
      <c r="AJ182" s="21">
        <f t="shared" si="157"/>
        <v>0</v>
      </c>
      <c r="AK182" s="21">
        <f t="shared" si="157"/>
        <v>0</v>
      </c>
      <c r="AL182" s="21">
        <f t="shared" si="157"/>
        <v>0</v>
      </c>
      <c r="AM182" s="21">
        <f t="shared" si="157"/>
        <v>0</v>
      </c>
      <c r="AN182" s="21">
        <f t="shared" si="157"/>
        <v>0</v>
      </c>
      <c r="AO182" s="21">
        <f t="shared" si="157"/>
        <v>0</v>
      </c>
      <c r="AP182" s="21">
        <f t="shared" si="157"/>
        <v>0</v>
      </c>
      <c r="AQ182" s="21">
        <f t="shared" si="157"/>
        <v>0</v>
      </c>
      <c r="AR182" s="21">
        <f t="shared" si="157"/>
        <v>0</v>
      </c>
      <c r="AS182" s="21">
        <f t="shared" si="157"/>
        <v>0</v>
      </c>
      <c r="AT182" s="21">
        <f t="shared" si="157"/>
        <v>0</v>
      </c>
      <c r="AU182" s="21">
        <f t="shared" si="157"/>
        <v>0</v>
      </c>
      <c r="AV182" s="21">
        <f t="shared" si="157"/>
        <v>0</v>
      </c>
      <c r="AW182" s="21">
        <f t="shared" si="157"/>
        <v>0</v>
      </c>
      <c r="AX182" s="21">
        <f t="shared" si="157"/>
        <v>0</v>
      </c>
      <c r="AY182" s="21">
        <f t="shared" si="157"/>
        <v>0</v>
      </c>
      <c r="AZ182" s="21">
        <f t="shared" si="157"/>
        <v>0</v>
      </c>
      <c r="BA182" s="21">
        <f t="shared" si="157"/>
        <v>0</v>
      </c>
      <c r="BB182" s="21">
        <f t="shared" si="143"/>
        <v>0</v>
      </c>
    </row>
    <row r="183" spans="1:54">
      <c r="A183" s="456"/>
      <c r="B183" s="228">
        <v>2015</v>
      </c>
      <c r="C183" s="21">
        <f t="shared" ref="C183:AH183" si="158">C48*gallons_hot_home_saved</f>
        <v>0</v>
      </c>
      <c r="D183" s="21">
        <f t="shared" si="158"/>
        <v>0</v>
      </c>
      <c r="E183" s="21">
        <f t="shared" si="158"/>
        <v>0</v>
      </c>
      <c r="F183" s="21">
        <f t="shared" si="158"/>
        <v>0</v>
      </c>
      <c r="G183" s="21">
        <f t="shared" si="158"/>
        <v>0</v>
      </c>
      <c r="H183" s="21">
        <f t="shared" si="158"/>
        <v>0</v>
      </c>
      <c r="I183" s="21">
        <f t="shared" si="158"/>
        <v>0</v>
      </c>
      <c r="J183" s="21">
        <f t="shared" si="158"/>
        <v>0</v>
      </c>
      <c r="K183" s="21">
        <f t="shared" si="158"/>
        <v>0</v>
      </c>
      <c r="L183" s="21">
        <f t="shared" si="158"/>
        <v>0</v>
      </c>
      <c r="M183" s="21">
        <f t="shared" si="158"/>
        <v>0</v>
      </c>
      <c r="N183" s="21">
        <f t="shared" si="158"/>
        <v>0</v>
      </c>
      <c r="O183" s="21">
        <f t="shared" si="158"/>
        <v>0</v>
      </c>
      <c r="P183" s="21">
        <f t="shared" si="158"/>
        <v>0</v>
      </c>
      <c r="Q183" s="21">
        <f t="shared" si="158"/>
        <v>0</v>
      </c>
      <c r="R183" s="21">
        <f t="shared" si="158"/>
        <v>0</v>
      </c>
      <c r="S183" s="21">
        <f t="shared" si="158"/>
        <v>0</v>
      </c>
      <c r="T183" s="21">
        <f t="shared" si="158"/>
        <v>0</v>
      </c>
      <c r="U183" s="21">
        <f t="shared" si="158"/>
        <v>0</v>
      </c>
      <c r="V183" s="21">
        <f t="shared" si="158"/>
        <v>0</v>
      </c>
      <c r="W183" s="21">
        <f t="shared" si="158"/>
        <v>0</v>
      </c>
      <c r="X183" s="21">
        <f t="shared" si="158"/>
        <v>0</v>
      </c>
      <c r="Y183" s="21">
        <f t="shared" si="158"/>
        <v>0</v>
      </c>
      <c r="Z183" s="21">
        <f t="shared" si="158"/>
        <v>0</v>
      </c>
      <c r="AA183" s="21">
        <f t="shared" si="158"/>
        <v>0</v>
      </c>
      <c r="AB183" s="21">
        <f t="shared" si="158"/>
        <v>0</v>
      </c>
      <c r="AC183" s="21">
        <f t="shared" si="158"/>
        <v>0</v>
      </c>
      <c r="AD183" s="21">
        <f t="shared" si="158"/>
        <v>0</v>
      </c>
      <c r="AE183" s="21">
        <f t="shared" si="158"/>
        <v>0</v>
      </c>
      <c r="AF183" s="21">
        <f t="shared" si="158"/>
        <v>0</v>
      </c>
      <c r="AG183" s="21">
        <f t="shared" si="158"/>
        <v>0</v>
      </c>
      <c r="AH183" s="21">
        <f t="shared" si="158"/>
        <v>0</v>
      </c>
      <c r="AI183" s="21">
        <f t="shared" ref="AI183:BA183" si="159">AI48*gallons_hot_home_saved</f>
        <v>0</v>
      </c>
      <c r="AJ183" s="21">
        <f t="shared" si="159"/>
        <v>0</v>
      </c>
      <c r="AK183" s="21">
        <f t="shared" si="159"/>
        <v>0</v>
      </c>
      <c r="AL183" s="21">
        <f t="shared" si="159"/>
        <v>0</v>
      </c>
      <c r="AM183" s="21">
        <f t="shared" si="159"/>
        <v>0</v>
      </c>
      <c r="AN183" s="21">
        <f t="shared" si="159"/>
        <v>0</v>
      </c>
      <c r="AO183" s="21">
        <f t="shared" si="159"/>
        <v>0</v>
      </c>
      <c r="AP183" s="21">
        <f t="shared" si="159"/>
        <v>0</v>
      </c>
      <c r="AQ183" s="21">
        <f t="shared" si="159"/>
        <v>0</v>
      </c>
      <c r="AR183" s="21">
        <f t="shared" si="159"/>
        <v>0</v>
      </c>
      <c r="AS183" s="21">
        <f t="shared" si="159"/>
        <v>0</v>
      </c>
      <c r="AT183" s="21">
        <f t="shared" si="159"/>
        <v>0</v>
      </c>
      <c r="AU183" s="21">
        <f t="shared" si="159"/>
        <v>0</v>
      </c>
      <c r="AV183" s="21">
        <f t="shared" si="159"/>
        <v>0</v>
      </c>
      <c r="AW183" s="21">
        <f t="shared" si="159"/>
        <v>0</v>
      </c>
      <c r="AX183" s="21">
        <f t="shared" si="159"/>
        <v>0</v>
      </c>
      <c r="AY183" s="21">
        <f t="shared" si="159"/>
        <v>0</v>
      </c>
      <c r="AZ183" s="21">
        <f t="shared" si="159"/>
        <v>0</v>
      </c>
      <c r="BA183" s="21">
        <f t="shared" si="159"/>
        <v>0</v>
      </c>
      <c r="BB183" s="21">
        <f t="shared" si="143"/>
        <v>0</v>
      </c>
    </row>
    <row r="184" spans="1:54">
      <c r="A184" s="456"/>
      <c r="B184" s="226">
        <v>2016</v>
      </c>
      <c r="C184" s="21">
        <f t="shared" ref="C184:AH184" si="160">C49*gallons_hot_home_saved</f>
        <v>0</v>
      </c>
      <c r="D184" s="21">
        <f t="shared" si="160"/>
        <v>0</v>
      </c>
      <c r="E184" s="21">
        <f t="shared" si="160"/>
        <v>0</v>
      </c>
      <c r="F184" s="21">
        <f t="shared" si="160"/>
        <v>0</v>
      </c>
      <c r="G184" s="21">
        <f t="shared" si="160"/>
        <v>0</v>
      </c>
      <c r="H184" s="21">
        <f t="shared" si="160"/>
        <v>0</v>
      </c>
      <c r="I184" s="21">
        <f t="shared" si="160"/>
        <v>0</v>
      </c>
      <c r="J184" s="21">
        <f t="shared" si="160"/>
        <v>0</v>
      </c>
      <c r="K184" s="21">
        <f t="shared" si="160"/>
        <v>0</v>
      </c>
      <c r="L184" s="21">
        <f t="shared" si="160"/>
        <v>0</v>
      </c>
      <c r="M184" s="21">
        <f t="shared" si="160"/>
        <v>0</v>
      </c>
      <c r="N184" s="21">
        <f t="shared" si="160"/>
        <v>0</v>
      </c>
      <c r="O184" s="21">
        <f t="shared" si="160"/>
        <v>0</v>
      </c>
      <c r="P184" s="21">
        <f t="shared" si="160"/>
        <v>0</v>
      </c>
      <c r="Q184" s="21">
        <f t="shared" si="160"/>
        <v>0</v>
      </c>
      <c r="R184" s="21">
        <f t="shared" si="160"/>
        <v>0</v>
      </c>
      <c r="S184" s="21">
        <f t="shared" si="160"/>
        <v>0</v>
      </c>
      <c r="T184" s="21">
        <f t="shared" si="160"/>
        <v>0</v>
      </c>
      <c r="U184" s="21">
        <f t="shared" si="160"/>
        <v>0</v>
      </c>
      <c r="V184" s="21">
        <f t="shared" si="160"/>
        <v>0</v>
      </c>
      <c r="W184" s="21">
        <f t="shared" si="160"/>
        <v>0</v>
      </c>
      <c r="X184" s="21">
        <f t="shared" si="160"/>
        <v>0</v>
      </c>
      <c r="Y184" s="21">
        <f t="shared" si="160"/>
        <v>0</v>
      </c>
      <c r="Z184" s="21">
        <f t="shared" si="160"/>
        <v>0</v>
      </c>
      <c r="AA184" s="21">
        <f t="shared" si="160"/>
        <v>0</v>
      </c>
      <c r="AB184" s="21">
        <f t="shared" si="160"/>
        <v>0</v>
      </c>
      <c r="AC184" s="21">
        <f t="shared" si="160"/>
        <v>0</v>
      </c>
      <c r="AD184" s="21">
        <f t="shared" si="160"/>
        <v>0</v>
      </c>
      <c r="AE184" s="21">
        <f t="shared" si="160"/>
        <v>0</v>
      </c>
      <c r="AF184" s="21">
        <f t="shared" si="160"/>
        <v>0</v>
      </c>
      <c r="AG184" s="21">
        <f t="shared" si="160"/>
        <v>0</v>
      </c>
      <c r="AH184" s="21">
        <f t="shared" si="160"/>
        <v>0</v>
      </c>
      <c r="AI184" s="21">
        <f t="shared" ref="AI184:BA184" si="161">AI49*gallons_hot_home_saved</f>
        <v>0</v>
      </c>
      <c r="AJ184" s="21">
        <f t="shared" si="161"/>
        <v>0</v>
      </c>
      <c r="AK184" s="21">
        <f t="shared" si="161"/>
        <v>0</v>
      </c>
      <c r="AL184" s="21">
        <f t="shared" si="161"/>
        <v>0</v>
      </c>
      <c r="AM184" s="21">
        <f t="shared" si="161"/>
        <v>0</v>
      </c>
      <c r="AN184" s="21">
        <f t="shared" si="161"/>
        <v>0</v>
      </c>
      <c r="AO184" s="21">
        <f t="shared" si="161"/>
        <v>0</v>
      </c>
      <c r="AP184" s="21">
        <f t="shared" si="161"/>
        <v>0</v>
      </c>
      <c r="AQ184" s="21">
        <f t="shared" si="161"/>
        <v>0</v>
      </c>
      <c r="AR184" s="21">
        <f t="shared" si="161"/>
        <v>0</v>
      </c>
      <c r="AS184" s="21">
        <f t="shared" si="161"/>
        <v>0</v>
      </c>
      <c r="AT184" s="21">
        <f t="shared" si="161"/>
        <v>0</v>
      </c>
      <c r="AU184" s="21">
        <f t="shared" si="161"/>
        <v>0</v>
      </c>
      <c r="AV184" s="21">
        <f t="shared" si="161"/>
        <v>0</v>
      </c>
      <c r="AW184" s="21">
        <f t="shared" si="161"/>
        <v>0</v>
      </c>
      <c r="AX184" s="21">
        <f t="shared" si="161"/>
        <v>0</v>
      </c>
      <c r="AY184" s="21">
        <f t="shared" si="161"/>
        <v>0</v>
      </c>
      <c r="AZ184" s="21">
        <f t="shared" si="161"/>
        <v>0</v>
      </c>
      <c r="BA184" s="21">
        <f t="shared" si="161"/>
        <v>0</v>
      </c>
      <c r="BB184" s="21">
        <f t="shared" si="143"/>
        <v>0</v>
      </c>
    </row>
    <row r="185" spans="1:54">
      <c r="A185" s="456"/>
      <c r="B185" s="228">
        <v>2017</v>
      </c>
      <c r="C185" s="21">
        <f t="shared" ref="C185:AH185" si="162">C50*gallons_hot_home_saved</f>
        <v>0</v>
      </c>
      <c r="D185" s="21">
        <f t="shared" si="162"/>
        <v>0</v>
      </c>
      <c r="E185" s="21">
        <f t="shared" si="162"/>
        <v>0</v>
      </c>
      <c r="F185" s="21">
        <f t="shared" si="162"/>
        <v>0</v>
      </c>
      <c r="G185" s="21">
        <f t="shared" si="162"/>
        <v>0</v>
      </c>
      <c r="H185" s="21">
        <f t="shared" si="162"/>
        <v>0</v>
      </c>
      <c r="I185" s="21">
        <f t="shared" si="162"/>
        <v>0</v>
      </c>
      <c r="J185" s="21">
        <f t="shared" si="162"/>
        <v>0</v>
      </c>
      <c r="K185" s="21">
        <f t="shared" si="162"/>
        <v>0</v>
      </c>
      <c r="L185" s="21">
        <f t="shared" si="162"/>
        <v>0</v>
      </c>
      <c r="M185" s="21">
        <f t="shared" si="162"/>
        <v>0</v>
      </c>
      <c r="N185" s="21">
        <f t="shared" si="162"/>
        <v>0</v>
      </c>
      <c r="O185" s="21">
        <f t="shared" si="162"/>
        <v>0</v>
      </c>
      <c r="P185" s="21">
        <f t="shared" si="162"/>
        <v>0</v>
      </c>
      <c r="Q185" s="21">
        <f t="shared" si="162"/>
        <v>0</v>
      </c>
      <c r="R185" s="21">
        <f t="shared" si="162"/>
        <v>0</v>
      </c>
      <c r="S185" s="21">
        <f t="shared" si="162"/>
        <v>0</v>
      </c>
      <c r="T185" s="21">
        <f t="shared" si="162"/>
        <v>0</v>
      </c>
      <c r="U185" s="21">
        <f t="shared" si="162"/>
        <v>0</v>
      </c>
      <c r="V185" s="21">
        <f t="shared" si="162"/>
        <v>0</v>
      </c>
      <c r="W185" s="21">
        <f t="shared" si="162"/>
        <v>0</v>
      </c>
      <c r="X185" s="21">
        <f t="shared" si="162"/>
        <v>0</v>
      </c>
      <c r="Y185" s="21">
        <f t="shared" si="162"/>
        <v>0</v>
      </c>
      <c r="Z185" s="21">
        <f t="shared" si="162"/>
        <v>0</v>
      </c>
      <c r="AA185" s="21">
        <f t="shared" si="162"/>
        <v>0</v>
      </c>
      <c r="AB185" s="21">
        <f t="shared" si="162"/>
        <v>0</v>
      </c>
      <c r="AC185" s="21">
        <f t="shared" si="162"/>
        <v>0</v>
      </c>
      <c r="AD185" s="21">
        <f t="shared" si="162"/>
        <v>0</v>
      </c>
      <c r="AE185" s="21">
        <f t="shared" si="162"/>
        <v>0</v>
      </c>
      <c r="AF185" s="21">
        <f t="shared" si="162"/>
        <v>0</v>
      </c>
      <c r="AG185" s="21">
        <f t="shared" si="162"/>
        <v>0</v>
      </c>
      <c r="AH185" s="21">
        <f t="shared" si="162"/>
        <v>0</v>
      </c>
      <c r="AI185" s="21">
        <f t="shared" ref="AI185:BA185" si="163">AI50*gallons_hot_home_saved</f>
        <v>0</v>
      </c>
      <c r="AJ185" s="21">
        <f t="shared" si="163"/>
        <v>0</v>
      </c>
      <c r="AK185" s="21">
        <f t="shared" si="163"/>
        <v>0</v>
      </c>
      <c r="AL185" s="21">
        <f t="shared" si="163"/>
        <v>0</v>
      </c>
      <c r="AM185" s="21">
        <f t="shared" si="163"/>
        <v>0</v>
      </c>
      <c r="AN185" s="21">
        <f t="shared" si="163"/>
        <v>0</v>
      </c>
      <c r="AO185" s="21">
        <f t="shared" si="163"/>
        <v>0</v>
      </c>
      <c r="AP185" s="21">
        <f t="shared" si="163"/>
        <v>0</v>
      </c>
      <c r="AQ185" s="21">
        <f t="shared" si="163"/>
        <v>0</v>
      </c>
      <c r="AR185" s="21">
        <f t="shared" si="163"/>
        <v>0</v>
      </c>
      <c r="AS185" s="21">
        <f t="shared" si="163"/>
        <v>0</v>
      </c>
      <c r="AT185" s="21">
        <f t="shared" si="163"/>
        <v>0</v>
      </c>
      <c r="AU185" s="21">
        <f t="shared" si="163"/>
        <v>0</v>
      </c>
      <c r="AV185" s="21">
        <f t="shared" si="163"/>
        <v>0</v>
      </c>
      <c r="AW185" s="21">
        <f t="shared" si="163"/>
        <v>0</v>
      </c>
      <c r="AX185" s="21">
        <f t="shared" si="163"/>
        <v>0</v>
      </c>
      <c r="AY185" s="21">
        <f t="shared" si="163"/>
        <v>0</v>
      </c>
      <c r="AZ185" s="21">
        <f t="shared" si="163"/>
        <v>0</v>
      </c>
      <c r="BA185" s="21">
        <f t="shared" si="163"/>
        <v>0</v>
      </c>
      <c r="BB185" s="21">
        <f t="shared" si="143"/>
        <v>0</v>
      </c>
    </row>
    <row r="186" spans="1:54">
      <c r="A186" s="456"/>
      <c r="B186" s="226">
        <v>2018</v>
      </c>
      <c r="C186" s="21">
        <f t="shared" ref="C186:AH186" si="164">C51*gallons_hot_home_saved</f>
        <v>0</v>
      </c>
      <c r="D186" s="21">
        <f t="shared" si="164"/>
        <v>0</v>
      </c>
      <c r="E186" s="21">
        <f t="shared" si="164"/>
        <v>0</v>
      </c>
      <c r="F186" s="21">
        <f t="shared" si="164"/>
        <v>0</v>
      </c>
      <c r="G186" s="21">
        <f t="shared" si="164"/>
        <v>0</v>
      </c>
      <c r="H186" s="21">
        <f t="shared" si="164"/>
        <v>0</v>
      </c>
      <c r="I186" s="21">
        <f t="shared" si="164"/>
        <v>0</v>
      </c>
      <c r="J186" s="21">
        <f t="shared" si="164"/>
        <v>0</v>
      </c>
      <c r="K186" s="21">
        <f t="shared" si="164"/>
        <v>0</v>
      </c>
      <c r="L186" s="21">
        <f t="shared" si="164"/>
        <v>0</v>
      </c>
      <c r="M186" s="21">
        <f t="shared" si="164"/>
        <v>0</v>
      </c>
      <c r="N186" s="21">
        <f t="shared" si="164"/>
        <v>0</v>
      </c>
      <c r="O186" s="21">
        <f t="shared" si="164"/>
        <v>0</v>
      </c>
      <c r="P186" s="21">
        <f t="shared" si="164"/>
        <v>0</v>
      </c>
      <c r="Q186" s="21">
        <f t="shared" si="164"/>
        <v>0</v>
      </c>
      <c r="R186" s="21">
        <f t="shared" si="164"/>
        <v>0</v>
      </c>
      <c r="S186" s="21">
        <f t="shared" si="164"/>
        <v>0</v>
      </c>
      <c r="T186" s="21">
        <f t="shared" si="164"/>
        <v>0</v>
      </c>
      <c r="U186" s="21">
        <f t="shared" si="164"/>
        <v>0</v>
      </c>
      <c r="V186" s="21">
        <f t="shared" si="164"/>
        <v>0</v>
      </c>
      <c r="W186" s="21">
        <f t="shared" si="164"/>
        <v>0</v>
      </c>
      <c r="X186" s="21">
        <f t="shared" si="164"/>
        <v>0</v>
      </c>
      <c r="Y186" s="21">
        <f t="shared" si="164"/>
        <v>0</v>
      </c>
      <c r="Z186" s="21">
        <f t="shared" si="164"/>
        <v>0</v>
      </c>
      <c r="AA186" s="21">
        <f t="shared" si="164"/>
        <v>0</v>
      </c>
      <c r="AB186" s="21">
        <f t="shared" si="164"/>
        <v>0</v>
      </c>
      <c r="AC186" s="21">
        <f t="shared" si="164"/>
        <v>0</v>
      </c>
      <c r="AD186" s="21">
        <f t="shared" si="164"/>
        <v>0</v>
      </c>
      <c r="AE186" s="21">
        <f t="shared" si="164"/>
        <v>0</v>
      </c>
      <c r="AF186" s="21">
        <f t="shared" si="164"/>
        <v>0</v>
      </c>
      <c r="AG186" s="21">
        <f t="shared" si="164"/>
        <v>0</v>
      </c>
      <c r="AH186" s="21">
        <f t="shared" si="164"/>
        <v>0</v>
      </c>
      <c r="AI186" s="21">
        <f t="shared" ref="AI186:BA186" si="165">AI51*gallons_hot_home_saved</f>
        <v>0</v>
      </c>
      <c r="AJ186" s="21">
        <f t="shared" si="165"/>
        <v>0</v>
      </c>
      <c r="AK186" s="21">
        <f t="shared" si="165"/>
        <v>0</v>
      </c>
      <c r="AL186" s="21">
        <f t="shared" si="165"/>
        <v>0</v>
      </c>
      <c r="AM186" s="21">
        <f t="shared" si="165"/>
        <v>0</v>
      </c>
      <c r="AN186" s="21">
        <f t="shared" si="165"/>
        <v>0</v>
      </c>
      <c r="AO186" s="21">
        <f t="shared" si="165"/>
        <v>0</v>
      </c>
      <c r="AP186" s="21">
        <f t="shared" si="165"/>
        <v>0</v>
      </c>
      <c r="AQ186" s="21">
        <f t="shared" si="165"/>
        <v>0</v>
      </c>
      <c r="AR186" s="21">
        <f t="shared" si="165"/>
        <v>0</v>
      </c>
      <c r="AS186" s="21">
        <f t="shared" si="165"/>
        <v>0</v>
      </c>
      <c r="AT186" s="21">
        <f t="shared" si="165"/>
        <v>0</v>
      </c>
      <c r="AU186" s="21">
        <f t="shared" si="165"/>
        <v>0</v>
      </c>
      <c r="AV186" s="21">
        <f t="shared" si="165"/>
        <v>0</v>
      </c>
      <c r="AW186" s="21">
        <f t="shared" si="165"/>
        <v>0</v>
      </c>
      <c r="AX186" s="21">
        <f t="shared" si="165"/>
        <v>0</v>
      </c>
      <c r="AY186" s="21">
        <f t="shared" si="165"/>
        <v>0</v>
      </c>
      <c r="AZ186" s="21">
        <f t="shared" si="165"/>
        <v>0</v>
      </c>
      <c r="BA186" s="21">
        <f t="shared" si="165"/>
        <v>0</v>
      </c>
      <c r="BB186" s="21">
        <f t="shared" si="143"/>
        <v>0</v>
      </c>
    </row>
    <row r="187" spans="1:54">
      <c r="A187" s="456"/>
      <c r="B187" s="228">
        <v>2019</v>
      </c>
      <c r="C187" s="21">
        <f t="shared" ref="C187:AH187" si="166">C52*gallons_hot_home_saved</f>
        <v>0</v>
      </c>
      <c r="D187" s="21">
        <f t="shared" si="166"/>
        <v>0</v>
      </c>
      <c r="E187" s="21">
        <f t="shared" si="166"/>
        <v>0</v>
      </c>
      <c r="F187" s="21">
        <f t="shared" si="166"/>
        <v>0</v>
      </c>
      <c r="G187" s="21">
        <f t="shared" si="166"/>
        <v>0</v>
      </c>
      <c r="H187" s="21">
        <f t="shared" si="166"/>
        <v>0</v>
      </c>
      <c r="I187" s="21">
        <f t="shared" si="166"/>
        <v>0</v>
      </c>
      <c r="J187" s="21">
        <f t="shared" si="166"/>
        <v>0</v>
      </c>
      <c r="K187" s="21">
        <f t="shared" si="166"/>
        <v>0</v>
      </c>
      <c r="L187" s="21">
        <f t="shared" si="166"/>
        <v>0</v>
      </c>
      <c r="M187" s="21">
        <f t="shared" si="166"/>
        <v>0</v>
      </c>
      <c r="N187" s="21">
        <f t="shared" si="166"/>
        <v>0</v>
      </c>
      <c r="O187" s="21">
        <f t="shared" si="166"/>
        <v>0</v>
      </c>
      <c r="P187" s="21">
        <f t="shared" si="166"/>
        <v>0</v>
      </c>
      <c r="Q187" s="21">
        <f t="shared" si="166"/>
        <v>0</v>
      </c>
      <c r="R187" s="21">
        <f t="shared" si="166"/>
        <v>0</v>
      </c>
      <c r="S187" s="21">
        <f t="shared" si="166"/>
        <v>0</v>
      </c>
      <c r="T187" s="21">
        <f t="shared" si="166"/>
        <v>0</v>
      </c>
      <c r="U187" s="21">
        <f t="shared" si="166"/>
        <v>0</v>
      </c>
      <c r="V187" s="21">
        <f t="shared" si="166"/>
        <v>0</v>
      </c>
      <c r="W187" s="21">
        <f t="shared" si="166"/>
        <v>0</v>
      </c>
      <c r="X187" s="21">
        <f t="shared" si="166"/>
        <v>0</v>
      </c>
      <c r="Y187" s="21">
        <f t="shared" si="166"/>
        <v>0</v>
      </c>
      <c r="Z187" s="21">
        <f t="shared" si="166"/>
        <v>0</v>
      </c>
      <c r="AA187" s="21">
        <f t="shared" si="166"/>
        <v>0</v>
      </c>
      <c r="AB187" s="21">
        <f t="shared" si="166"/>
        <v>0</v>
      </c>
      <c r="AC187" s="21">
        <f t="shared" si="166"/>
        <v>0</v>
      </c>
      <c r="AD187" s="21">
        <f t="shared" si="166"/>
        <v>0</v>
      </c>
      <c r="AE187" s="21">
        <f t="shared" si="166"/>
        <v>0</v>
      </c>
      <c r="AF187" s="21">
        <f t="shared" si="166"/>
        <v>0</v>
      </c>
      <c r="AG187" s="21">
        <f t="shared" si="166"/>
        <v>0</v>
      </c>
      <c r="AH187" s="21">
        <f t="shared" si="166"/>
        <v>0</v>
      </c>
      <c r="AI187" s="21">
        <f t="shared" ref="AI187:BA187" si="167">AI52*gallons_hot_home_saved</f>
        <v>0</v>
      </c>
      <c r="AJ187" s="21">
        <f t="shared" si="167"/>
        <v>0</v>
      </c>
      <c r="AK187" s="21">
        <f t="shared" si="167"/>
        <v>0</v>
      </c>
      <c r="AL187" s="21">
        <f t="shared" si="167"/>
        <v>0</v>
      </c>
      <c r="AM187" s="21">
        <f t="shared" si="167"/>
        <v>0</v>
      </c>
      <c r="AN187" s="21">
        <f t="shared" si="167"/>
        <v>0</v>
      </c>
      <c r="AO187" s="21">
        <f t="shared" si="167"/>
        <v>0</v>
      </c>
      <c r="AP187" s="21">
        <f t="shared" si="167"/>
        <v>0</v>
      </c>
      <c r="AQ187" s="21">
        <f t="shared" si="167"/>
        <v>0</v>
      </c>
      <c r="AR187" s="21">
        <f t="shared" si="167"/>
        <v>0</v>
      </c>
      <c r="AS187" s="21">
        <f t="shared" si="167"/>
        <v>0</v>
      </c>
      <c r="AT187" s="21">
        <f t="shared" si="167"/>
        <v>0</v>
      </c>
      <c r="AU187" s="21">
        <f t="shared" si="167"/>
        <v>0</v>
      </c>
      <c r="AV187" s="21">
        <f t="shared" si="167"/>
        <v>0</v>
      </c>
      <c r="AW187" s="21">
        <f t="shared" si="167"/>
        <v>0</v>
      </c>
      <c r="AX187" s="21">
        <f t="shared" si="167"/>
        <v>0</v>
      </c>
      <c r="AY187" s="21">
        <f t="shared" si="167"/>
        <v>0</v>
      </c>
      <c r="AZ187" s="21">
        <f t="shared" si="167"/>
        <v>0</v>
      </c>
      <c r="BA187" s="21">
        <f t="shared" si="167"/>
        <v>0</v>
      </c>
      <c r="BB187" s="21">
        <f t="shared" si="143"/>
        <v>0</v>
      </c>
    </row>
    <row r="188" spans="1:54">
      <c r="A188" s="456"/>
      <c r="B188" s="226">
        <v>2020</v>
      </c>
      <c r="C188" s="21">
        <f t="shared" ref="C188:AH188" si="168">C53*gallons_hot_home_saved</f>
        <v>0</v>
      </c>
      <c r="D188" s="21">
        <f t="shared" si="168"/>
        <v>0</v>
      </c>
      <c r="E188" s="21">
        <f t="shared" si="168"/>
        <v>0</v>
      </c>
      <c r="F188" s="21">
        <f t="shared" si="168"/>
        <v>0</v>
      </c>
      <c r="G188" s="21">
        <f t="shared" si="168"/>
        <v>0</v>
      </c>
      <c r="H188" s="21">
        <f t="shared" si="168"/>
        <v>0</v>
      </c>
      <c r="I188" s="21">
        <f t="shared" si="168"/>
        <v>0</v>
      </c>
      <c r="J188" s="21">
        <f t="shared" si="168"/>
        <v>0</v>
      </c>
      <c r="K188" s="21">
        <f t="shared" si="168"/>
        <v>0</v>
      </c>
      <c r="L188" s="21">
        <f t="shared" si="168"/>
        <v>0</v>
      </c>
      <c r="M188" s="21">
        <f t="shared" si="168"/>
        <v>0</v>
      </c>
      <c r="N188" s="21">
        <f t="shared" si="168"/>
        <v>0</v>
      </c>
      <c r="O188" s="21">
        <f t="shared" si="168"/>
        <v>0</v>
      </c>
      <c r="P188" s="21">
        <f t="shared" si="168"/>
        <v>0</v>
      </c>
      <c r="Q188" s="21">
        <f t="shared" si="168"/>
        <v>0</v>
      </c>
      <c r="R188" s="21">
        <f t="shared" si="168"/>
        <v>0</v>
      </c>
      <c r="S188" s="21">
        <f t="shared" si="168"/>
        <v>0</v>
      </c>
      <c r="T188" s="21">
        <f t="shared" si="168"/>
        <v>0</v>
      </c>
      <c r="U188" s="21">
        <f t="shared" si="168"/>
        <v>0</v>
      </c>
      <c r="V188" s="21">
        <f t="shared" si="168"/>
        <v>0</v>
      </c>
      <c r="W188" s="21">
        <f t="shared" si="168"/>
        <v>0</v>
      </c>
      <c r="X188" s="21">
        <f t="shared" si="168"/>
        <v>0</v>
      </c>
      <c r="Y188" s="21">
        <f t="shared" si="168"/>
        <v>0</v>
      </c>
      <c r="Z188" s="21">
        <f t="shared" si="168"/>
        <v>0</v>
      </c>
      <c r="AA188" s="21">
        <f t="shared" si="168"/>
        <v>0</v>
      </c>
      <c r="AB188" s="21">
        <f t="shared" si="168"/>
        <v>0</v>
      </c>
      <c r="AC188" s="21">
        <f t="shared" si="168"/>
        <v>0</v>
      </c>
      <c r="AD188" s="21">
        <f t="shared" si="168"/>
        <v>0</v>
      </c>
      <c r="AE188" s="21">
        <f t="shared" si="168"/>
        <v>0</v>
      </c>
      <c r="AF188" s="21">
        <f t="shared" si="168"/>
        <v>0</v>
      </c>
      <c r="AG188" s="21">
        <f t="shared" si="168"/>
        <v>0</v>
      </c>
      <c r="AH188" s="21">
        <f t="shared" si="168"/>
        <v>0</v>
      </c>
      <c r="AI188" s="21">
        <f t="shared" ref="AI188:BA188" si="169">AI53*gallons_hot_home_saved</f>
        <v>0</v>
      </c>
      <c r="AJ188" s="21">
        <f t="shared" si="169"/>
        <v>0</v>
      </c>
      <c r="AK188" s="21">
        <f t="shared" si="169"/>
        <v>0</v>
      </c>
      <c r="AL188" s="21">
        <f t="shared" si="169"/>
        <v>0</v>
      </c>
      <c r="AM188" s="21">
        <f t="shared" si="169"/>
        <v>0</v>
      </c>
      <c r="AN188" s="21">
        <f t="shared" si="169"/>
        <v>0</v>
      </c>
      <c r="AO188" s="21">
        <f t="shared" si="169"/>
        <v>0</v>
      </c>
      <c r="AP188" s="21">
        <f t="shared" si="169"/>
        <v>0</v>
      </c>
      <c r="AQ188" s="21">
        <f t="shared" si="169"/>
        <v>0</v>
      </c>
      <c r="AR188" s="21">
        <f t="shared" si="169"/>
        <v>0</v>
      </c>
      <c r="AS188" s="21">
        <f t="shared" si="169"/>
        <v>0</v>
      </c>
      <c r="AT188" s="21">
        <f t="shared" si="169"/>
        <v>0</v>
      </c>
      <c r="AU188" s="21">
        <f t="shared" si="169"/>
        <v>0</v>
      </c>
      <c r="AV188" s="21">
        <f t="shared" si="169"/>
        <v>0</v>
      </c>
      <c r="AW188" s="21">
        <f t="shared" si="169"/>
        <v>0</v>
      </c>
      <c r="AX188" s="21">
        <f t="shared" si="169"/>
        <v>0</v>
      </c>
      <c r="AY188" s="21">
        <f t="shared" si="169"/>
        <v>0</v>
      </c>
      <c r="AZ188" s="21">
        <f t="shared" si="169"/>
        <v>0</v>
      </c>
      <c r="BA188" s="21">
        <f t="shared" si="169"/>
        <v>0</v>
      </c>
      <c r="BB188" s="21">
        <f t="shared" si="143"/>
        <v>0</v>
      </c>
    </row>
    <row r="189" spans="1:54">
      <c r="A189" s="456"/>
      <c r="B189" s="228">
        <v>2021</v>
      </c>
      <c r="C189" s="21">
        <f t="shared" ref="C189:AH189" si="170">C54*gallons_hot_home_saved</f>
        <v>0</v>
      </c>
      <c r="D189" s="21">
        <f t="shared" si="170"/>
        <v>0</v>
      </c>
      <c r="E189" s="21">
        <f t="shared" si="170"/>
        <v>0</v>
      </c>
      <c r="F189" s="21">
        <f t="shared" si="170"/>
        <v>0</v>
      </c>
      <c r="G189" s="21">
        <f t="shared" si="170"/>
        <v>0</v>
      </c>
      <c r="H189" s="21">
        <f t="shared" si="170"/>
        <v>0</v>
      </c>
      <c r="I189" s="21">
        <f t="shared" si="170"/>
        <v>0</v>
      </c>
      <c r="J189" s="21">
        <f t="shared" si="170"/>
        <v>0</v>
      </c>
      <c r="K189" s="21">
        <f t="shared" si="170"/>
        <v>0</v>
      </c>
      <c r="L189" s="21">
        <f t="shared" si="170"/>
        <v>0</v>
      </c>
      <c r="M189" s="21">
        <f t="shared" si="170"/>
        <v>0</v>
      </c>
      <c r="N189" s="21">
        <f t="shared" si="170"/>
        <v>0</v>
      </c>
      <c r="O189" s="21">
        <f t="shared" si="170"/>
        <v>0</v>
      </c>
      <c r="P189" s="21">
        <f t="shared" si="170"/>
        <v>0</v>
      </c>
      <c r="Q189" s="21">
        <f t="shared" si="170"/>
        <v>0</v>
      </c>
      <c r="R189" s="21">
        <f t="shared" si="170"/>
        <v>0</v>
      </c>
      <c r="S189" s="21">
        <f t="shared" si="170"/>
        <v>0</v>
      </c>
      <c r="T189" s="21">
        <f t="shared" si="170"/>
        <v>0</v>
      </c>
      <c r="U189" s="21">
        <f t="shared" si="170"/>
        <v>0</v>
      </c>
      <c r="V189" s="21">
        <f t="shared" si="170"/>
        <v>0</v>
      </c>
      <c r="W189" s="21">
        <f t="shared" si="170"/>
        <v>0</v>
      </c>
      <c r="X189" s="21">
        <f t="shared" si="170"/>
        <v>0</v>
      </c>
      <c r="Y189" s="21">
        <f t="shared" si="170"/>
        <v>0</v>
      </c>
      <c r="Z189" s="21">
        <f t="shared" si="170"/>
        <v>0</v>
      </c>
      <c r="AA189" s="21">
        <f t="shared" si="170"/>
        <v>0</v>
      </c>
      <c r="AB189" s="21">
        <f t="shared" si="170"/>
        <v>0</v>
      </c>
      <c r="AC189" s="21">
        <f t="shared" si="170"/>
        <v>0</v>
      </c>
      <c r="AD189" s="21">
        <f t="shared" si="170"/>
        <v>0</v>
      </c>
      <c r="AE189" s="21">
        <f t="shared" si="170"/>
        <v>0</v>
      </c>
      <c r="AF189" s="21">
        <f t="shared" si="170"/>
        <v>0</v>
      </c>
      <c r="AG189" s="21">
        <f t="shared" si="170"/>
        <v>0</v>
      </c>
      <c r="AH189" s="21">
        <f t="shared" si="170"/>
        <v>0</v>
      </c>
      <c r="AI189" s="21">
        <f t="shared" ref="AI189:BA189" si="171">AI54*gallons_hot_home_saved</f>
        <v>0</v>
      </c>
      <c r="AJ189" s="21">
        <f t="shared" si="171"/>
        <v>0</v>
      </c>
      <c r="AK189" s="21">
        <f t="shared" si="171"/>
        <v>0</v>
      </c>
      <c r="AL189" s="21">
        <f t="shared" si="171"/>
        <v>0</v>
      </c>
      <c r="AM189" s="21">
        <f t="shared" si="171"/>
        <v>0</v>
      </c>
      <c r="AN189" s="21">
        <f t="shared" si="171"/>
        <v>0</v>
      </c>
      <c r="AO189" s="21">
        <f t="shared" si="171"/>
        <v>0</v>
      </c>
      <c r="AP189" s="21">
        <f t="shared" si="171"/>
        <v>0</v>
      </c>
      <c r="AQ189" s="21">
        <f t="shared" si="171"/>
        <v>0</v>
      </c>
      <c r="AR189" s="21">
        <f t="shared" si="171"/>
        <v>0</v>
      </c>
      <c r="AS189" s="21">
        <f t="shared" si="171"/>
        <v>0</v>
      </c>
      <c r="AT189" s="21">
        <f t="shared" si="171"/>
        <v>0</v>
      </c>
      <c r="AU189" s="21">
        <f t="shared" si="171"/>
        <v>0</v>
      </c>
      <c r="AV189" s="21">
        <f t="shared" si="171"/>
        <v>0</v>
      </c>
      <c r="AW189" s="21">
        <f t="shared" si="171"/>
        <v>0</v>
      </c>
      <c r="AX189" s="21">
        <f t="shared" si="171"/>
        <v>0</v>
      </c>
      <c r="AY189" s="21">
        <f t="shared" si="171"/>
        <v>0</v>
      </c>
      <c r="AZ189" s="21">
        <f t="shared" si="171"/>
        <v>0</v>
      </c>
      <c r="BA189" s="21">
        <f t="shared" si="171"/>
        <v>0</v>
      </c>
      <c r="BB189" s="21">
        <f t="shared" si="143"/>
        <v>0</v>
      </c>
    </row>
    <row r="190" spans="1:54">
      <c r="A190" s="456"/>
      <c r="B190" s="226">
        <v>2022</v>
      </c>
      <c r="C190" s="21">
        <f t="shared" ref="C190:AH190" si="172">C55*gallons_hot_home_saved</f>
        <v>0</v>
      </c>
      <c r="D190" s="21">
        <f t="shared" si="172"/>
        <v>0</v>
      </c>
      <c r="E190" s="21">
        <f t="shared" si="172"/>
        <v>0</v>
      </c>
      <c r="F190" s="21">
        <f t="shared" si="172"/>
        <v>0</v>
      </c>
      <c r="G190" s="21">
        <f t="shared" si="172"/>
        <v>0</v>
      </c>
      <c r="H190" s="21">
        <f t="shared" si="172"/>
        <v>0</v>
      </c>
      <c r="I190" s="21">
        <f t="shared" si="172"/>
        <v>0</v>
      </c>
      <c r="J190" s="21">
        <f t="shared" si="172"/>
        <v>0</v>
      </c>
      <c r="K190" s="21">
        <f t="shared" si="172"/>
        <v>0</v>
      </c>
      <c r="L190" s="21">
        <f t="shared" si="172"/>
        <v>0</v>
      </c>
      <c r="M190" s="21">
        <f t="shared" si="172"/>
        <v>0</v>
      </c>
      <c r="N190" s="21">
        <f t="shared" si="172"/>
        <v>0</v>
      </c>
      <c r="O190" s="21">
        <f t="shared" si="172"/>
        <v>0</v>
      </c>
      <c r="P190" s="21">
        <f t="shared" si="172"/>
        <v>0</v>
      </c>
      <c r="Q190" s="21">
        <f t="shared" si="172"/>
        <v>0</v>
      </c>
      <c r="R190" s="21">
        <f t="shared" si="172"/>
        <v>0</v>
      </c>
      <c r="S190" s="21">
        <f t="shared" si="172"/>
        <v>0</v>
      </c>
      <c r="T190" s="21">
        <f t="shared" si="172"/>
        <v>0</v>
      </c>
      <c r="U190" s="21">
        <f t="shared" si="172"/>
        <v>0</v>
      </c>
      <c r="V190" s="21">
        <f t="shared" si="172"/>
        <v>0</v>
      </c>
      <c r="W190" s="21">
        <f t="shared" si="172"/>
        <v>0</v>
      </c>
      <c r="X190" s="21">
        <f t="shared" si="172"/>
        <v>0</v>
      </c>
      <c r="Y190" s="21">
        <f t="shared" si="172"/>
        <v>0</v>
      </c>
      <c r="Z190" s="21">
        <f t="shared" si="172"/>
        <v>0</v>
      </c>
      <c r="AA190" s="21">
        <f t="shared" si="172"/>
        <v>0</v>
      </c>
      <c r="AB190" s="21">
        <f t="shared" si="172"/>
        <v>0</v>
      </c>
      <c r="AC190" s="21">
        <f t="shared" si="172"/>
        <v>0</v>
      </c>
      <c r="AD190" s="21">
        <f t="shared" si="172"/>
        <v>0</v>
      </c>
      <c r="AE190" s="21">
        <f t="shared" si="172"/>
        <v>0</v>
      </c>
      <c r="AF190" s="21">
        <f t="shared" si="172"/>
        <v>0</v>
      </c>
      <c r="AG190" s="21">
        <f t="shared" si="172"/>
        <v>0</v>
      </c>
      <c r="AH190" s="21">
        <f t="shared" si="172"/>
        <v>0</v>
      </c>
      <c r="AI190" s="21">
        <f t="shared" ref="AI190:BA190" si="173">AI55*gallons_hot_home_saved</f>
        <v>0</v>
      </c>
      <c r="AJ190" s="21">
        <f t="shared" si="173"/>
        <v>0</v>
      </c>
      <c r="AK190" s="21">
        <f t="shared" si="173"/>
        <v>0</v>
      </c>
      <c r="AL190" s="21">
        <f t="shared" si="173"/>
        <v>0</v>
      </c>
      <c r="AM190" s="21">
        <f t="shared" si="173"/>
        <v>0</v>
      </c>
      <c r="AN190" s="21">
        <f t="shared" si="173"/>
        <v>0</v>
      </c>
      <c r="AO190" s="21">
        <f t="shared" si="173"/>
        <v>0</v>
      </c>
      <c r="AP190" s="21">
        <f t="shared" si="173"/>
        <v>0</v>
      </c>
      <c r="AQ190" s="21">
        <f t="shared" si="173"/>
        <v>0</v>
      </c>
      <c r="AR190" s="21">
        <f t="shared" si="173"/>
        <v>0</v>
      </c>
      <c r="AS190" s="21">
        <f t="shared" si="173"/>
        <v>0</v>
      </c>
      <c r="AT190" s="21">
        <f t="shared" si="173"/>
        <v>0</v>
      </c>
      <c r="AU190" s="21">
        <f t="shared" si="173"/>
        <v>0</v>
      </c>
      <c r="AV190" s="21">
        <f t="shared" si="173"/>
        <v>0</v>
      </c>
      <c r="AW190" s="21">
        <f t="shared" si="173"/>
        <v>0</v>
      </c>
      <c r="AX190" s="21">
        <f t="shared" si="173"/>
        <v>0</v>
      </c>
      <c r="AY190" s="21">
        <f t="shared" si="173"/>
        <v>0</v>
      </c>
      <c r="AZ190" s="21">
        <f t="shared" si="173"/>
        <v>0</v>
      </c>
      <c r="BA190" s="21">
        <f t="shared" si="173"/>
        <v>0</v>
      </c>
      <c r="BB190" s="21">
        <f t="shared" si="143"/>
        <v>0</v>
      </c>
    </row>
    <row r="191" spans="1:54">
      <c r="A191" s="456"/>
      <c r="B191" s="228">
        <v>2023</v>
      </c>
      <c r="C191" s="21">
        <f t="shared" ref="C191:AH191" si="174">C56*gallons_hot_home_saved</f>
        <v>0</v>
      </c>
      <c r="D191" s="21">
        <f t="shared" si="174"/>
        <v>0</v>
      </c>
      <c r="E191" s="21">
        <f t="shared" si="174"/>
        <v>0</v>
      </c>
      <c r="F191" s="21">
        <f t="shared" si="174"/>
        <v>0</v>
      </c>
      <c r="G191" s="21">
        <f t="shared" si="174"/>
        <v>0</v>
      </c>
      <c r="H191" s="21">
        <f t="shared" si="174"/>
        <v>0</v>
      </c>
      <c r="I191" s="21">
        <f t="shared" si="174"/>
        <v>0</v>
      </c>
      <c r="J191" s="21">
        <f t="shared" si="174"/>
        <v>0</v>
      </c>
      <c r="K191" s="21">
        <f t="shared" si="174"/>
        <v>0</v>
      </c>
      <c r="L191" s="21">
        <f t="shared" si="174"/>
        <v>0</v>
      </c>
      <c r="M191" s="21">
        <f t="shared" si="174"/>
        <v>0</v>
      </c>
      <c r="N191" s="21">
        <f t="shared" si="174"/>
        <v>0</v>
      </c>
      <c r="O191" s="21">
        <f t="shared" si="174"/>
        <v>0</v>
      </c>
      <c r="P191" s="21">
        <f t="shared" si="174"/>
        <v>0</v>
      </c>
      <c r="Q191" s="21">
        <f t="shared" si="174"/>
        <v>0</v>
      </c>
      <c r="R191" s="21">
        <f t="shared" si="174"/>
        <v>0</v>
      </c>
      <c r="S191" s="21">
        <f t="shared" si="174"/>
        <v>0</v>
      </c>
      <c r="T191" s="21">
        <f t="shared" si="174"/>
        <v>0</v>
      </c>
      <c r="U191" s="21">
        <f t="shared" si="174"/>
        <v>0</v>
      </c>
      <c r="V191" s="21">
        <f t="shared" si="174"/>
        <v>0</v>
      </c>
      <c r="W191" s="21">
        <f t="shared" si="174"/>
        <v>0</v>
      </c>
      <c r="X191" s="21">
        <f t="shared" si="174"/>
        <v>0</v>
      </c>
      <c r="Y191" s="21">
        <f t="shared" si="174"/>
        <v>0</v>
      </c>
      <c r="Z191" s="21">
        <f t="shared" si="174"/>
        <v>0</v>
      </c>
      <c r="AA191" s="21">
        <f t="shared" si="174"/>
        <v>0</v>
      </c>
      <c r="AB191" s="21">
        <f t="shared" si="174"/>
        <v>0</v>
      </c>
      <c r="AC191" s="21">
        <f t="shared" si="174"/>
        <v>0</v>
      </c>
      <c r="AD191" s="21">
        <f t="shared" si="174"/>
        <v>0</v>
      </c>
      <c r="AE191" s="21">
        <f t="shared" si="174"/>
        <v>0</v>
      </c>
      <c r="AF191" s="21">
        <f t="shared" si="174"/>
        <v>0</v>
      </c>
      <c r="AG191" s="21">
        <f t="shared" si="174"/>
        <v>0</v>
      </c>
      <c r="AH191" s="21">
        <f t="shared" si="174"/>
        <v>0</v>
      </c>
      <c r="AI191" s="21">
        <f t="shared" ref="AI191:BA191" si="175">AI56*gallons_hot_home_saved</f>
        <v>0</v>
      </c>
      <c r="AJ191" s="21">
        <f t="shared" si="175"/>
        <v>0</v>
      </c>
      <c r="AK191" s="21">
        <f t="shared" si="175"/>
        <v>0</v>
      </c>
      <c r="AL191" s="21">
        <f t="shared" si="175"/>
        <v>0</v>
      </c>
      <c r="AM191" s="21">
        <f t="shared" si="175"/>
        <v>0</v>
      </c>
      <c r="AN191" s="21">
        <f t="shared" si="175"/>
        <v>0</v>
      </c>
      <c r="AO191" s="21">
        <f t="shared" si="175"/>
        <v>0</v>
      </c>
      <c r="AP191" s="21">
        <f t="shared" si="175"/>
        <v>0</v>
      </c>
      <c r="AQ191" s="21">
        <f t="shared" si="175"/>
        <v>0</v>
      </c>
      <c r="AR191" s="21">
        <f t="shared" si="175"/>
        <v>0</v>
      </c>
      <c r="AS191" s="21">
        <f t="shared" si="175"/>
        <v>0</v>
      </c>
      <c r="AT191" s="21">
        <f t="shared" si="175"/>
        <v>0</v>
      </c>
      <c r="AU191" s="21">
        <f t="shared" si="175"/>
        <v>0</v>
      </c>
      <c r="AV191" s="21">
        <f t="shared" si="175"/>
        <v>0</v>
      </c>
      <c r="AW191" s="21">
        <f t="shared" si="175"/>
        <v>0</v>
      </c>
      <c r="AX191" s="21">
        <f t="shared" si="175"/>
        <v>0</v>
      </c>
      <c r="AY191" s="21">
        <f t="shared" si="175"/>
        <v>0</v>
      </c>
      <c r="AZ191" s="21">
        <f t="shared" si="175"/>
        <v>0</v>
      </c>
      <c r="BA191" s="21">
        <f t="shared" si="175"/>
        <v>0</v>
      </c>
      <c r="BB191" s="21">
        <f t="shared" si="143"/>
        <v>0</v>
      </c>
    </row>
    <row r="192" spans="1:54">
      <c r="A192" s="456"/>
      <c r="B192" s="226">
        <v>2024</v>
      </c>
      <c r="C192" s="21">
        <f t="shared" ref="C192:AH192" si="176">C57*gallons_hot_home_saved</f>
        <v>0</v>
      </c>
      <c r="D192" s="21">
        <f t="shared" si="176"/>
        <v>0</v>
      </c>
      <c r="E192" s="21">
        <f t="shared" si="176"/>
        <v>0</v>
      </c>
      <c r="F192" s="21">
        <f t="shared" si="176"/>
        <v>0</v>
      </c>
      <c r="G192" s="21">
        <f t="shared" si="176"/>
        <v>0</v>
      </c>
      <c r="H192" s="21">
        <f t="shared" si="176"/>
        <v>0</v>
      </c>
      <c r="I192" s="21">
        <f t="shared" si="176"/>
        <v>0</v>
      </c>
      <c r="J192" s="21">
        <f t="shared" si="176"/>
        <v>0</v>
      </c>
      <c r="K192" s="21">
        <f t="shared" si="176"/>
        <v>0</v>
      </c>
      <c r="L192" s="21">
        <f t="shared" si="176"/>
        <v>0</v>
      </c>
      <c r="M192" s="21">
        <f t="shared" si="176"/>
        <v>0</v>
      </c>
      <c r="N192" s="21">
        <f t="shared" si="176"/>
        <v>0</v>
      </c>
      <c r="O192" s="21">
        <f t="shared" si="176"/>
        <v>0</v>
      </c>
      <c r="P192" s="21">
        <f t="shared" si="176"/>
        <v>0</v>
      </c>
      <c r="Q192" s="21">
        <f t="shared" si="176"/>
        <v>0</v>
      </c>
      <c r="R192" s="21">
        <f t="shared" si="176"/>
        <v>0</v>
      </c>
      <c r="S192" s="21">
        <f t="shared" si="176"/>
        <v>0</v>
      </c>
      <c r="T192" s="21">
        <f t="shared" si="176"/>
        <v>0</v>
      </c>
      <c r="U192" s="21">
        <f t="shared" si="176"/>
        <v>0</v>
      </c>
      <c r="V192" s="21">
        <f t="shared" si="176"/>
        <v>0</v>
      </c>
      <c r="W192" s="21">
        <f t="shared" si="176"/>
        <v>0</v>
      </c>
      <c r="X192" s="21">
        <f t="shared" si="176"/>
        <v>0</v>
      </c>
      <c r="Y192" s="21">
        <f t="shared" si="176"/>
        <v>0</v>
      </c>
      <c r="Z192" s="21">
        <f t="shared" si="176"/>
        <v>0</v>
      </c>
      <c r="AA192" s="21">
        <f t="shared" si="176"/>
        <v>0</v>
      </c>
      <c r="AB192" s="21">
        <f t="shared" si="176"/>
        <v>0</v>
      </c>
      <c r="AC192" s="21">
        <f t="shared" si="176"/>
        <v>0</v>
      </c>
      <c r="AD192" s="21">
        <f t="shared" si="176"/>
        <v>0</v>
      </c>
      <c r="AE192" s="21">
        <f t="shared" si="176"/>
        <v>0</v>
      </c>
      <c r="AF192" s="21">
        <f t="shared" si="176"/>
        <v>0</v>
      </c>
      <c r="AG192" s="21">
        <f t="shared" si="176"/>
        <v>0</v>
      </c>
      <c r="AH192" s="21">
        <f t="shared" si="176"/>
        <v>0</v>
      </c>
      <c r="AI192" s="21">
        <f t="shared" ref="AI192:BA192" si="177">AI57*gallons_hot_home_saved</f>
        <v>0</v>
      </c>
      <c r="AJ192" s="21">
        <f t="shared" si="177"/>
        <v>0</v>
      </c>
      <c r="AK192" s="21">
        <f t="shared" si="177"/>
        <v>0</v>
      </c>
      <c r="AL192" s="21">
        <f t="shared" si="177"/>
        <v>0</v>
      </c>
      <c r="AM192" s="21">
        <f t="shared" si="177"/>
        <v>0</v>
      </c>
      <c r="AN192" s="21">
        <f t="shared" si="177"/>
        <v>0</v>
      </c>
      <c r="AO192" s="21">
        <f t="shared" si="177"/>
        <v>0</v>
      </c>
      <c r="AP192" s="21">
        <f t="shared" si="177"/>
        <v>0</v>
      </c>
      <c r="AQ192" s="21">
        <f t="shared" si="177"/>
        <v>0</v>
      </c>
      <c r="AR192" s="21">
        <f t="shared" si="177"/>
        <v>0</v>
      </c>
      <c r="AS192" s="21">
        <f t="shared" si="177"/>
        <v>0</v>
      </c>
      <c r="AT192" s="21">
        <f t="shared" si="177"/>
        <v>0</v>
      </c>
      <c r="AU192" s="21">
        <f t="shared" si="177"/>
        <v>0</v>
      </c>
      <c r="AV192" s="21">
        <f t="shared" si="177"/>
        <v>0</v>
      </c>
      <c r="AW192" s="21">
        <f t="shared" si="177"/>
        <v>0</v>
      </c>
      <c r="AX192" s="21">
        <f t="shared" si="177"/>
        <v>0</v>
      </c>
      <c r="AY192" s="21">
        <f t="shared" si="177"/>
        <v>0</v>
      </c>
      <c r="AZ192" s="21">
        <f t="shared" si="177"/>
        <v>0</v>
      </c>
      <c r="BA192" s="21">
        <f t="shared" si="177"/>
        <v>0</v>
      </c>
      <c r="BB192" s="21">
        <f t="shared" si="143"/>
        <v>0</v>
      </c>
    </row>
    <row r="193" spans="1:55">
      <c r="A193" s="456"/>
      <c r="B193" s="228">
        <v>2025</v>
      </c>
      <c r="C193" s="21">
        <f t="shared" ref="C193:AH193" si="178">C58*gallons_hot_home_saved</f>
        <v>0</v>
      </c>
      <c r="D193" s="21">
        <f t="shared" si="178"/>
        <v>0</v>
      </c>
      <c r="E193" s="21">
        <f t="shared" si="178"/>
        <v>0</v>
      </c>
      <c r="F193" s="21">
        <f t="shared" si="178"/>
        <v>0</v>
      </c>
      <c r="G193" s="21">
        <f t="shared" si="178"/>
        <v>0</v>
      </c>
      <c r="H193" s="21">
        <f t="shared" si="178"/>
        <v>0</v>
      </c>
      <c r="I193" s="21">
        <f t="shared" si="178"/>
        <v>0</v>
      </c>
      <c r="J193" s="21">
        <f t="shared" si="178"/>
        <v>0</v>
      </c>
      <c r="K193" s="21">
        <f t="shared" si="178"/>
        <v>0</v>
      </c>
      <c r="L193" s="21">
        <f t="shared" si="178"/>
        <v>0</v>
      </c>
      <c r="M193" s="21">
        <f t="shared" si="178"/>
        <v>0</v>
      </c>
      <c r="N193" s="21">
        <f t="shared" si="178"/>
        <v>0</v>
      </c>
      <c r="O193" s="21">
        <f t="shared" si="178"/>
        <v>0</v>
      </c>
      <c r="P193" s="21">
        <f t="shared" si="178"/>
        <v>0</v>
      </c>
      <c r="Q193" s="21">
        <f t="shared" si="178"/>
        <v>0</v>
      </c>
      <c r="R193" s="21">
        <f t="shared" si="178"/>
        <v>0</v>
      </c>
      <c r="S193" s="21">
        <f t="shared" si="178"/>
        <v>0</v>
      </c>
      <c r="T193" s="21">
        <f t="shared" si="178"/>
        <v>0</v>
      </c>
      <c r="U193" s="21">
        <f t="shared" si="178"/>
        <v>0</v>
      </c>
      <c r="V193" s="21">
        <f t="shared" si="178"/>
        <v>0</v>
      </c>
      <c r="W193" s="21">
        <f t="shared" si="178"/>
        <v>0</v>
      </c>
      <c r="X193" s="21">
        <f t="shared" si="178"/>
        <v>0</v>
      </c>
      <c r="Y193" s="21">
        <f t="shared" si="178"/>
        <v>0</v>
      </c>
      <c r="Z193" s="21">
        <f t="shared" si="178"/>
        <v>0</v>
      </c>
      <c r="AA193" s="21">
        <f t="shared" si="178"/>
        <v>0</v>
      </c>
      <c r="AB193" s="21">
        <f t="shared" si="178"/>
        <v>0</v>
      </c>
      <c r="AC193" s="21">
        <f t="shared" si="178"/>
        <v>0</v>
      </c>
      <c r="AD193" s="21">
        <f t="shared" si="178"/>
        <v>0</v>
      </c>
      <c r="AE193" s="21">
        <f t="shared" si="178"/>
        <v>0</v>
      </c>
      <c r="AF193" s="21">
        <f t="shared" si="178"/>
        <v>0</v>
      </c>
      <c r="AG193" s="21">
        <f t="shared" si="178"/>
        <v>0</v>
      </c>
      <c r="AH193" s="21">
        <f t="shared" si="178"/>
        <v>0</v>
      </c>
      <c r="AI193" s="21">
        <f t="shared" ref="AI193:BA193" si="179">AI58*gallons_hot_home_saved</f>
        <v>0</v>
      </c>
      <c r="AJ193" s="21">
        <f t="shared" si="179"/>
        <v>0</v>
      </c>
      <c r="AK193" s="21">
        <f t="shared" si="179"/>
        <v>0</v>
      </c>
      <c r="AL193" s="21">
        <f t="shared" si="179"/>
        <v>0</v>
      </c>
      <c r="AM193" s="21">
        <f t="shared" si="179"/>
        <v>0</v>
      </c>
      <c r="AN193" s="21">
        <f t="shared" si="179"/>
        <v>0</v>
      </c>
      <c r="AO193" s="21">
        <f t="shared" si="179"/>
        <v>0</v>
      </c>
      <c r="AP193" s="21">
        <f t="shared" si="179"/>
        <v>0</v>
      </c>
      <c r="AQ193" s="21">
        <f t="shared" si="179"/>
        <v>0</v>
      </c>
      <c r="AR193" s="21">
        <f t="shared" si="179"/>
        <v>0</v>
      </c>
      <c r="AS193" s="21">
        <f t="shared" si="179"/>
        <v>0</v>
      </c>
      <c r="AT193" s="21">
        <f t="shared" si="179"/>
        <v>0</v>
      </c>
      <c r="AU193" s="21">
        <f t="shared" si="179"/>
        <v>0</v>
      </c>
      <c r="AV193" s="21">
        <f t="shared" si="179"/>
        <v>0</v>
      </c>
      <c r="AW193" s="21">
        <f t="shared" si="179"/>
        <v>0</v>
      </c>
      <c r="AX193" s="21">
        <f t="shared" si="179"/>
        <v>0</v>
      </c>
      <c r="AY193" s="21">
        <f t="shared" si="179"/>
        <v>0</v>
      </c>
      <c r="AZ193" s="21">
        <f t="shared" si="179"/>
        <v>0</v>
      </c>
      <c r="BA193" s="21">
        <f t="shared" si="179"/>
        <v>0</v>
      </c>
      <c r="BB193" s="21">
        <f t="shared" si="143"/>
        <v>0</v>
      </c>
    </row>
    <row r="194" spans="1:55">
      <c r="A194" s="456"/>
      <c r="B194" s="226">
        <v>2026</v>
      </c>
      <c r="C194" s="21">
        <f t="shared" ref="C194:AH194" si="180">C59*gallons_hot_home_saved</f>
        <v>0</v>
      </c>
      <c r="D194" s="21">
        <f t="shared" si="180"/>
        <v>0</v>
      </c>
      <c r="E194" s="21">
        <f t="shared" si="180"/>
        <v>0</v>
      </c>
      <c r="F194" s="21">
        <f t="shared" si="180"/>
        <v>0</v>
      </c>
      <c r="G194" s="21">
        <f t="shared" si="180"/>
        <v>0</v>
      </c>
      <c r="H194" s="21">
        <f t="shared" si="180"/>
        <v>0</v>
      </c>
      <c r="I194" s="21">
        <f t="shared" si="180"/>
        <v>0</v>
      </c>
      <c r="J194" s="21">
        <f t="shared" si="180"/>
        <v>0</v>
      </c>
      <c r="K194" s="21">
        <f t="shared" si="180"/>
        <v>0</v>
      </c>
      <c r="L194" s="21">
        <f t="shared" si="180"/>
        <v>0</v>
      </c>
      <c r="M194" s="21">
        <f t="shared" si="180"/>
        <v>0</v>
      </c>
      <c r="N194" s="21">
        <f t="shared" si="180"/>
        <v>0</v>
      </c>
      <c r="O194" s="21">
        <f t="shared" si="180"/>
        <v>0</v>
      </c>
      <c r="P194" s="21">
        <f t="shared" si="180"/>
        <v>0</v>
      </c>
      <c r="Q194" s="21">
        <f t="shared" si="180"/>
        <v>0</v>
      </c>
      <c r="R194" s="21">
        <f t="shared" si="180"/>
        <v>0</v>
      </c>
      <c r="S194" s="21">
        <f t="shared" si="180"/>
        <v>0</v>
      </c>
      <c r="T194" s="21">
        <f t="shared" si="180"/>
        <v>0</v>
      </c>
      <c r="U194" s="21">
        <f t="shared" si="180"/>
        <v>0</v>
      </c>
      <c r="V194" s="21">
        <f t="shared" si="180"/>
        <v>0</v>
      </c>
      <c r="W194" s="21">
        <f t="shared" si="180"/>
        <v>0</v>
      </c>
      <c r="X194" s="21">
        <f t="shared" si="180"/>
        <v>0</v>
      </c>
      <c r="Y194" s="21">
        <f t="shared" si="180"/>
        <v>0</v>
      </c>
      <c r="Z194" s="21">
        <f t="shared" si="180"/>
        <v>0</v>
      </c>
      <c r="AA194" s="21">
        <f t="shared" si="180"/>
        <v>0</v>
      </c>
      <c r="AB194" s="21">
        <f t="shared" si="180"/>
        <v>0</v>
      </c>
      <c r="AC194" s="21">
        <f t="shared" si="180"/>
        <v>0</v>
      </c>
      <c r="AD194" s="21">
        <f t="shared" si="180"/>
        <v>0</v>
      </c>
      <c r="AE194" s="21">
        <f t="shared" si="180"/>
        <v>0</v>
      </c>
      <c r="AF194" s="21">
        <f t="shared" si="180"/>
        <v>0</v>
      </c>
      <c r="AG194" s="21">
        <f t="shared" si="180"/>
        <v>0</v>
      </c>
      <c r="AH194" s="21">
        <f t="shared" si="180"/>
        <v>0</v>
      </c>
      <c r="AI194" s="21">
        <f t="shared" ref="AI194:BA194" si="181">AI59*gallons_hot_home_saved</f>
        <v>0</v>
      </c>
      <c r="AJ194" s="21">
        <f t="shared" si="181"/>
        <v>0</v>
      </c>
      <c r="AK194" s="21">
        <f t="shared" si="181"/>
        <v>0</v>
      </c>
      <c r="AL194" s="21">
        <f t="shared" si="181"/>
        <v>0</v>
      </c>
      <c r="AM194" s="21">
        <f t="shared" si="181"/>
        <v>0</v>
      </c>
      <c r="AN194" s="21">
        <f t="shared" si="181"/>
        <v>0</v>
      </c>
      <c r="AO194" s="21">
        <f t="shared" si="181"/>
        <v>0</v>
      </c>
      <c r="AP194" s="21">
        <f t="shared" si="181"/>
        <v>0</v>
      </c>
      <c r="AQ194" s="21">
        <f t="shared" si="181"/>
        <v>0</v>
      </c>
      <c r="AR194" s="21">
        <f t="shared" si="181"/>
        <v>0</v>
      </c>
      <c r="AS194" s="21">
        <f t="shared" si="181"/>
        <v>0</v>
      </c>
      <c r="AT194" s="21">
        <f t="shared" si="181"/>
        <v>0</v>
      </c>
      <c r="AU194" s="21">
        <f t="shared" si="181"/>
        <v>0</v>
      </c>
      <c r="AV194" s="21">
        <f t="shared" si="181"/>
        <v>0</v>
      </c>
      <c r="AW194" s="21">
        <f t="shared" si="181"/>
        <v>0</v>
      </c>
      <c r="AX194" s="21">
        <f t="shared" si="181"/>
        <v>0</v>
      </c>
      <c r="AY194" s="21">
        <f t="shared" si="181"/>
        <v>0</v>
      </c>
      <c r="AZ194" s="21">
        <f t="shared" si="181"/>
        <v>0</v>
      </c>
      <c r="BA194" s="21">
        <f t="shared" si="181"/>
        <v>0</v>
      </c>
      <c r="BB194" s="21">
        <f t="shared" si="143"/>
        <v>0</v>
      </c>
    </row>
    <row r="195" spans="1:55">
      <c r="A195" s="456"/>
      <c r="B195" s="228">
        <v>2027</v>
      </c>
      <c r="C195" s="21">
        <f t="shared" ref="C195:AH195" si="182">C60*gallons_hot_home_saved</f>
        <v>0</v>
      </c>
      <c r="D195" s="21">
        <f t="shared" si="182"/>
        <v>0</v>
      </c>
      <c r="E195" s="21">
        <f t="shared" si="182"/>
        <v>0</v>
      </c>
      <c r="F195" s="21">
        <f t="shared" si="182"/>
        <v>0</v>
      </c>
      <c r="G195" s="21">
        <f t="shared" si="182"/>
        <v>0</v>
      </c>
      <c r="H195" s="21">
        <f t="shared" si="182"/>
        <v>0</v>
      </c>
      <c r="I195" s="21">
        <f t="shared" si="182"/>
        <v>0</v>
      </c>
      <c r="J195" s="21">
        <f t="shared" si="182"/>
        <v>0</v>
      </c>
      <c r="K195" s="21">
        <f t="shared" si="182"/>
        <v>0</v>
      </c>
      <c r="L195" s="21">
        <f t="shared" si="182"/>
        <v>0</v>
      </c>
      <c r="M195" s="21">
        <f t="shared" si="182"/>
        <v>0</v>
      </c>
      <c r="N195" s="21">
        <f t="shared" si="182"/>
        <v>0</v>
      </c>
      <c r="O195" s="21">
        <f t="shared" si="182"/>
        <v>0</v>
      </c>
      <c r="P195" s="21">
        <f t="shared" si="182"/>
        <v>0</v>
      </c>
      <c r="Q195" s="21">
        <f t="shared" si="182"/>
        <v>0</v>
      </c>
      <c r="R195" s="21">
        <f t="shared" si="182"/>
        <v>0</v>
      </c>
      <c r="S195" s="21">
        <f t="shared" si="182"/>
        <v>0</v>
      </c>
      <c r="T195" s="21">
        <f t="shared" si="182"/>
        <v>0</v>
      </c>
      <c r="U195" s="21">
        <f t="shared" si="182"/>
        <v>0</v>
      </c>
      <c r="V195" s="21">
        <f t="shared" si="182"/>
        <v>0</v>
      </c>
      <c r="W195" s="21">
        <f t="shared" si="182"/>
        <v>0</v>
      </c>
      <c r="X195" s="21">
        <f t="shared" si="182"/>
        <v>0</v>
      </c>
      <c r="Y195" s="21">
        <f t="shared" si="182"/>
        <v>0</v>
      </c>
      <c r="Z195" s="21">
        <f t="shared" si="182"/>
        <v>0</v>
      </c>
      <c r="AA195" s="21">
        <f t="shared" si="182"/>
        <v>0</v>
      </c>
      <c r="AB195" s="21">
        <f t="shared" si="182"/>
        <v>0</v>
      </c>
      <c r="AC195" s="21">
        <f t="shared" si="182"/>
        <v>0</v>
      </c>
      <c r="AD195" s="21">
        <f t="shared" si="182"/>
        <v>0</v>
      </c>
      <c r="AE195" s="21">
        <f t="shared" si="182"/>
        <v>0</v>
      </c>
      <c r="AF195" s="21">
        <f t="shared" si="182"/>
        <v>0</v>
      </c>
      <c r="AG195" s="21">
        <f t="shared" si="182"/>
        <v>0</v>
      </c>
      <c r="AH195" s="21">
        <f t="shared" si="182"/>
        <v>0</v>
      </c>
      <c r="AI195" s="21">
        <f t="shared" ref="AI195:BA195" si="183">AI60*gallons_hot_home_saved</f>
        <v>0</v>
      </c>
      <c r="AJ195" s="21">
        <f t="shared" si="183"/>
        <v>0</v>
      </c>
      <c r="AK195" s="21">
        <f t="shared" si="183"/>
        <v>0</v>
      </c>
      <c r="AL195" s="21">
        <f t="shared" si="183"/>
        <v>0</v>
      </c>
      <c r="AM195" s="21">
        <f t="shared" si="183"/>
        <v>0</v>
      </c>
      <c r="AN195" s="21">
        <f t="shared" si="183"/>
        <v>0</v>
      </c>
      <c r="AO195" s="21">
        <f t="shared" si="183"/>
        <v>0</v>
      </c>
      <c r="AP195" s="21">
        <f t="shared" si="183"/>
        <v>0</v>
      </c>
      <c r="AQ195" s="21">
        <f t="shared" si="183"/>
        <v>0</v>
      </c>
      <c r="AR195" s="21">
        <f t="shared" si="183"/>
        <v>0</v>
      </c>
      <c r="AS195" s="21">
        <f t="shared" si="183"/>
        <v>0</v>
      </c>
      <c r="AT195" s="21">
        <f t="shared" si="183"/>
        <v>0</v>
      </c>
      <c r="AU195" s="21">
        <f t="shared" si="183"/>
        <v>0</v>
      </c>
      <c r="AV195" s="21">
        <f t="shared" si="183"/>
        <v>0</v>
      </c>
      <c r="AW195" s="21">
        <f t="shared" si="183"/>
        <v>0</v>
      </c>
      <c r="AX195" s="21">
        <f t="shared" si="183"/>
        <v>0</v>
      </c>
      <c r="AY195" s="21">
        <f t="shared" si="183"/>
        <v>0</v>
      </c>
      <c r="AZ195" s="21">
        <f t="shared" si="183"/>
        <v>0</v>
      </c>
      <c r="BA195" s="21">
        <f t="shared" si="183"/>
        <v>0</v>
      </c>
      <c r="BB195" s="21">
        <f t="shared" si="143"/>
        <v>0</v>
      </c>
    </row>
    <row r="196" spans="1:55">
      <c r="A196" s="456"/>
      <c r="B196" s="226">
        <v>2028</v>
      </c>
      <c r="C196" s="21">
        <f t="shared" ref="C196:AH196" si="184">C61*gallons_hot_home_saved</f>
        <v>0</v>
      </c>
      <c r="D196" s="21">
        <f t="shared" si="184"/>
        <v>0</v>
      </c>
      <c r="E196" s="21">
        <f t="shared" si="184"/>
        <v>0</v>
      </c>
      <c r="F196" s="21">
        <f t="shared" si="184"/>
        <v>0</v>
      </c>
      <c r="G196" s="21">
        <f t="shared" si="184"/>
        <v>0</v>
      </c>
      <c r="H196" s="21">
        <f t="shared" si="184"/>
        <v>0</v>
      </c>
      <c r="I196" s="21">
        <f t="shared" si="184"/>
        <v>0</v>
      </c>
      <c r="J196" s="21">
        <f t="shared" si="184"/>
        <v>0</v>
      </c>
      <c r="K196" s="21">
        <f t="shared" si="184"/>
        <v>0</v>
      </c>
      <c r="L196" s="21">
        <f t="shared" si="184"/>
        <v>0</v>
      </c>
      <c r="M196" s="21">
        <f t="shared" si="184"/>
        <v>0</v>
      </c>
      <c r="N196" s="21">
        <f t="shared" si="184"/>
        <v>0</v>
      </c>
      <c r="O196" s="21">
        <f t="shared" si="184"/>
        <v>0</v>
      </c>
      <c r="P196" s="21">
        <f t="shared" si="184"/>
        <v>0</v>
      </c>
      <c r="Q196" s="21">
        <f t="shared" si="184"/>
        <v>0</v>
      </c>
      <c r="R196" s="21">
        <f t="shared" si="184"/>
        <v>0</v>
      </c>
      <c r="S196" s="21">
        <f t="shared" si="184"/>
        <v>0</v>
      </c>
      <c r="T196" s="21">
        <f t="shared" si="184"/>
        <v>0</v>
      </c>
      <c r="U196" s="21">
        <f t="shared" si="184"/>
        <v>0</v>
      </c>
      <c r="V196" s="21">
        <f t="shared" si="184"/>
        <v>0</v>
      </c>
      <c r="W196" s="21">
        <f t="shared" si="184"/>
        <v>0</v>
      </c>
      <c r="X196" s="21">
        <f t="shared" si="184"/>
        <v>0</v>
      </c>
      <c r="Y196" s="21">
        <f t="shared" si="184"/>
        <v>0</v>
      </c>
      <c r="Z196" s="21">
        <f t="shared" si="184"/>
        <v>0</v>
      </c>
      <c r="AA196" s="21">
        <f t="shared" si="184"/>
        <v>0</v>
      </c>
      <c r="AB196" s="21">
        <f t="shared" si="184"/>
        <v>0</v>
      </c>
      <c r="AC196" s="21">
        <f t="shared" si="184"/>
        <v>0</v>
      </c>
      <c r="AD196" s="21">
        <f t="shared" si="184"/>
        <v>0</v>
      </c>
      <c r="AE196" s="21">
        <f t="shared" si="184"/>
        <v>0</v>
      </c>
      <c r="AF196" s="21">
        <f t="shared" si="184"/>
        <v>0</v>
      </c>
      <c r="AG196" s="21">
        <f t="shared" si="184"/>
        <v>0</v>
      </c>
      <c r="AH196" s="21">
        <f t="shared" si="184"/>
        <v>0</v>
      </c>
      <c r="AI196" s="21">
        <f t="shared" ref="AI196:BA196" si="185">AI61*gallons_hot_home_saved</f>
        <v>0</v>
      </c>
      <c r="AJ196" s="21">
        <f t="shared" si="185"/>
        <v>0</v>
      </c>
      <c r="AK196" s="21">
        <f t="shared" si="185"/>
        <v>0</v>
      </c>
      <c r="AL196" s="21">
        <f t="shared" si="185"/>
        <v>0</v>
      </c>
      <c r="AM196" s="21">
        <f t="shared" si="185"/>
        <v>0</v>
      </c>
      <c r="AN196" s="21">
        <f t="shared" si="185"/>
        <v>0</v>
      </c>
      <c r="AO196" s="21">
        <f t="shared" si="185"/>
        <v>0</v>
      </c>
      <c r="AP196" s="21">
        <f t="shared" si="185"/>
        <v>0</v>
      </c>
      <c r="AQ196" s="21">
        <f t="shared" si="185"/>
        <v>0</v>
      </c>
      <c r="AR196" s="21">
        <f t="shared" si="185"/>
        <v>0</v>
      </c>
      <c r="AS196" s="21">
        <f t="shared" si="185"/>
        <v>0</v>
      </c>
      <c r="AT196" s="21">
        <f t="shared" si="185"/>
        <v>0</v>
      </c>
      <c r="AU196" s="21">
        <f t="shared" si="185"/>
        <v>0</v>
      </c>
      <c r="AV196" s="21">
        <f t="shared" si="185"/>
        <v>0</v>
      </c>
      <c r="AW196" s="21">
        <f t="shared" si="185"/>
        <v>0</v>
      </c>
      <c r="AX196" s="21">
        <f t="shared" si="185"/>
        <v>0</v>
      </c>
      <c r="AY196" s="21">
        <f t="shared" si="185"/>
        <v>0</v>
      </c>
      <c r="AZ196" s="21">
        <f t="shared" si="185"/>
        <v>0</v>
      </c>
      <c r="BA196" s="21">
        <f t="shared" si="185"/>
        <v>0</v>
      </c>
      <c r="BB196" s="21">
        <f t="shared" si="143"/>
        <v>0</v>
      </c>
    </row>
    <row r="197" spans="1:55">
      <c r="A197" s="456"/>
      <c r="B197" s="228">
        <v>2029</v>
      </c>
      <c r="C197" s="21">
        <f t="shared" ref="C197:AH197" si="186">C62*gallons_hot_home_saved</f>
        <v>0</v>
      </c>
      <c r="D197" s="21">
        <f t="shared" si="186"/>
        <v>0</v>
      </c>
      <c r="E197" s="21">
        <f t="shared" si="186"/>
        <v>0</v>
      </c>
      <c r="F197" s="21">
        <f t="shared" si="186"/>
        <v>0</v>
      </c>
      <c r="G197" s="21">
        <f t="shared" si="186"/>
        <v>0</v>
      </c>
      <c r="H197" s="21">
        <f t="shared" si="186"/>
        <v>0</v>
      </c>
      <c r="I197" s="21">
        <f t="shared" si="186"/>
        <v>0</v>
      </c>
      <c r="J197" s="21">
        <f t="shared" si="186"/>
        <v>0</v>
      </c>
      <c r="K197" s="21">
        <f t="shared" si="186"/>
        <v>0</v>
      </c>
      <c r="L197" s="21">
        <f t="shared" si="186"/>
        <v>0</v>
      </c>
      <c r="M197" s="21">
        <f t="shared" si="186"/>
        <v>0</v>
      </c>
      <c r="N197" s="21">
        <f t="shared" si="186"/>
        <v>0</v>
      </c>
      <c r="O197" s="21">
        <f t="shared" si="186"/>
        <v>0</v>
      </c>
      <c r="P197" s="21">
        <f t="shared" si="186"/>
        <v>0</v>
      </c>
      <c r="Q197" s="21">
        <f t="shared" si="186"/>
        <v>0</v>
      </c>
      <c r="R197" s="21">
        <f t="shared" si="186"/>
        <v>0</v>
      </c>
      <c r="S197" s="21">
        <f t="shared" si="186"/>
        <v>0</v>
      </c>
      <c r="T197" s="21">
        <f t="shared" si="186"/>
        <v>0</v>
      </c>
      <c r="U197" s="21">
        <f t="shared" si="186"/>
        <v>0</v>
      </c>
      <c r="V197" s="21">
        <f t="shared" si="186"/>
        <v>0</v>
      </c>
      <c r="W197" s="21">
        <f t="shared" si="186"/>
        <v>0</v>
      </c>
      <c r="X197" s="21">
        <f t="shared" si="186"/>
        <v>0</v>
      </c>
      <c r="Y197" s="21">
        <f t="shared" si="186"/>
        <v>0</v>
      </c>
      <c r="Z197" s="21">
        <f t="shared" si="186"/>
        <v>0</v>
      </c>
      <c r="AA197" s="21">
        <f t="shared" si="186"/>
        <v>0</v>
      </c>
      <c r="AB197" s="21">
        <f t="shared" si="186"/>
        <v>0</v>
      </c>
      <c r="AC197" s="21">
        <f t="shared" si="186"/>
        <v>0</v>
      </c>
      <c r="AD197" s="21">
        <f t="shared" si="186"/>
        <v>0</v>
      </c>
      <c r="AE197" s="21">
        <f t="shared" si="186"/>
        <v>0</v>
      </c>
      <c r="AF197" s="21">
        <f t="shared" si="186"/>
        <v>0</v>
      </c>
      <c r="AG197" s="21">
        <f t="shared" si="186"/>
        <v>0</v>
      </c>
      <c r="AH197" s="21">
        <f t="shared" si="186"/>
        <v>0</v>
      </c>
      <c r="AI197" s="21">
        <f t="shared" ref="AI197:BA197" si="187">AI62*gallons_hot_home_saved</f>
        <v>0</v>
      </c>
      <c r="AJ197" s="21">
        <f t="shared" si="187"/>
        <v>0</v>
      </c>
      <c r="AK197" s="21">
        <f t="shared" si="187"/>
        <v>0</v>
      </c>
      <c r="AL197" s="21">
        <f t="shared" si="187"/>
        <v>0</v>
      </c>
      <c r="AM197" s="21">
        <f t="shared" si="187"/>
        <v>0</v>
      </c>
      <c r="AN197" s="21">
        <f t="shared" si="187"/>
        <v>0</v>
      </c>
      <c r="AO197" s="21">
        <f t="shared" si="187"/>
        <v>0</v>
      </c>
      <c r="AP197" s="21">
        <f t="shared" si="187"/>
        <v>0</v>
      </c>
      <c r="AQ197" s="21">
        <f t="shared" si="187"/>
        <v>0</v>
      </c>
      <c r="AR197" s="21">
        <f t="shared" si="187"/>
        <v>0</v>
      </c>
      <c r="AS197" s="21">
        <f t="shared" si="187"/>
        <v>0</v>
      </c>
      <c r="AT197" s="21">
        <f t="shared" si="187"/>
        <v>0</v>
      </c>
      <c r="AU197" s="21">
        <f t="shared" si="187"/>
        <v>0</v>
      </c>
      <c r="AV197" s="21">
        <f t="shared" si="187"/>
        <v>0</v>
      </c>
      <c r="AW197" s="21">
        <f t="shared" si="187"/>
        <v>0</v>
      </c>
      <c r="AX197" s="21">
        <f t="shared" si="187"/>
        <v>0</v>
      </c>
      <c r="AY197" s="21">
        <f t="shared" si="187"/>
        <v>0</v>
      </c>
      <c r="AZ197" s="21">
        <f t="shared" si="187"/>
        <v>0</v>
      </c>
      <c r="BA197" s="21">
        <f t="shared" si="187"/>
        <v>0</v>
      </c>
      <c r="BB197" s="21">
        <f t="shared" si="143"/>
        <v>0</v>
      </c>
    </row>
    <row r="198" spans="1:55">
      <c r="A198" s="456"/>
      <c r="B198" s="226">
        <v>2030</v>
      </c>
      <c r="C198" s="21">
        <f t="shared" ref="C198:AH198" si="188">C63*gallons_hot_home_saved</f>
        <v>0</v>
      </c>
      <c r="D198" s="21">
        <f t="shared" si="188"/>
        <v>0</v>
      </c>
      <c r="E198" s="21">
        <f t="shared" si="188"/>
        <v>0</v>
      </c>
      <c r="F198" s="21">
        <f t="shared" si="188"/>
        <v>0</v>
      </c>
      <c r="G198" s="21">
        <f t="shared" si="188"/>
        <v>0</v>
      </c>
      <c r="H198" s="21">
        <f t="shared" si="188"/>
        <v>0</v>
      </c>
      <c r="I198" s="21">
        <f t="shared" si="188"/>
        <v>0</v>
      </c>
      <c r="J198" s="21">
        <f t="shared" si="188"/>
        <v>0</v>
      </c>
      <c r="K198" s="21">
        <f t="shared" si="188"/>
        <v>0</v>
      </c>
      <c r="L198" s="21">
        <f t="shared" si="188"/>
        <v>0</v>
      </c>
      <c r="M198" s="21">
        <f t="shared" si="188"/>
        <v>0</v>
      </c>
      <c r="N198" s="21">
        <f t="shared" si="188"/>
        <v>0</v>
      </c>
      <c r="O198" s="21">
        <f t="shared" si="188"/>
        <v>0</v>
      </c>
      <c r="P198" s="21">
        <f t="shared" si="188"/>
        <v>0</v>
      </c>
      <c r="Q198" s="21">
        <f t="shared" si="188"/>
        <v>0</v>
      </c>
      <c r="R198" s="21">
        <f t="shared" si="188"/>
        <v>0</v>
      </c>
      <c r="S198" s="21">
        <f t="shared" si="188"/>
        <v>0</v>
      </c>
      <c r="T198" s="21">
        <f t="shared" si="188"/>
        <v>0</v>
      </c>
      <c r="U198" s="21">
        <f t="shared" si="188"/>
        <v>0</v>
      </c>
      <c r="V198" s="21">
        <f t="shared" si="188"/>
        <v>0</v>
      </c>
      <c r="W198" s="21">
        <f t="shared" si="188"/>
        <v>0</v>
      </c>
      <c r="X198" s="21">
        <f t="shared" si="188"/>
        <v>0</v>
      </c>
      <c r="Y198" s="21">
        <f t="shared" si="188"/>
        <v>0</v>
      </c>
      <c r="Z198" s="21">
        <f t="shared" si="188"/>
        <v>0</v>
      </c>
      <c r="AA198" s="21">
        <f t="shared" si="188"/>
        <v>0</v>
      </c>
      <c r="AB198" s="21">
        <f t="shared" si="188"/>
        <v>0</v>
      </c>
      <c r="AC198" s="21">
        <f t="shared" si="188"/>
        <v>0</v>
      </c>
      <c r="AD198" s="21">
        <f t="shared" si="188"/>
        <v>0</v>
      </c>
      <c r="AE198" s="21">
        <f t="shared" si="188"/>
        <v>0</v>
      </c>
      <c r="AF198" s="21">
        <f t="shared" si="188"/>
        <v>0</v>
      </c>
      <c r="AG198" s="21">
        <f t="shared" si="188"/>
        <v>0</v>
      </c>
      <c r="AH198" s="21">
        <f t="shared" si="188"/>
        <v>0</v>
      </c>
      <c r="AI198" s="21">
        <f t="shared" ref="AI198:BA198" si="189">AI63*gallons_hot_home_saved</f>
        <v>0</v>
      </c>
      <c r="AJ198" s="21">
        <f t="shared" si="189"/>
        <v>0</v>
      </c>
      <c r="AK198" s="21">
        <f t="shared" si="189"/>
        <v>0</v>
      </c>
      <c r="AL198" s="21">
        <f t="shared" si="189"/>
        <v>0</v>
      </c>
      <c r="AM198" s="21">
        <f t="shared" si="189"/>
        <v>0</v>
      </c>
      <c r="AN198" s="21">
        <f t="shared" si="189"/>
        <v>0</v>
      </c>
      <c r="AO198" s="21">
        <f t="shared" si="189"/>
        <v>0</v>
      </c>
      <c r="AP198" s="21">
        <f t="shared" si="189"/>
        <v>0</v>
      </c>
      <c r="AQ198" s="21">
        <f t="shared" si="189"/>
        <v>0</v>
      </c>
      <c r="AR198" s="21">
        <f t="shared" si="189"/>
        <v>0</v>
      </c>
      <c r="AS198" s="21">
        <f t="shared" si="189"/>
        <v>0</v>
      </c>
      <c r="AT198" s="21">
        <f t="shared" si="189"/>
        <v>0</v>
      </c>
      <c r="AU198" s="21">
        <f t="shared" si="189"/>
        <v>0</v>
      </c>
      <c r="AV198" s="21">
        <f t="shared" si="189"/>
        <v>0</v>
      </c>
      <c r="AW198" s="21">
        <f t="shared" si="189"/>
        <v>0</v>
      </c>
      <c r="AX198" s="21">
        <f t="shared" si="189"/>
        <v>0</v>
      </c>
      <c r="AY198" s="21">
        <f t="shared" si="189"/>
        <v>0</v>
      </c>
      <c r="AZ198" s="21">
        <f t="shared" si="189"/>
        <v>0</v>
      </c>
      <c r="BA198" s="21">
        <f t="shared" si="189"/>
        <v>0</v>
      </c>
      <c r="BB198" s="21">
        <f t="shared" si="143"/>
        <v>0</v>
      </c>
    </row>
    <row r="199" spans="1:55" s="63" customFormat="1"/>
    <row r="200" spans="1:55">
      <c r="A200" s="456" t="s">
        <v>234</v>
      </c>
      <c r="B200" s="226" t="s">
        <v>225</v>
      </c>
      <c r="C200" t="str">
        <f>C173</f>
        <v>AL</v>
      </c>
      <c r="D200" t="str">
        <f t="shared" ref="D200:BA200" si="190">D173</f>
        <v>AK</v>
      </c>
      <c r="E200" t="str">
        <f t="shared" si="190"/>
        <v>AZ</v>
      </c>
      <c r="F200" t="str">
        <f t="shared" si="190"/>
        <v>AR</v>
      </c>
      <c r="G200" t="str">
        <f t="shared" si="190"/>
        <v>CA</v>
      </c>
      <c r="H200" t="str">
        <f t="shared" si="190"/>
        <v>CO</v>
      </c>
      <c r="I200" t="str">
        <f t="shared" si="190"/>
        <v>CT</v>
      </c>
      <c r="J200" t="str">
        <f t="shared" si="190"/>
        <v>DE</v>
      </c>
      <c r="K200" t="str">
        <f t="shared" si="190"/>
        <v>DC</v>
      </c>
      <c r="L200" t="str">
        <f t="shared" si="190"/>
        <v>FL</v>
      </c>
      <c r="M200" t="str">
        <f t="shared" si="190"/>
        <v>GA</v>
      </c>
      <c r="N200" t="str">
        <f t="shared" si="190"/>
        <v>HI</v>
      </c>
      <c r="O200" t="str">
        <f t="shared" si="190"/>
        <v>ID</v>
      </c>
      <c r="P200" t="str">
        <f t="shared" si="190"/>
        <v>IL</v>
      </c>
      <c r="Q200" t="str">
        <f t="shared" si="190"/>
        <v>IN</v>
      </c>
      <c r="R200" t="str">
        <f t="shared" si="190"/>
        <v>IA</v>
      </c>
      <c r="S200" t="str">
        <f t="shared" si="190"/>
        <v>KS</v>
      </c>
      <c r="T200" t="str">
        <f t="shared" si="190"/>
        <v>KY</v>
      </c>
      <c r="U200" t="str">
        <f t="shared" si="190"/>
        <v>LA</v>
      </c>
      <c r="V200" t="str">
        <f t="shared" si="190"/>
        <v>ME</v>
      </c>
      <c r="W200" t="str">
        <f t="shared" si="190"/>
        <v>MD</v>
      </c>
      <c r="X200" t="str">
        <f t="shared" si="190"/>
        <v>MA</v>
      </c>
      <c r="Y200" t="str">
        <f t="shared" si="190"/>
        <v>MI</v>
      </c>
      <c r="Z200" t="str">
        <f t="shared" si="190"/>
        <v>MN</v>
      </c>
      <c r="AA200" t="str">
        <f t="shared" si="190"/>
        <v>MS</v>
      </c>
      <c r="AB200" t="str">
        <f t="shared" si="190"/>
        <v>MO</v>
      </c>
      <c r="AC200" t="str">
        <f t="shared" si="190"/>
        <v>MT</v>
      </c>
      <c r="AD200" t="str">
        <f t="shared" si="190"/>
        <v>NE</v>
      </c>
      <c r="AE200" t="str">
        <f t="shared" si="190"/>
        <v>NV</v>
      </c>
      <c r="AF200" t="str">
        <f t="shared" si="190"/>
        <v>NH</v>
      </c>
      <c r="AG200" t="str">
        <f t="shared" si="190"/>
        <v>NJ</v>
      </c>
      <c r="AH200" t="str">
        <f t="shared" si="190"/>
        <v>NM</v>
      </c>
      <c r="AI200" t="str">
        <f t="shared" si="190"/>
        <v>NY</v>
      </c>
      <c r="AJ200" t="str">
        <f t="shared" si="190"/>
        <v>NC</v>
      </c>
      <c r="AK200" t="str">
        <f t="shared" si="190"/>
        <v>ND</v>
      </c>
      <c r="AL200" t="str">
        <f t="shared" si="190"/>
        <v>OH</v>
      </c>
      <c r="AM200" t="str">
        <f t="shared" si="190"/>
        <v>OK</v>
      </c>
      <c r="AN200" t="str">
        <f t="shared" si="190"/>
        <v>OR</v>
      </c>
      <c r="AO200" t="str">
        <f t="shared" si="190"/>
        <v>PA</v>
      </c>
      <c r="AP200" t="str">
        <f t="shared" si="190"/>
        <v>RI</v>
      </c>
      <c r="AQ200" t="str">
        <f t="shared" si="190"/>
        <v>SC</v>
      </c>
      <c r="AR200" t="str">
        <f t="shared" si="190"/>
        <v>SD</v>
      </c>
      <c r="AS200" t="str">
        <f t="shared" si="190"/>
        <v>TN</v>
      </c>
      <c r="AT200" t="str">
        <f t="shared" si="190"/>
        <v>TX</v>
      </c>
      <c r="AU200" t="str">
        <f t="shared" si="190"/>
        <v>UT</v>
      </c>
      <c r="AV200" t="str">
        <f t="shared" si="190"/>
        <v>VT</v>
      </c>
      <c r="AW200" t="str">
        <f t="shared" si="190"/>
        <v>VA</v>
      </c>
      <c r="AX200" t="str">
        <f t="shared" si="190"/>
        <v>WA</v>
      </c>
      <c r="AY200" t="str">
        <f t="shared" si="190"/>
        <v>WV</v>
      </c>
      <c r="AZ200" t="str">
        <f t="shared" si="190"/>
        <v>WI</v>
      </c>
      <c r="BA200" t="str">
        <f t="shared" si="190"/>
        <v>WY</v>
      </c>
      <c r="BB200" t="s">
        <v>96</v>
      </c>
    </row>
    <row r="201" spans="1:55">
      <c r="A201" s="456"/>
      <c r="B201" s="226" t="s">
        <v>11</v>
      </c>
    </row>
    <row r="202" spans="1:55">
      <c r="A202" s="456"/>
      <c r="B202" s="228">
        <v>2007</v>
      </c>
      <c r="C202" s="21" cm="1">
        <f t="array" ref="C202">C175*(Houses_with_elec_07/Houses_with_plumbing_07)*((INDEX('DHW Mix'!$AT$7:$BD$30,Homes_calc!$B202-2006,Homes_calc!C$35+1)))</f>
        <v>0</v>
      </c>
      <c r="D202" s="21" cm="1">
        <f t="array" ref="D202">D175*(Houses_with_elec_07/Houses_with_plumbing_07)*((INDEX('DHW Mix'!$AT$7:$BD$30,Homes_calc!$B202-2006,Homes_calc!D$35+1)))</f>
        <v>0</v>
      </c>
      <c r="E202" s="21" cm="1">
        <f t="array" ref="E202">E175*(Houses_with_elec_07/Houses_with_plumbing_07)*((INDEX('DHW Mix'!$AT$7:$BD$30,Homes_calc!$B202-2006,Homes_calc!E$35+1)))</f>
        <v>0</v>
      </c>
      <c r="F202" s="21" cm="1">
        <f t="array" ref="F202">F175*(Houses_with_elec_07/Houses_with_plumbing_07)*((INDEX('DHW Mix'!$AT$7:$BD$30,Homes_calc!$B202-2006,Homes_calc!F$35+1)))</f>
        <v>0</v>
      </c>
      <c r="G202" s="21" cm="1">
        <f t="array" ref="G202">G175*(Houses_with_elec_07/Houses_with_plumbing_07)*((INDEX('DHW Mix'!$AT$7:$BD$30,Homes_calc!$B202-2006,Homes_calc!G$35+1)))</f>
        <v>0</v>
      </c>
      <c r="H202" s="21" cm="1">
        <f t="array" ref="H202">H175*(Houses_with_elec_07/Houses_with_plumbing_07)*((INDEX('DHW Mix'!$AT$7:$BD$30,Homes_calc!$B202-2006,Homes_calc!H$35+1)))</f>
        <v>0</v>
      </c>
      <c r="I202" s="21" cm="1">
        <f t="array" ref="I202">I175*(Houses_with_elec_07/Houses_with_plumbing_07)*((INDEX('DHW Mix'!$AT$7:$BD$30,Homes_calc!$B202-2006,Homes_calc!I$35+1)))</f>
        <v>0</v>
      </c>
      <c r="J202" s="21" cm="1">
        <f t="array" ref="J202">J175*(Houses_with_elec_07/Houses_with_plumbing_07)*((INDEX('DHW Mix'!$AT$7:$BD$30,Homes_calc!$B202-2006,Homes_calc!J$35+1)))</f>
        <v>0</v>
      </c>
      <c r="K202" s="21" cm="1">
        <f t="array" ref="K202">K175*(Houses_with_elec_07/Houses_with_plumbing_07)*((INDEX('DHW Mix'!$AT$7:$BD$30,Homes_calc!$B202-2006,Homes_calc!K$35+1)))</f>
        <v>0</v>
      </c>
      <c r="L202" s="21" cm="1">
        <f t="array" ref="L202">L175*(Houses_with_elec_07/Houses_with_plumbing_07)*((INDEX('DHW Mix'!$AT$7:$BD$30,Homes_calc!$B202-2006,Homes_calc!L$35+1)))</f>
        <v>0</v>
      </c>
      <c r="M202" s="21" cm="1">
        <f t="array" ref="M202">M175*(Houses_with_elec_07/Houses_with_plumbing_07)*((INDEX('DHW Mix'!$AT$7:$BD$30,Homes_calc!$B202-2006,Homes_calc!M$35+1)))</f>
        <v>0</v>
      </c>
      <c r="N202" s="21" cm="1">
        <f t="array" ref="N202">N175*(Houses_with_elec_07/Houses_with_plumbing_07)*((INDEX('DHW Mix'!$AT$7:$BD$30,Homes_calc!$B202-2006,Homes_calc!N$35+1)))</f>
        <v>0</v>
      </c>
      <c r="O202" s="21" cm="1">
        <f t="array" ref="O202">O175*(Houses_with_elec_07/Houses_with_plumbing_07)*((INDEX('DHW Mix'!$AT$7:$BD$30,Homes_calc!$B202-2006,Homes_calc!O$35+1)))</f>
        <v>0</v>
      </c>
      <c r="P202" s="21" cm="1">
        <f t="array" ref="P202">P175*(Houses_with_elec_07/Houses_with_plumbing_07)*((INDEX('DHW Mix'!$AT$7:$BD$30,Homes_calc!$B202-2006,Homes_calc!P$35+1)))</f>
        <v>0</v>
      </c>
      <c r="Q202" s="21" cm="1">
        <f t="array" ref="Q202">Q175*(Houses_with_elec_07/Houses_with_plumbing_07)*((INDEX('DHW Mix'!$AT$7:$BD$30,Homes_calc!$B202-2006,Homes_calc!Q$35+1)))</f>
        <v>0</v>
      </c>
      <c r="R202" s="21" cm="1">
        <f t="array" ref="R202">R175*(Houses_with_elec_07/Houses_with_plumbing_07)*((INDEX('DHW Mix'!$AT$7:$BD$30,Homes_calc!$B202-2006,Homes_calc!R$35+1)))</f>
        <v>0</v>
      </c>
      <c r="S202" s="21" cm="1">
        <f t="array" ref="S202">S175*(Houses_with_elec_07/Houses_with_plumbing_07)*((INDEX('DHW Mix'!$AT$7:$BD$30,Homes_calc!$B202-2006,Homes_calc!S$35+1)))</f>
        <v>0</v>
      </c>
      <c r="T202" s="21" cm="1">
        <f t="array" ref="T202">T175*(Houses_with_elec_07/Houses_with_plumbing_07)*((INDEX('DHW Mix'!$AT$7:$BD$30,Homes_calc!$B202-2006,Homes_calc!T$35+1)))</f>
        <v>0</v>
      </c>
      <c r="U202" s="21" cm="1">
        <f t="array" ref="U202">U175*(Houses_with_elec_07/Houses_with_plumbing_07)*((INDEX('DHW Mix'!$AT$7:$BD$30,Homes_calc!$B202-2006,Homes_calc!U$35+1)))</f>
        <v>0</v>
      </c>
      <c r="V202" s="21" cm="1">
        <f t="array" ref="V202">V175*(Houses_with_elec_07/Houses_with_plumbing_07)*((INDEX('DHW Mix'!$AT$7:$BD$30,Homes_calc!$B202-2006,Homes_calc!V$35+1)))</f>
        <v>0</v>
      </c>
      <c r="W202" s="21" cm="1">
        <f t="array" ref="W202">W175*(Houses_with_elec_07/Houses_with_plumbing_07)*((INDEX('DHW Mix'!$AT$7:$BD$30,Homes_calc!$B202-2006,Homes_calc!W$35+1)))</f>
        <v>0</v>
      </c>
      <c r="X202" s="21" cm="1">
        <f t="array" ref="X202">X175*(Houses_with_elec_07/Houses_with_plumbing_07)*((INDEX('DHW Mix'!$AT$7:$BD$30,Homes_calc!$B202-2006,Homes_calc!X$35+1)))</f>
        <v>0</v>
      </c>
      <c r="Y202" s="21" cm="1">
        <f t="array" ref="Y202">Y175*(Houses_with_elec_07/Houses_with_plumbing_07)*((INDEX('DHW Mix'!$AT$7:$BD$30,Homes_calc!$B202-2006,Homes_calc!Y$35+1)))</f>
        <v>0</v>
      </c>
      <c r="Z202" s="21" cm="1">
        <f t="array" ref="Z202">Z175*(Houses_with_elec_07/Houses_with_plumbing_07)*((INDEX('DHW Mix'!$AT$7:$BD$30,Homes_calc!$B202-2006,Homes_calc!Z$35+1)))</f>
        <v>0</v>
      </c>
      <c r="AA202" s="21" cm="1">
        <f t="array" ref="AA202">AA175*(Houses_with_elec_07/Houses_with_plumbing_07)*((INDEX('DHW Mix'!$AT$7:$BD$30,Homes_calc!$B202-2006,Homes_calc!AA$35+1)))</f>
        <v>0</v>
      </c>
      <c r="AB202" s="21" cm="1">
        <f t="array" ref="AB202">AB175*(Houses_with_elec_07/Houses_with_plumbing_07)*((INDEX('DHW Mix'!$AT$7:$BD$30,Homes_calc!$B202-2006,Homes_calc!AB$35+1)))</f>
        <v>0</v>
      </c>
      <c r="AC202" s="21" cm="1">
        <f t="array" ref="AC202">AC175*(Houses_with_elec_07/Houses_with_plumbing_07)*((INDEX('DHW Mix'!$AT$7:$BD$30,Homes_calc!$B202-2006,Homes_calc!AC$35+1)))</f>
        <v>0</v>
      </c>
      <c r="AD202" s="21" cm="1">
        <f t="array" ref="AD202">AD175*(Houses_with_elec_07/Houses_with_plumbing_07)*((INDEX('DHW Mix'!$AT$7:$BD$30,Homes_calc!$B202-2006,Homes_calc!AD$35+1)))</f>
        <v>0</v>
      </c>
      <c r="AE202" s="21" cm="1">
        <f t="array" ref="AE202">AE175*(Houses_with_elec_07/Houses_with_plumbing_07)*((INDEX('DHW Mix'!$AT$7:$BD$30,Homes_calc!$B202-2006,Homes_calc!AE$35+1)))</f>
        <v>0</v>
      </c>
      <c r="AF202" s="21" cm="1">
        <f t="array" ref="AF202">AF175*(Houses_with_elec_07/Houses_with_plumbing_07)*((INDEX('DHW Mix'!$AT$7:$BD$30,Homes_calc!$B202-2006,Homes_calc!AF$35+1)))</f>
        <v>0</v>
      </c>
      <c r="AG202" s="21" cm="1">
        <f t="array" ref="AG202">AG175*(Houses_with_elec_07/Houses_with_plumbing_07)*((INDEX('DHW Mix'!$AT$7:$BD$30,Homes_calc!$B202-2006,Homes_calc!AG$35+1)))</f>
        <v>0</v>
      </c>
      <c r="AH202" s="21" cm="1">
        <f t="array" ref="AH202">AH175*(Houses_with_elec_07/Houses_with_plumbing_07)*((INDEX('DHW Mix'!$AT$7:$BD$30,Homes_calc!$B202-2006,Homes_calc!AH$35+1)))</f>
        <v>0</v>
      </c>
      <c r="AI202" s="21" cm="1">
        <f t="array" ref="AI202">AI175*(Houses_with_elec_07/Houses_with_plumbing_07)*((INDEX('DHW Mix'!$AT$7:$BD$30,Homes_calc!$B202-2006,Homes_calc!AI$35+1)))</f>
        <v>0</v>
      </c>
      <c r="AJ202" s="21" cm="1">
        <f t="array" ref="AJ202">AJ175*(Houses_with_elec_07/Houses_with_plumbing_07)*((INDEX('DHW Mix'!$AT$7:$BD$30,Homes_calc!$B202-2006,Homes_calc!AJ$35+1)))</f>
        <v>0</v>
      </c>
      <c r="AK202" s="21" cm="1">
        <f t="array" ref="AK202">AK175*(Houses_with_elec_07/Houses_with_plumbing_07)*((INDEX('DHW Mix'!$AT$7:$BD$30,Homes_calc!$B202-2006,Homes_calc!AK$35+1)))</f>
        <v>0</v>
      </c>
      <c r="AL202" s="21" cm="1">
        <f t="array" ref="AL202">AL175*(Houses_with_elec_07/Houses_with_plumbing_07)*((INDEX('DHW Mix'!$AT$7:$BD$30,Homes_calc!$B202-2006,Homes_calc!AL$35+1)))</f>
        <v>0</v>
      </c>
      <c r="AM202" s="21" cm="1">
        <f t="array" ref="AM202">AM175*(Houses_with_elec_07/Houses_with_plumbing_07)*((INDEX('DHW Mix'!$AT$7:$BD$30,Homes_calc!$B202-2006,Homes_calc!AM$35+1)))</f>
        <v>0</v>
      </c>
      <c r="AN202" s="21" cm="1">
        <f t="array" ref="AN202">AN175*(Houses_with_elec_07/Houses_with_plumbing_07)*((INDEX('DHW Mix'!$AT$7:$BD$30,Homes_calc!$B202-2006,Homes_calc!AN$35+1)))</f>
        <v>0</v>
      </c>
      <c r="AO202" s="21" cm="1">
        <f t="array" ref="AO202">AO175*(Houses_with_elec_07/Houses_with_plumbing_07)*((INDEX('DHW Mix'!$AT$7:$BD$30,Homes_calc!$B202-2006,Homes_calc!AO$35+1)))</f>
        <v>0</v>
      </c>
      <c r="AP202" s="21" cm="1">
        <f t="array" ref="AP202">AP175*(Houses_with_elec_07/Houses_with_plumbing_07)*((INDEX('DHW Mix'!$AT$7:$BD$30,Homes_calc!$B202-2006,Homes_calc!AP$35+1)))</f>
        <v>0</v>
      </c>
      <c r="AQ202" s="21" cm="1">
        <f t="array" ref="AQ202">AQ175*(Houses_with_elec_07/Houses_with_plumbing_07)*((INDEX('DHW Mix'!$AT$7:$BD$30,Homes_calc!$B202-2006,Homes_calc!AQ$35+1)))</f>
        <v>0</v>
      </c>
      <c r="AR202" s="21" cm="1">
        <f t="array" ref="AR202">AR175*(Houses_with_elec_07/Houses_with_plumbing_07)*((INDEX('DHW Mix'!$AT$7:$BD$30,Homes_calc!$B202-2006,Homes_calc!AR$35+1)))</f>
        <v>0</v>
      </c>
      <c r="AS202" s="21" cm="1">
        <f t="array" ref="AS202">AS175*(Houses_with_elec_07/Houses_with_plumbing_07)*((INDEX('DHW Mix'!$AT$7:$BD$30,Homes_calc!$B202-2006,Homes_calc!AS$35+1)))</f>
        <v>0</v>
      </c>
      <c r="AT202" s="21" cm="1">
        <f t="array" ref="AT202">AT175*(Houses_with_elec_07/Houses_with_plumbing_07)*((INDEX('DHW Mix'!$AT$7:$BD$30,Homes_calc!$B202-2006,Homes_calc!AT$35+1)))</f>
        <v>0</v>
      </c>
      <c r="AU202" s="21" cm="1">
        <f t="array" ref="AU202">AU175*(Houses_with_elec_07/Houses_with_plumbing_07)*((INDEX('DHW Mix'!$AT$7:$BD$30,Homes_calc!$B202-2006,Homes_calc!AU$35+1)))</f>
        <v>0</v>
      </c>
      <c r="AV202" s="21" cm="1">
        <f t="array" ref="AV202">AV175*(Houses_with_elec_07/Houses_with_plumbing_07)*((INDEX('DHW Mix'!$AT$7:$BD$30,Homes_calc!$B202-2006,Homes_calc!AV$35+1)))</f>
        <v>0</v>
      </c>
      <c r="AW202" s="21" cm="1">
        <f t="array" ref="AW202">AW175*(Houses_with_elec_07/Houses_with_plumbing_07)*((INDEX('DHW Mix'!$AT$7:$BD$30,Homes_calc!$B202-2006,Homes_calc!AW$35+1)))</f>
        <v>0</v>
      </c>
      <c r="AX202" s="21" cm="1">
        <f t="array" ref="AX202">AX175*(Houses_with_elec_07/Houses_with_plumbing_07)*((INDEX('DHW Mix'!$AT$7:$BD$30,Homes_calc!$B202-2006,Homes_calc!AX$35+1)))</f>
        <v>0</v>
      </c>
      <c r="AY202" s="21" cm="1">
        <f t="array" ref="AY202">AY175*(Houses_with_elec_07/Houses_with_plumbing_07)*((INDEX('DHW Mix'!$AT$7:$BD$30,Homes_calc!$B202-2006,Homes_calc!AY$35+1)))</f>
        <v>0</v>
      </c>
      <c r="AZ202" s="21" cm="1">
        <f t="array" ref="AZ202">AZ175*(Houses_with_elec_07/Houses_with_plumbing_07)*((INDEX('DHW Mix'!$AT$7:$BD$30,Homes_calc!$B202-2006,Homes_calc!AZ$35+1)))</f>
        <v>0</v>
      </c>
      <c r="BA202" s="21" cm="1">
        <f t="array" ref="BA202">BA175*(Houses_with_elec_07/Houses_with_plumbing_07)*((INDEX('DHW Mix'!$AT$7:$BD$30,Homes_calc!$B202-2006,Homes_calc!BA$35+1)))</f>
        <v>0</v>
      </c>
      <c r="BB202" s="21">
        <f>SUM(C202:BA202)</f>
        <v>0</v>
      </c>
    </row>
    <row r="203" spans="1:55">
      <c r="A203" s="456"/>
      <c r="B203" s="226">
        <v>2008</v>
      </c>
      <c r="C203" s="21" cm="1">
        <f t="array" ref="C203">C176*(Houses_with_elec_08/Houses_with_plumbing_08)*((INDEX('DHW Mix'!$AT$7:$BD$30,Homes_calc!$B203-2006,Homes_calc!C$35+1)))</f>
        <v>0</v>
      </c>
      <c r="D203" s="21" cm="1">
        <f t="array" ref="D203">D176*(Houses_with_elec_08/Houses_with_plumbing_08)*((INDEX('DHW Mix'!$AT$7:$BD$30,Homes_calc!$B203-2006,Homes_calc!D$35+1)))</f>
        <v>0</v>
      </c>
      <c r="E203" s="21" cm="1">
        <f t="array" ref="E203">E176*(Houses_with_elec_08/Houses_with_plumbing_08)*((INDEX('DHW Mix'!$AT$7:$BD$30,Homes_calc!$B203-2006,Homes_calc!E$35+1)))</f>
        <v>0</v>
      </c>
      <c r="F203" s="21" cm="1">
        <f t="array" ref="F203">F176*(Houses_with_elec_08/Houses_with_plumbing_08)*((INDEX('DHW Mix'!$AT$7:$BD$30,Homes_calc!$B203-2006,Homes_calc!F$35+1)))</f>
        <v>0</v>
      </c>
      <c r="G203" s="21" cm="1">
        <f t="array" ref="G203">G176*(Houses_with_elec_08/Houses_with_plumbing_08)*((INDEX('DHW Mix'!$AT$7:$BD$30,Homes_calc!$B203-2006,Homes_calc!G$35+1)))</f>
        <v>0</v>
      </c>
      <c r="H203" s="21" cm="1">
        <f t="array" ref="H203">H176*(Houses_with_elec_08/Houses_with_plumbing_08)*((INDEX('DHW Mix'!$AT$7:$BD$30,Homes_calc!$B203-2006,Homes_calc!H$35+1)))</f>
        <v>0</v>
      </c>
      <c r="I203" s="21" cm="1">
        <f t="array" ref="I203">I176*(Houses_with_elec_08/Houses_with_plumbing_08)*((INDEX('DHW Mix'!$AT$7:$BD$30,Homes_calc!$B203-2006,Homes_calc!I$35+1)))</f>
        <v>0</v>
      </c>
      <c r="J203" s="21" cm="1">
        <f t="array" ref="J203">J176*(Houses_with_elec_08/Houses_with_plumbing_08)*((INDEX('DHW Mix'!$AT$7:$BD$30,Homes_calc!$B203-2006,Homes_calc!J$35+1)))</f>
        <v>0</v>
      </c>
      <c r="K203" s="21" cm="1">
        <f t="array" ref="K203">K176*(Houses_with_elec_08/Houses_with_plumbing_08)*((INDEX('DHW Mix'!$AT$7:$BD$30,Homes_calc!$B203-2006,Homes_calc!K$35+1)))</f>
        <v>0</v>
      </c>
      <c r="L203" s="21" cm="1">
        <f t="array" ref="L203">L176*(Houses_with_elec_08/Houses_with_plumbing_08)*((INDEX('DHW Mix'!$AT$7:$BD$30,Homes_calc!$B203-2006,Homes_calc!L$35+1)))</f>
        <v>0</v>
      </c>
      <c r="M203" s="21" cm="1">
        <f t="array" ref="M203">M176*(Houses_with_elec_08/Houses_with_plumbing_08)*((INDEX('DHW Mix'!$AT$7:$BD$30,Homes_calc!$B203-2006,Homes_calc!M$35+1)))</f>
        <v>0</v>
      </c>
      <c r="N203" s="21" cm="1">
        <f t="array" ref="N203">N176*(Houses_with_elec_08/Houses_with_plumbing_08)*((INDEX('DHW Mix'!$AT$7:$BD$30,Homes_calc!$B203-2006,Homes_calc!N$35+1)))</f>
        <v>0</v>
      </c>
      <c r="O203" s="21" cm="1">
        <f t="array" ref="O203">O176*(Houses_with_elec_08/Houses_with_plumbing_08)*((INDEX('DHW Mix'!$AT$7:$BD$30,Homes_calc!$B203-2006,Homes_calc!O$35+1)))</f>
        <v>0</v>
      </c>
      <c r="P203" s="21" cm="1">
        <f t="array" ref="P203">P176*(Houses_with_elec_08/Houses_with_plumbing_08)*((INDEX('DHW Mix'!$AT$7:$BD$30,Homes_calc!$B203-2006,Homes_calc!P$35+1)))</f>
        <v>0</v>
      </c>
      <c r="Q203" s="21" cm="1">
        <f t="array" ref="Q203">Q176*(Houses_with_elec_08/Houses_with_plumbing_08)*((INDEX('DHW Mix'!$AT$7:$BD$30,Homes_calc!$B203-2006,Homes_calc!Q$35+1)))</f>
        <v>0</v>
      </c>
      <c r="R203" s="21" cm="1">
        <f t="array" ref="R203">R176*(Houses_with_elec_08/Houses_with_plumbing_08)*((INDEX('DHW Mix'!$AT$7:$BD$30,Homes_calc!$B203-2006,Homes_calc!R$35+1)))</f>
        <v>0</v>
      </c>
      <c r="S203" s="21" cm="1">
        <f t="array" ref="S203">S176*(Houses_with_elec_08/Houses_with_plumbing_08)*((INDEX('DHW Mix'!$AT$7:$BD$30,Homes_calc!$B203-2006,Homes_calc!S$35+1)))</f>
        <v>0</v>
      </c>
      <c r="T203" s="21" cm="1">
        <f t="array" ref="T203">T176*(Houses_with_elec_08/Houses_with_plumbing_08)*((INDEX('DHW Mix'!$AT$7:$BD$30,Homes_calc!$B203-2006,Homes_calc!T$35+1)))</f>
        <v>0</v>
      </c>
      <c r="U203" s="21" cm="1">
        <f t="array" ref="U203">U176*(Houses_with_elec_08/Houses_with_plumbing_08)*((INDEX('DHW Mix'!$AT$7:$BD$30,Homes_calc!$B203-2006,Homes_calc!U$35+1)))</f>
        <v>0</v>
      </c>
      <c r="V203" s="21" cm="1">
        <f t="array" ref="V203">V176*(Houses_with_elec_08/Houses_with_plumbing_08)*((INDEX('DHW Mix'!$AT$7:$BD$30,Homes_calc!$B203-2006,Homes_calc!V$35+1)))</f>
        <v>0</v>
      </c>
      <c r="W203" s="21" cm="1">
        <f t="array" ref="W203">W176*(Houses_with_elec_08/Houses_with_plumbing_08)*((INDEX('DHW Mix'!$AT$7:$BD$30,Homes_calc!$B203-2006,Homes_calc!W$35+1)))</f>
        <v>0</v>
      </c>
      <c r="X203" s="21" cm="1">
        <f t="array" ref="X203">X176*(Houses_with_elec_08/Houses_with_plumbing_08)*((INDEX('DHW Mix'!$AT$7:$BD$30,Homes_calc!$B203-2006,Homes_calc!X$35+1)))</f>
        <v>0</v>
      </c>
      <c r="Y203" s="21" cm="1">
        <f t="array" ref="Y203">Y176*(Houses_with_elec_08/Houses_with_plumbing_08)*((INDEX('DHW Mix'!$AT$7:$BD$30,Homes_calc!$B203-2006,Homes_calc!Y$35+1)))</f>
        <v>0</v>
      </c>
      <c r="Z203" s="21" cm="1">
        <f t="array" ref="Z203">Z176*(Houses_with_elec_08/Houses_with_plumbing_08)*((INDEX('DHW Mix'!$AT$7:$BD$30,Homes_calc!$B203-2006,Homes_calc!Z$35+1)))</f>
        <v>0</v>
      </c>
      <c r="AA203" s="21" cm="1">
        <f t="array" ref="AA203">AA176*(Houses_with_elec_08/Houses_with_plumbing_08)*((INDEX('DHW Mix'!$AT$7:$BD$30,Homes_calc!$B203-2006,Homes_calc!AA$35+1)))</f>
        <v>0</v>
      </c>
      <c r="AB203" s="21" cm="1">
        <f t="array" ref="AB203">AB176*(Houses_with_elec_08/Houses_with_plumbing_08)*((INDEX('DHW Mix'!$AT$7:$BD$30,Homes_calc!$B203-2006,Homes_calc!AB$35+1)))</f>
        <v>0</v>
      </c>
      <c r="AC203" s="21" cm="1">
        <f t="array" ref="AC203">AC176*(Houses_with_elec_08/Houses_with_plumbing_08)*((INDEX('DHW Mix'!$AT$7:$BD$30,Homes_calc!$B203-2006,Homes_calc!AC$35+1)))</f>
        <v>0</v>
      </c>
      <c r="AD203" s="21" cm="1">
        <f t="array" ref="AD203">AD176*(Houses_with_elec_08/Houses_with_plumbing_08)*((INDEX('DHW Mix'!$AT$7:$BD$30,Homes_calc!$B203-2006,Homes_calc!AD$35+1)))</f>
        <v>0</v>
      </c>
      <c r="AE203" s="21" cm="1">
        <f t="array" ref="AE203">AE176*(Houses_with_elec_08/Houses_with_plumbing_08)*((INDEX('DHW Mix'!$AT$7:$BD$30,Homes_calc!$B203-2006,Homes_calc!AE$35+1)))</f>
        <v>0</v>
      </c>
      <c r="AF203" s="21" cm="1">
        <f t="array" ref="AF203">AF176*(Houses_with_elec_08/Houses_with_plumbing_08)*((INDEX('DHW Mix'!$AT$7:$BD$30,Homes_calc!$B203-2006,Homes_calc!AF$35+1)))</f>
        <v>0</v>
      </c>
      <c r="AG203" s="21" cm="1">
        <f t="array" ref="AG203">AG176*(Houses_with_elec_08/Houses_with_plumbing_08)*((INDEX('DHW Mix'!$AT$7:$BD$30,Homes_calc!$B203-2006,Homes_calc!AG$35+1)))</f>
        <v>0</v>
      </c>
      <c r="AH203" s="21" cm="1">
        <f t="array" ref="AH203">AH176*(Houses_with_elec_08/Houses_with_plumbing_08)*((INDEX('DHW Mix'!$AT$7:$BD$30,Homes_calc!$B203-2006,Homes_calc!AH$35+1)))</f>
        <v>0</v>
      </c>
      <c r="AI203" s="21" cm="1">
        <f t="array" ref="AI203">AI176*(Houses_with_elec_08/Houses_with_plumbing_08)*((INDEX('DHW Mix'!$AT$7:$BD$30,Homes_calc!$B203-2006,Homes_calc!AI$35+1)))</f>
        <v>0</v>
      </c>
      <c r="AJ203" s="21" cm="1">
        <f t="array" ref="AJ203">AJ176*(Houses_with_elec_08/Houses_with_plumbing_08)*((INDEX('DHW Mix'!$AT$7:$BD$30,Homes_calc!$B203-2006,Homes_calc!AJ$35+1)))</f>
        <v>0</v>
      </c>
      <c r="AK203" s="21" cm="1">
        <f t="array" ref="AK203">AK176*(Houses_with_elec_08/Houses_with_plumbing_08)*((INDEX('DHW Mix'!$AT$7:$BD$30,Homes_calc!$B203-2006,Homes_calc!AK$35+1)))</f>
        <v>0</v>
      </c>
      <c r="AL203" s="21" cm="1">
        <f t="array" ref="AL203">AL176*(Houses_with_elec_08/Houses_with_plumbing_08)*((INDEX('DHW Mix'!$AT$7:$BD$30,Homes_calc!$B203-2006,Homes_calc!AL$35+1)))</f>
        <v>0</v>
      </c>
      <c r="AM203" s="21" cm="1">
        <f t="array" ref="AM203">AM176*(Houses_with_elec_08/Houses_with_plumbing_08)*((INDEX('DHW Mix'!$AT$7:$BD$30,Homes_calc!$B203-2006,Homes_calc!AM$35+1)))</f>
        <v>0</v>
      </c>
      <c r="AN203" s="21" cm="1">
        <f t="array" ref="AN203">AN176*(Houses_with_elec_08/Houses_with_plumbing_08)*((INDEX('DHW Mix'!$AT$7:$BD$30,Homes_calc!$B203-2006,Homes_calc!AN$35+1)))</f>
        <v>0</v>
      </c>
      <c r="AO203" s="21" cm="1">
        <f t="array" ref="AO203">AO176*(Houses_with_elec_08/Houses_with_plumbing_08)*((INDEX('DHW Mix'!$AT$7:$BD$30,Homes_calc!$B203-2006,Homes_calc!AO$35+1)))</f>
        <v>0</v>
      </c>
      <c r="AP203" s="21" cm="1">
        <f t="array" ref="AP203">AP176*(Houses_with_elec_08/Houses_with_plumbing_08)*((INDEX('DHW Mix'!$AT$7:$BD$30,Homes_calc!$B203-2006,Homes_calc!AP$35+1)))</f>
        <v>0</v>
      </c>
      <c r="AQ203" s="21" cm="1">
        <f t="array" ref="AQ203">AQ176*(Houses_with_elec_08/Houses_with_plumbing_08)*((INDEX('DHW Mix'!$AT$7:$BD$30,Homes_calc!$B203-2006,Homes_calc!AQ$35+1)))</f>
        <v>0</v>
      </c>
      <c r="AR203" s="21" cm="1">
        <f t="array" ref="AR203">AR176*(Houses_with_elec_08/Houses_with_plumbing_08)*((INDEX('DHW Mix'!$AT$7:$BD$30,Homes_calc!$B203-2006,Homes_calc!AR$35+1)))</f>
        <v>0</v>
      </c>
      <c r="AS203" s="21" cm="1">
        <f t="array" ref="AS203">AS176*(Houses_with_elec_08/Houses_with_plumbing_08)*((INDEX('DHW Mix'!$AT$7:$BD$30,Homes_calc!$B203-2006,Homes_calc!AS$35+1)))</f>
        <v>0</v>
      </c>
      <c r="AT203" s="21" cm="1">
        <f t="array" ref="AT203">AT176*(Houses_with_elec_08/Houses_with_plumbing_08)*((INDEX('DHW Mix'!$AT$7:$BD$30,Homes_calc!$B203-2006,Homes_calc!AT$35+1)))</f>
        <v>0</v>
      </c>
      <c r="AU203" s="21" cm="1">
        <f t="array" ref="AU203">AU176*(Houses_with_elec_08/Houses_with_plumbing_08)*((INDEX('DHW Mix'!$AT$7:$BD$30,Homes_calc!$B203-2006,Homes_calc!AU$35+1)))</f>
        <v>0</v>
      </c>
      <c r="AV203" s="21" cm="1">
        <f t="array" ref="AV203">AV176*(Houses_with_elec_08/Houses_with_plumbing_08)*((INDEX('DHW Mix'!$AT$7:$BD$30,Homes_calc!$B203-2006,Homes_calc!AV$35+1)))</f>
        <v>0</v>
      </c>
      <c r="AW203" s="21" cm="1">
        <f t="array" ref="AW203">AW176*(Houses_with_elec_08/Houses_with_plumbing_08)*((INDEX('DHW Mix'!$AT$7:$BD$30,Homes_calc!$B203-2006,Homes_calc!AW$35+1)))</f>
        <v>0</v>
      </c>
      <c r="AX203" s="21" cm="1">
        <f t="array" ref="AX203">AX176*(Houses_with_elec_08/Houses_with_plumbing_08)*((INDEX('DHW Mix'!$AT$7:$BD$30,Homes_calc!$B203-2006,Homes_calc!AX$35+1)))</f>
        <v>0</v>
      </c>
      <c r="AY203" s="21" cm="1">
        <f t="array" ref="AY203">AY176*(Houses_with_elec_08/Houses_with_plumbing_08)*((INDEX('DHW Mix'!$AT$7:$BD$30,Homes_calc!$B203-2006,Homes_calc!AY$35+1)))</f>
        <v>0</v>
      </c>
      <c r="AZ203" s="21" cm="1">
        <f t="array" ref="AZ203">AZ176*(Houses_with_elec_08/Houses_with_plumbing_08)*((INDEX('DHW Mix'!$AT$7:$BD$30,Homes_calc!$B203-2006,Homes_calc!AZ$35+1)))</f>
        <v>0</v>
      </c>
      <c r="BA203" s="21" cm="1">
        <f t="array" ref="BA203">BA176*(Houses_with_elec_08/Houses_with_plumbing_08)*((INDEX('DHW Mix'!$AT$7:$BD$30,Homes_calc!$B203-2006,Homes_calc!BA$35+1)))</f>
        <v>0</v>
      </c>
      <c r="BB203" s="21">
        <f t="shared" ref="BB203:BB225" si="191">SUM(C203:BA203)</f>
        <v>0</v>
      </c>
    </row>
    <row r="204" spans="1:55">
      <c r="A204" s="456"/>
      <c r="B204" s="228">
        <v>2009</v>
      </c>
      <c r="C204" s="21" cm="1">
        <f t="array" ref="C204">C177*(Houses_with_elec_09/Houses_with_plumbing_09)*((INDEX('DHW Mix'!$AT$7:$BD$30,Homes_calc!$B204-2006,Homes_calc!C$35+1)))</f>
        <v>0</v>
      </c>
      <c r="D204" s="21" cm="1">
        <f t="array" ref="D204">D177*(Houses_with_elec_09/Houses_with_plumbing_09)*((INDEX('DHW Mix'!$AT$7:$BD$30,Homes_calc!$B204-2006,Homes_calc!D$35+1)))</f>
        <v>0</v>
      </c>
      <c r="E204" s="21" cm="1">
        <f t="array" ref="E204">E177*(Houses_with_elec_09/Houses_with_plumbing_09)*((INDEX('DHW Mix'!$AT$7:$BD$30,Homes_calc!$B204-2006,Homes_calc!E$35+1)))</f>
        <v>0</v>
      </c>
      <c r="F204" s="21" cm="1">
        <f t="array" ref="F204">F177*(Houses_with_elec_09/Houses_with_plumbing_09)*((INDEX('DHW Mix'!$AT$7:$BD$30,Homes_calc!$B204-2006,Homes_calc!F$35+1)))</f>
        <v>0</v>
      </c>
      <c r="G204" s="21" cm="1">
        <f t="array" ref="G204">G177*(Houses_with_elec_09/Houses_with_plumbing_09)*((INDEX('DHW Mix'!$AT$7:$BD$30,Homes_calc!$B204-2006,Homes_calc!G$35+1)))</f>
        <v>0</v>
      </c>
      <c r="H204" s="21" cm="1">
        <f t="array" ref="H204">H177*(Houses_with_elec_09/Houses_with_plumbing_09)*((INDEX('DHW Mix'!$AT$7:$BD$30,Homes_calc!$B204-2006,Homes_calc!H$35+1)))</f>
        <v>0</v>
      </c>
      <c r="I204" s="21" cm="1">
        <f t="array" ref="I204">I177*(Houses_with_elec_09/Houses_with_plumbing_09)*((INDEX('DHW Mix'!$AT$7:$BD$30,Homes_calc!$B204-2006,Homes_calc!I$35+1)))</f>
        <v>0</v>
      </c>
      <c r="J204" s="21" cm="1">
        <f t="array" ref="J204">J177*(Houses_with_elec_09/Houses_with_plumbing_09)*((INDEX('DHW Mix'!$AT$7:$BD$30,Homes_calc!$B204-2006,Homes_calc!J$35+1)))</f>
        <v>0</v>
      </c>
      <c r="K204" s="21" cm="1">
        <f t="array" ref="K204">K177*(Houses_with_elec_09/Houses_with_plumbing_09)*((INDEX('DHW Mix'!$AT$7:$BD$30,Homes_calc!$B204-2006,Homes_calc!K$35+1)))</f>
        <v>0</v>
      </c>
      <c r="L204" s="21" cm="1">
        <f t="array" ref="L204">L177*(Houses_with_elec_09/Houses_with_plumbing_09)*((INDEX('DHW Mix'!$AT$7:$BD$30,Homes_calc!$B204-2006,Homes_calc!L$35+1)))</f>
        <v>0</v>
      </c>
      <c r="M204" s="21" cm="1">
        <f t="array" ref="M204">M177*(Houses_with_elec_09/Houses_with_plumbing_09)*((INDEX('DHW Mix'!$AT$7:$BD$30,Homes_calc!$B204-2006,Homes_calc!M$35+1)))</f>
        <v>0</v>
      </c>
      <c r="N204" s="21" cm="1">
        <f t="array" ref="N204">N177*(Houses_with_elec_09/Houses_with_plumbing_09)*((INDEX('DHW Mix'!$AT$7:$BD$30,Homes_calc!$B204-2006,Homes_calc!N$35+1)))</f>
        <v>0</v>
      </c>
      <c r="O204" s="21" cm="1">
        <f t="array" ref="O204">O177*(Houses_with_elec_09/Houses_with_plumbing_09)*((INDEX('DHW Mix'!$AT$7:$BD$30,Homes_calc!$B204-2006,Homes_calc!O$35+1)))</f>
        <v>0</v>
      </c>
      <c r="P204" s="21" cm="1">
        <f t="array" ref="P204">P177*(Houses_with_elec_09/Houses_with_plumbing_09)*((INDEX('DHW Mix'!$AT$7:$BD$30,Homes_calc!$B204-2006,Homes_calc!P$35+1)))</f>
        <v>0</v>
      </c>
      <c r="Q204" s="21" cm="1">
        <f t="array" ref="Q204">Q177*(Houses_with_elec_09/Houses_with_plumbing_09)*((INDEX('DHW Mix'!$AT$7:$BD$30,Homes_calc!$B204-2006,Homes_calc!Q$35+1)))</f>
        <v>0</v>
      </c>
      <c r="R204" s="21" cm="1">
        <f t="array" ref="R204">R177*(Houses_with_elec_09/Houses_with_plumbing_09)*((INDEX('DHW Mix'!$AT$7:$BD$30,Homes_calc!$B204-2006,Homes_calc!R$35+1)))</f>
        <v>0</v>
      </c>
      <c r="S204" s="21" cm="1">
        <f t="array" ref="S204">S177*(Houses_with_elec_09/Houses_with_plumbing_09)*((INDEX('DHW Mix'!$AT$7:$BD$30,Homes_calc!$B204-2006,Homes_calc!S$35+1)))</f>
        <v>0</v>
      </c>
      <c r="T204" s="21" cm="1">
        <f t="array" ref="T204">T177*(Houses_with_elec_09/Houses_with_plumbing_09)*((INDEX('DHW Mix'!$AT$7:$BD$30,Homes_calc!$B204-2006,Homes_calc!T$35+1)))</f>
        <v>0</v>
      </c>
      <c r="U204" s="21" cm="1">
        <f t="array" ref="U204">U177*(Houses_with_elec_09/Houses_with_plumbing_09)*((INDEX('DHW Mix'!$AT$7:$BD$30,Homes_calc!$B204-2006,Homes_calc!U$35+1)))</f>
        <v>0</v>
      </c>
      <c r="V204" s="21" cm="1">
        <f t="array" ref="V204">V177*(Houses_with_elec_09/Houses_with_plumbing_09)*((INDEX('DHW Mix'!$AT$7:$BD$30,Homes_calc!$B204-2006,Homes_calc!V$35+1)))</f>
        <v>0</v>
      </c>
      <c r="W204" s="21" cm="1">
        <f t="array" ref="W204">W177*(Houses_with_elec_09/Houses_with_plumbing_09)*((INDEX('DHW Mix'!$AT$7:$BD$30,Homes_calc!$B204-2006,Homes_calc!W$35+1)))</f>
        <v>0</v>
      </c>
      <c r="X204" s="21" cm="1">
        <f t="array" ref="X204">X177*(Houses_with_elec_09/Houses_with_plumbing_09)*((INDEX('DHW Mix'!$AT$7:$BD$30,Homes_calc!$B204-2006,Homes_calc!X$35+1)))</f>
        <v>0</v>
      </c>
      <c r="Y204" s="21" cm="1">
        <f t="array" ref="Y204">Y177*(Houses_with_elec_09/Houses_with_plumbing_09)*((INDEX('DHW Mix'!$AT$7:$BD$30,Homes_calc!$B204-2006,Homes_calc!Y$35+1)))</f>
        <v>0</v>
      </c>
      <c r="Z204" s="21" cm="1">
        <f t="array" ref="Z204">Z177*(Houses_with_elec_09/Houses_with_plumbing_09)*((INDEX('DHW Mix'!$AT$7:$BD$30,Homes_calc!$B204-2006,Homes_calc!Z$35+1)))</f>
        <v>0</v>
      </c>
      <c r="AA204" s="21" cm="1">
        <f t="array" ref="AA204">AA177*(Houses_with_elec_09/Houses_with_plumbing_09)*((INDEX('DHW Mix'!$AT$7:$BD$30,Homes_calc!$B204-2006,Homes_calc!AA$35+1)))</f>
        <v>0</v>
      </c>
      <c r="AB204" s="21" cm="1">
        <f t="array" ref="AB204">AB177*(Houses_with_elec_09/Houses_with_plumbing_09)*((INDEX('DHW Mix'!$AT$7:$BD$30,Homes_calc!$B204-2006,Homes_calc!AB$35+1)))</f>
        <v>0</v>
      </c>
      <c r="AC204" s="21" cm="1">
        <f t="array" ref="AC204">AC177*(Houses_with_elec_09/Houses_with_plumbing_09)*((INDEX('DHW Mix'!$AT$7:$BD$30,Homes_calc!$B204-2006,Homes_calc!AC$35+1)))</f>
        <v>0</v>
      </c>
      <c r="AD204" s="21" cm="1">
        <f t="array" ref="AD204">AD177*(Houses_with_elec_09/Houses_with_plumbing_09)*((INDEX('DHW Mix'!$AT$7:$BD$30,Homes_calc!$B204-2006,Homes_calc!AD$35+1)))</f>
        <v>0</v>
      </c>
      <c r="AE204" s="21" cm="1">
        <f t="array" ref="AE204">AE177*(Houses_with_elec_09/Houses_with_plumbing_09)*((INDEX('DHW Mix'!$AT$7:$BD$30,Homes_calc!$B204-2006,Homes_calc!AE$35+1)))</f>
        <v>0</v>
      </c>
      <c r="AF204" s="21" cm="1">
        <f t="array" ref="AF204">AF177*(Houses_with_elec_09/Houses_with_plumbing_09)*((INDEX('DHW Mix'!$AT$7:$BD$30,Homes_calc!$B204-2006,Homes_calc!AF$35+1)))</f>
        <v>0</v>
      </c>
      <c r="AG204" s="21" cm="1">
        <f t="array" ref="AG204">AG177*(Houses_with_elec_09/Houses_with_plumbing_09)*((INDEX('DHW Mix'!$AT$7:$BD$30,Homes_calc!$B204-2006,Homes_calc!AG$35+1)))</f>
        <v>0</v>
      </c>
      <c r="AH204" s="21" cm="1">
        <f t="array" ref="AH204">AH177*(Houses_with_elec_09/Houses_with_plumbing_09)*((INDEX('DHW Mix'!$AT$7:$BD$30,Homes_calc!$B204-2006,Homes_calc!AH$35+1)))</f>
        <v>0</v>
      </c>
      <c r="AI204" s="21" cm="1">
        <f t="array" ref="AI204">AI177*(Houses_with_elec_09/Houses_with_plumbing_09)*((INDEX('DHW Mix'!$AT$7:$BD$30,Homes_calc!$B204-2006,Homes_calc!AI$35+1)))</f>
        <v>0</v>
      </c>
      <c r="AJ204" s="21" cm="1">
        <f t="array" ref="AJ204">AJ177*(Houses_with_elec_09/Houses_with_plumbing_09)*((INDEX('DHW Mix'!$AT$7:$BD$30,Homes_calc!$B204-2006,Homes_calc!AJ$35+1)))</f>
        <v>0</v>
      </c>
      <c r="AK204" s="21" cm="1">
        <f t="array" ref="AK204">AK177*(Houses_with_elec_09/Houses_with_plumbing_09)*((INDEX('DHW Mix'!$AT$7:$BD$30,Homes_calc!$B204-2006,Homes_calc!AK$35+1)))</f>
        <v>0</v>
      </c>
      <c r="AL204" s="21" cm="1">
        <f t="array" ref="AL204">AL177*(Houses_with_elec_09/Houses_with_plumbing_09)*((INDEX('DHW Mix'!$AT$7:$BD$30,Homes_calc!$B204-2006,Homes_calc!AL$35+1)))</f>
        <v>0</v>
      </c>
      <c r="AM204" s="21" cm="1">
        <f t="array" ref="AM204">AM177*(Houses_with_elec_09/Houses_with_plumbing_09)*((INDEX('DHW Mix'!$AT$7:$BD$30,Homes_calc!$B204-2006,Homes_calc!AM$35+1)))</f>
        <v>0</v>
      </c>
      <c r="AN204" s="21" cm="1">
        <f t="array" ref="AN204">AN177*(Houses_with_elec_09/Houses_with_plumbing_09)*((INDEX('DHW Mix'!$AT$7:$BD$30,Homes_calc!$B204-2006,Homes_calc!AN$35+1)))</f>
        <v>0</v>
      </c>
      <c r="AO204" s="21" cm="1">
        <f t="array" ref="AO204">AO177*(Houses_with_elec_09/Houses_with_plumbing_09)*((INDEX('DHW Mix'!$AT$7:$BD$30,Homes_calc!$B204-2006,Homes_calc!AO$35+1)))</f>
        <v>0</v>
      </c>
      <c r="AP204" s="21" cm="1">
        <f t="array" ref="AP204">AP177*(Houses_with_elec_09/Houses_with_plumbing_09)*((INDEX('DHW Mix'!$AT$7:$BD$30,Homes_calc!$B204-2006,Homes_calc!AP$35+1)))</f>
        <v>0</v>
      </c>
      <c r="AQ204" s="21" cm="1">
        <f t="array" ref="AQ204">AQ177*(Houses_with_elec_09/Houses_with_plumbing_09)*((INDEX('DHW Mix'!$AT$7:$BD$30,Homes_calc!$B204-2006,Homes_calc!AQ$35+1)))</f>
        <v>0</v>
      </c>
      <c r="AR204" s="21" cm="1">
        <f t="array" ref="AR204">AR177*(Houses_with_elec_09/Houses_with_plumbing_09)*((INDEX('DHW Mix'!$AT$7:$BD$30,Homes_calc!$B204-2006,Homes_calc!AR$35+1)))</f>
        <v>0</v>
      </c>
      <c r="AS204" s="21" cm="1">
        <f t="array" ref="AS204">AS177*(Houses_with_elec_09/Houses_with_plumbing_09)*((INDEX('DHW Mix'!$AT$7:$BD$30,Homes_calc!$B204-2006,Homes_calc!AS$35+1)))</f>
        <v>0</v>
      </c>
      <c r="AT204" s="21" cm="1">
        <f t="array" ref="AT204">AT177*(Houses_with_elec_09/Houses_with_plumbing_09)*((INDEX('DHW Mix'!$AT$7:$BD$30,Homes_calc!$B204-2006,Homes_calc!AT$35+1)))</f>
        <v>0</v>
      </c>
      <c r="AU204" s="21" cm="1">
        <f t="array" ref="AU204">AU177*(Houses_with_elec_09/Houses_with_plumbing_09)*((INDEX('DHW Mix'!$AT$7:$BD$30,Homes_calc!$B204-2006,Homes_calc!AU$35+1)))</f>
        <v>0</v>
      </c>
      <c r="AV204" s="21" cm="1">
        <f t="array" ref="AV204">AV177*(Houses_with_elec_09/Houses_with_plumbing_09)*((INDEX('DHW Mix'!$AT$7:$BD$30,Homes_calc!$B204-2006,Homes_calc!AV$35+1)))</f>
        <v>0</v>
      </c>
      <c r="AW204" s="21" cm="1">
        <f t="array" ref="AW204">AW177*(Houses_with_elec_09/Houses_with_plumbing_09)*((INDEX('DHW Mix'!$AT$7:$BD$30,Homes_calc!$B204-2006,Homes_calc!AW$35+1)))</f>
        <v>0</v>
      </c>
      <c r="AX204" s="21" cm="1">
        <f t="array" ref="AX204">AX177*(Houses_with_elec_09/Houses_with_plumbing_09)*((INDEX('DHW Mix'!$AT$7:$BD$30,Homes_calc!$B204-2006,Homes_calc!AX$35+1)))</f>
        <v>0</v>
      </c>
      <c r="AY204" s="21" cm="1">
        <f t="array" ref="AY204">AY177*(Houses_with_elec_09/Houses_with_plumbing_09)*((INDEX('DHW Mix'!$AT$7:$BD$30,Homes_calc!$B204-2006,Homes_calc!AY$35+1)))</f>
        <v>0</v>
      </c>
      <c r="AZ204" s="21" cm="1">
        <f t="array" ref="AZ204">AZ177*(Houses_with_elec_09/Houses_with_plumbing_09)*((INDEX('DHW Mix'!$AT$7:$BD$30,Homes_calc!$B204-2006,Homes_calc!AZ$35+1)))</f>
        <v>0</v>
      </c>
      <c r="BA204" s="21" cm="1">
        <f t="array" ref="BA204">BA177*(Houses_with_elec_09/Houses_with_plumbing_09)*((INDEX('DHW Mix'!$AT$7:$BD$30,Homes_calc!$B204-2006,Homes_calc!BA$35+1)))</f>
        <v>0</v>
      </c>
      <c r="BB204" s="21">
        <f>SUM(C204:BA204)</f>
        <v>0</v>
      </c>
      <c r="BC204" s="21"/>
    </row>
    <row r="205" spans="1:55">
      <c r="A205" s="456"/>
      <c r="B205" s="226">
        <v>2010</v>
      </c>
      <c r="C205" s="21" cm="1">
        <f t="array" ref="C205">C178*(Houses_with_elec_10/Houses_with_plumbing_10)*((INDEX('DHW Mix'!$AT$7:$BD$30,Homes_calc!$B205-2006,Homes_calc!C$35+1)))</f>
        <v>0</v>
      </c>
      <c r="D205" s="21" cm="1">
        <f t="array" ref="D205">D178*(Houses_with_elec_10/Houses_with_plumbing_10)*((INDEX('DHW Mix'!$AT$7:$BD$30,Homes_calc!$B205-2006,Homes_calc!D$35+1)))</f>
        <v>0</v>
      </c>
      <c r="E205" s="21" cm="1">
        <f t="array" ref="E205">E178*(Houses_with_elec_10/Houses_with_plumbing_10)*((INDEX('DHW Mix'!$AT$7:$BD$30,Homes_calc!$B205-2006,Homes_calc!E$35+1)))</f>
        <v>0</v>
      </c>
      <c r="F205" s="21" cm="1">
        <f t="array" ref="F205">F178*(Houses_with_elec_10/Houses_with_plumbing_10)*((INDEX('DHW Mix'!$AT$7:$BD$30,Homes_calc!$B205-2006,Homes_calc!F$35+1)))</f>
        <v>0</v>
      </c>
      <c r="G205" s="21" cm="1">
        <f t="array" ref="G205">G178*(Houses_with_elec_10/Houses_with_plumbing_10)*((INDEX('DHW Mix'!$AT$7:$BD$30,Homes_calc!$B205-2006,Homes_calc!G$35+1)))</f>
        <v>0</v>
      </c>
      <c r="H205" s="21" cm="1">
        <f t="array" ref="H205">H178*(Houses_with_elec_10/Houses_with_plumbing_10)*((INDEX('DHW Mix'!$AT$7:$BD$30,Homes_calc!$B205-2006,Homes_calc!H$35+1)))</f>
        <v>0</v>
      </c>
      <c r="I205" s="21" cm="1">
        <f t="array" ref="I205">I178*(Houses_with_elec_10/Houses_with_plumbing_10)*((INDEX('DHW Mix'!$AT$7:$BD$30,Homes_calc!$B205-2006,Homes_calc!I$35+1)))</f>
        <v>0</v>
      </c>
      <c r="J205" s="21" cm="1">
        <f t="array" ref="J205">J178*(Houses_with_elec_10/Houses_with_plumbing_10)*((INDEX('DHW Mix'!$AT$7:$BD$30,Homes_calc!$B205-2006,Homes_calc!J$35+1)))</f>
        <v>0</v>
      </c>
      <c r="K205" s="21" cm="1">
        <f t="array" ref="K205">K178*(Houses_with_elec_10/Houses_with_plumbing_10)*((INDEX('DHW Mix'!$AT$7:$BD$30,Homes_calc!$B205-2006,Homes_calc!K$35+1)))</f>
        <v>0</v>
      </c>
      <c r="L205" s="21" cm="1">
        <f t="array" ref="L205">L178*(Houses_with_elec_10/Houses_with_plumbing_10)*((INDEX('DHW Mix'!$AT$7:$BD$30,Homes_calc!$B205-2006,Homes_calc!L$35+1)))</f>
        <v>0</v>
      </c>
      <c r="M205" s="21" cm="1">
        <f t="array" ref="M205">M178*(Houses_with_elec_10/Houses_with_plumbing_10)*((INDEX('DHW Mix'!$AT$7:$BD$30,Homes_calc!$B205-2006,Homes_calc!M$35+1)))</f>
        <v>0</v>
      </c>
      <c r="N205" s="21" cm="1">
        <f t="array" ref="N205">N178*(Houses_with_elec_10/Houses_with_plumbing_10)*((INDEX('DHW Mix'!$AT$7:$BD$30,Homes_calc!$B205-2006,Homes_calc!N$35+1)))</f>
        <v>0</v>
      </c>
      <c r="O205" s="21" cm="1">
        <f t="array" ref="O205">O178*(Houses_with_elec_10/Houses_with_plumbing_10)*((INDEX('DHW Mix'!$AT$7:$BD$30,Homes_calc!$B205-2006,Homes_calc!O$35+1)))</f>
        <v>0</v>
      </c>
      <c r="P205" s="21" cm="1">
        <f t="array" ref="P205">P178*(Houses_with_elec_10/Houses_with_plumbing_10)*((INDEX('DHW Mix'!$AT$7:$BD$30,Homes_calc!$B205-2006,Homes_calc!P$35+1)))</f>
        <v>0</v>
      </c>
      <c r="Q205" s="21" cm="1">
        <f t="array" ref="Q205">Q178*(Houses_with_elec_10/Houses_with_plumbing_10)*((INDEX('DHW Mix'!$AT$7:$BD$30,Homes_calc!$B205-2006,Homes_calc!Q$35+1)))</f>
        <v>0</v>
      </c>
      <c r="R205" s="21" cm="1">
        <f t="array" ref="R205">R178*(Houses_with_elec_10/Houses_with_plumbing_10)*((INDEX('DHW Mix'!$AT$7:$BD$30,Homes_calc!$B205-2006,Homes_calc!R$35+1)))</f>
        <v>0</v>
      </c>
      <c r="S205" s="21" cm="1">
        <f t="array" ref="S205">S178*(Houses_with_elec_10/Houses_with_plumbing_10)*((INDEX('DHW Mix'!$AT$7:$BD$30,Homes_calc!$B205-2006,Homes_calc!S$35+1)))</f>
        <v>0</v>
      </c>
      <c r="T205" s="21" cm="1">
        <f t="array" ref="T205">T178*(Houses_with_elec_10/Houses_with_plumbing_10)*((INDEX('DHW Mix'!$AT$7:$BD$30,Homes_calc!$B205-2006,Homes_calc!T$35+1)))</f>
        <v>0</v>
      </c>
      <c r="U205" s="21" cm="1">
        <f t="array" ref="U205">U178*(Houses_with_elec_10/Houses_with_plumbing_10)*((INDEX('DHW Mix'!$AT$7:$BD$30,Homes_calc!$B205-2006,Homes_calc!U$35+1)))</f>
        <v>0</v>
      </c>
      <c r="V205" s="21" cm="1">
        <f t="array" ref="V205">V178*(Houses_with_elec_10/Houses_with_plumbing_10)*((INDEX('DHW Mix'!$AT$7:$BD$30,Homes_calc!$B205-2006,Homes_calc!V$35+1)))</f>
        <v>0</v>
      </c>
      <c r="W205" s="21" cm="1">
        <f t="array" ref="W205">W178*(Houses_with_elec_10/Houses_with_plumbing_10)*((INDEX('DHW Mix'!$AT$7:$BD$30,Homes_calc!$B205-2006,Homes_calc!W$35+1)))</f>
        <v>0</v>
      </c>
      <c r="X205" s="21" cm="1">
        <f t="array" ref="X205">X178*(Houses_with_elec_10/Houses_with_plumbing_10)*((INDEX('DHW Mix'!$AT$7:$BD$30,Homes_calc!$B205-2006,Homes_calc!X$35+1)))</f>
        <v>0</v>
      </c>
      <c r="Y205" s="21" cm="1">
        <f t="array" ref="Y205">Y178*(Houses_with_elec_10/Houses_with_plumbing_10)*((INDEX('DHW Mix'!$AT$7:$BD$30,Homes_calc!$B205-2006,Homes_calc!Y$35+1)))</f>
        <v>0</v>
      </c>
      <c r="Z205" s="21" cm="1">
        <f t="array" ref="Z205">Z178*(Houses_with_elec_10/Houses_with_plumbing_10)*((INDEX('DHW Mix'!$AT$7:$BD$30,Homes_calc!$B205-2006,Homes_calc!Z$35+1)))</f>
        <v>0</v>
      </c>
      <c r="AA205" s="21" cm="1">
        <f t="array" ref="AA205">AA178*(Houses_with_elec_10/Houses_with_plumbing_10)*((INDEX('DHW Mix'!$AT$7:$BD$30,Homes_calc!$B205-2006,Homes_calc!AA$35+1)))</f>
        <v>0</v>
      </c>
      <c r="AB205" s="21" cm="1">
        <f t="array" ref="AB205">AB178*(Houses_with_elec_10/Houses_with_plumbing_10)*((INDEX('DHW Mix'!$AT$7:$BD$30,Homes_calc!$B205-2006,Homes_calc!AB$35+1)))</f>
        <v>0</v>
      </c>
      <c r="AC205" s="21" cm="1">
        <f t="array" ref="AC205">AC178*(Houses_with_elec_10/Houses_with_plumbing_10)*((INDEX('DHW Mix'!$AT$7:$BD$30,Homes_calc!$B205-2006,Homes_calc!AC$35+1)))</f>
        <v>0</v>
      </c>
      <c r="AD205" s="21" cm="1">
        <f t="array" ref="AD205">AD178*(Houses_with_elec_10/Houses_with_plumbing_10)*((INDEX('DHW Mix'!$AT$7:$BD$30,Homes_calc!$B205-2006,Homes_calc!AD$35+1)))</f>
        <v>0</v>
      </c>
      <c r="AE205" s="21" cm="1">
        <f t="array" ref="AE205">AE178*(Houses_with_elec_10/Houses_with_plumbing_10)*((INDEX('DHW Mix'!$AT$7:$BD$30,Homes_calc!$B205-2006,Homes_calc!AE$35+1)))</f>
        <v>0</v>
      </c>
      <c r="AF205" s="21" cm="1">
        <f t="array" ref="AF205">AF178*(Houses_with_elec_10/Houses_with_plumbing_10)*((INDEX('DHW Mix'!$AT$7:$BD$30,Homes_calc!$B205-2006,Homes_calc!AF$35+1)))</f>
        <v>0</v>
      </c>
      <c r="AG205" s="21" cm="1">
        <f t="array" ref="AG205">AG178*(Houses_with_elec_10/Houses_with_plumbing_10)*((INDEX('DHW Mix'!$AT$7:$BD$30,Homes_calc!$B205-2006,Homes_calc!AG$35+1)))</f>
        <v>0</v>
      </c>
      <c r="AH205" s="21" cm="1">
        <f t="array" ref="AH205">AH178*(Houses_with_elec_10/Houses_with_plumbing_10)*((INDEX('DHW Mix'!$AT$7:$BD$30,Homes_calc!$B205-2006,Homes_calc!AH$35+1)))</f>
        <v>0</v>
      </c>
      <c r="AI205" s="21" cm="1">
        <f t="array" ref="AI205">AI178*(Houses_with_elec_10/Houses_with_plumbing_10)*((INDEX('DHW Mix'!$AT$7:$BD$30,Homes_calc!$B205-2006,Homes_calc!AI$35+1)))</f>
        <v>0</v>
      </c>
      <c r="AJ205" s="21" cm="1">
        <f t="array" ref="AJ205">AJ178*(Houses_with_elec_10/Houses_with_plumbing_10)*((INDEX('DHW Mix'!$AT$7:$BD$30,Homes_calc!$B205-2006,Homes_calc!AJ$35+1)))</f>
        <v>0</v>
      </c>
      <c r="AK205" s="21" cm="1">
        <f t="array" ref="AK205">AK178*(Houses_with_elec_10/Houses_with_plumbing_10)*((INDEX('DHW Mix'!$AT$7:$BD$30,Homes_calc!$B205-2006,Homes_calc!AK$35+1)))</f>
        <v>0</v>
      </c>
      <c r="AL205" s="21" cm="1">
        <f t="array" ref="AL205">AL178*(Houses_with_elec_10/Houses_with_plumbing_10)*((INDEX('DHW Mix'!$AT$7:$BD$30,Homes_calc!$B205-2006,Homes_calc!AL$35+1)))</f>
        <v>0</v>
      </c>
      <c r="AM205" s="21" cm="1">
        <f t="array" ref="AM205">AM178*(Houses_with_elec_10/Houses_with_plumbing_10)*((INDEX('DHW Mix'!$AT$7:$BD$30,Homes_calc!$B205-2006,Homes_calc!AM$35+1)))</f>
        <v>0</v>
      </c>
      <c r="AN205" s="21" cm="1">
        <f t="array" ref="AN205">AN178*(Houses_with_elec_10/Houses_with_plumbing_10)*((INDEX('DHW Mix'!$AT$7:$BD$30,Homes_calc!$B205-2006,Homes_calc!AN$35+1)))</f>
        <v>0</v>
      </c>
      <c r="AO205" s="21" cm="1">
        <f t="array" ref="AO205">AO178*(Houses_with_elec_10/Houses_with_plumbing_10)*((INDEX('DHW Mix'!$AT$7:$BD$30,Homes_calc!$B205-2006,Homes_calc!AO$35+1)))</f>
        <v>0</v>
      </c>
      <c r="AP205" s="21" cm="1">
        <f t="array" ref="AP205">AP178*(Houses_with_elec_10/Houses_with_plumbing_10)*((INDEX('DHW Mix'!$AT$7:$BD$30,Homes_calc!$B205-2006,Homes_calc!AP$35+1)))</f>
        <v>0</v>
      </c>
      <c r="AQ205" s="21" cm="1">
        <f t="array" ref="AQ205">AQ178*(Houses_with_elec_10/Houses_with_plumbing_10)*((INDEX('DHW Mix'!$AT$7:$BD$30,Homes_calc!$B205-2006,Homes_calc!AQ$35+1)))</f>
        <v>0</v>
      </c>
      <c r="AR205" s="21" cm="1">
        <f t="array" ref="AR205">AR178*(Houses_with_elec_10/Houses_with_plumbing_10)*((INDEX('DHW Mix'!$AT$7:$BD$30,Homes_calc!$B205-2006,Homes_calc!AR$35+1)))</f>
        <v>0</v>
      </c>
      <c r="AS205" s="21" cm="1">
        <f t="array" ref="AS205">AS178*(Houses_with_elec_10/Houses_with_plumbing_10)*((INDEX('DHW Mix'!$AT$7:$BD$30,Homes_calc!$B205-2006,Homes_calc!AS$35+1)))</f>
        <v>0</v>
      </c>
      <c r="AT205" s="21" cm="1">
        <f t="array" ref="AT205">AT178*(Houses_with_elec_10/Houses_with_plumbing_10)*((INDEX('DHW Mix'!$AT$7:$BD$30,Homes_calc!$B205-2006,Homes_calc!AT$35+1)))</f>
        <v>0</v>
      </c>
      <c r="AU205" s="21" cm="1">
        <f t="array" ref="AU205">AU178*(Houses_with_elec_10/Houses_with_plumbing_10)*((INDEX('DHW Mix'!$AT$7:$BD$30,Homes_calc!$B205-2006,Homes_calc!AU$35+1)))</f>
        <v>0</v>
      </c>
      <c r="AV205" s="21" cm="1">
        <f t="array" ref="AV205">AV178*(Houses_with_elec_10/Houses_with_plumbing_10)*((INDEX('DHW Mix'!$AT$7:$BD$30,Homes_calc!$B205-2006,Homes_calc!AV$35+1)))</f>
        <v>0</v>
      </c>
      <c r="AW205" s="21" cm="1">
        <f t="array" ref="AW205">AW178*(Houses_with_elec_10/Houses_with_plumbing_10)*((INDEX('DHW Mix'!$AT$7:$BD$30,Homes_calc!$B205-2006,Homes_calc!AW$35+1)))</f>
        <v>0</v>
      </c>
      <c r="AX205" s="21" cm="1">
        <f t="array" ref="AX205">AX178*(Houses_with_elec_10/Houses_with_plumbing_10)*((INDEX('DHW Mix'!$AT$7:$BD$30,Homes_calc!$B205-2006,Homes_calc!AX$35+1)))</f>
        <v>0</v>
      </c>
      <c r="AY205" s="21" cm="1">
        <f t="array" ref="AY205">AY178*(Houses_with_elec_10/Houses_with_plumbing_10)*((INDEX('DHW Mix'!$AT$7:$BD$30,Homes_calc!$B205-2006,Homes_calc!AY$35+1)))</f>
        <v>0</v>
      </c>
      <c r="AZ205" s="21" cm="1">
        <f t="array" ref="AZ205">AZ178*(Houses_with_elec_10/Houses_with_plumbing_10)*((INDEX('DHW Mix'!$AT$7:$BD$30,Homes_calc!$B205-2006,Homes_calc!AZ$35+1)))</f>
        <v>0</v>
      </c>
      <c r="BA205" s="21" cm="1">
        <f t="array" ref="BA205">BA178*(Houses_with_elec_10/Houses_with_plumbing_10)*((INDEX('DHW Mix'!$AT$7:$BD$30,Homes_calc!$B205-2006,Homes_calc!BA$35+1)))</f>
        <v>0</v>
      </c>
      <c r="BB205" s="21">
        <f t="shared" si="191"/>
        <v>0</v>
      </c>
      <c r="BC205" s="21"/>
    </row>
    <row r="206" spans="1:55">
      <c r="A206" s="456"/>
      <c r="B206" s="228">
        <v>2011</v>
      </c>
      <c r="C206" s="21" cm="1">
        <f t="array" ref="C206">C179*(Houses_with_elec_11/Houses_with_plumbing_11)*((INDEX('DHW Mix'!$AT$7:$BD$30,Homes_calc!$B206-2006,Homes_calc!C$35+1)))</f>
        <v>0</v>
      </c>
      <c r="D206" s="21" cm="1">
        <f t="array" ref="D206">D179*(Houses_with_elec_11/Houses_with_plumbing_11)*((INDEX('DHW Mix'!$AT$7:$BD$30,Homes_calc!$B206-2006,Homes_calc!D$35+1)))</f>
        <v>0</v>
      </c>
      <c r="E206" s="21" cm="1">
        <f t="array" ref="E206">E179*(Houses_with_elec_11/Houses_with_plumbing_11)*((INDEX('DHW Mix'!$AT$7:$BD$30,Homes_calc!$B206-2006,Homes_calc!E$35+1)))</f>
        <v>0</v>
      </c>
      <c r="F206" s="21" cm="1">
        <f t="array" ref="F206">F179*(Houses_with_elec_11/Houses_with_plumbing_11)*((INDEX('DHW Mix'!$AT$7:$BD$30,Homes_calc!$B206-2006,Homes_calc!F$35+1)))</f>
        <v>0</v>
      </c>
      <c r="G206" s="21" cm="1">
        <f t="array" ref="G206">G179*(Houses_with_elec_11/Houses_with_plumbing_11)*((INDEX('DHW Mix'!$AT$7:$BD$30,Homes_calc!$B206-2006,Homes_calc!G$35+1)))</f>
        <v>0</v>
      </c>
      <c r="H206" s="21" cm="1">
        <f t="array" ref="H206">H179*(Houses_with_elec_11/Houses_with_plumbing_11)*((INDEX('DHW Mix'!$AT$7:$BD$30,Homes_calc!$B206-2006,Homes_calc!H$35+1)))</f>
        <v>0</v>
      </c>
      <c r="I206" s="21" cm="1">
        <f t="array" ref="I206">I179*(Houses_with_elec_11/Houses_with_plumbing_11)*((INDEX('DHW Mix'!$AT$7:$BD$30,Homes_calc!$B206-2006,Homes_calc!I$35+1)))</f>
        <v>0</v>
      </c>
      <c r="J206" s="21" cm="1">
        <f t="array" ref="J206">J179*(Houses_with_elec_11/Houses_with_plumbing_11)*((INDEX('DHW Mix'!$AT$7:$BD$30,Homes_calc!$B206-2006,Homes_calc!J$35+1)))</f>
        <v>0</v>
      </c>
      <c r="K206" s="21" cm="1">
        <f t="array" ref="K206">K179*(Houses_with_elec_11/Houses_with_plumbing_11)*((INDEX('DHW Mix'!$AT$7:$BD$30,Homes_calc!$B206-2006,Homes_calc!K$35+1)))</f>
        <v>0</v>
      </c>
      <c r="L206" s="21" cm="1">
        <f t="array" ref="L206">L179*(Houses_with_elec_11/Houses_with_plumbing_11)*((INDEX('DHW Mix'!$AT$7:$BD$30,Homes_calc!$B206-2006,Homes_calc!L$35+1)))</f>
        <v>0</v>
      </c>
      <c r="M206" s="21" cm="1">
        <f t="array" ref="M206">M179*(Houses_with_elec_11/Houses_with_plumbing_11)*((INDEX('DHW Mix'!$AT$7:$BD$30,Homes_calc!$B206-2006,Homes_calc!M$35+1)))</f>
        <v>0</v>
      </c>
      <c r="N206" s="21" cm="1">
        <f t="array" ref="N206">N179*(Houses_with_elec_11/Houses_with_plumbing_11)*((INDEX('DHW Mix'!$AT$7:$BD$30,Homes_calc!$B206-2006,Homes_calc!N$35+1)))</f>
        <v>0</v>
      </c>
      <c r="O206" s="21" cm="1">
        <f t="array" ref="O206">O179*(Houses_with_elec_11/Houses_with_plumbing_11)*((INDEX('DHW Mix'!$AT$7:$BD$30,Homes_calc!$B206-2006,Homes_calc!O$35+1)))</f>
        <v>0</v>
      </c>
      <c r="P206" s="21" cm="1">
        <f t="array" ref="P206">P179*(Houses_with_elec_11/Houses_with_plumbing_11)*((INDEX('DHW Mix'!$AT$7:$BD$30,Homes_calc!$B206-2006,Homes_calc!P$35+1)))</f>
        <v>0</v>
      </c>
      <c r="Q206" s="21" cm="1">
        <f t="array" ref="Q206">Q179*(Houses_with_elec_11/Houses_with_plumbing_11)*((INDEX('DHW Mix'!$AT$7:$BD$30,Homes_calc!$B206-2006,Homes_calc!Q$35+1)))</f>
        <v>0</v>
      </c>
      <c r="R206" s="21" cm="1">
        <f t="array" ref="R206">R179*(Houses_with_elec_11/Houses_with_plumbing_11)*((INDEX('DHW Mix'!$AT$7:$BD$30,Homes_calc!$B206-2006,Homes_calc!R$35+1)))</f>
        <v>0</v>
      </c>
      <c r="S206" s="21" cm="1">
        <f t="array" ref="S206">S179*(Houses_with_elec_11/Houses_with_plumbing_11)*((INDEX('DHW Mix'!$AT$7:$BD$30,Homes_calc!$B206-2006,Homes_calc!S$35+1)))</f>
        <v>0</v>
      </c>
      <c r="T206" s="21" cm="1">
        <f t="array" ref="T206">T179*(Houses_with_elec_11/Houses_with_plumbing_11)*((INDEX('DHW Mix'!$AT$7:$BD$30,Homes_calc!$B206-2006,Homes_calc!T$35+1)))</f>
        <v>0</v>
      </c>
      <c r="U206" s="21" cm="1">
        <f t="array" ref="U206">U179*(Houses_with_elec_11/Houses_with_plumbing_11)*((INDEX('DHW Mix'!$AT$7:$BD$30,Homes_calc!$B206-2006,Homes_calc!U$35+1)))</f>
        <v>0</v>
      </c>
      <c r="V206" s="21" cm="1">
        <f t="array" ref="V206">V179*(Houses_with_elec_11/Houses_with_plumbing_11)*((INDEX('DHW Mix'!$AT$7:$BD$30,Homes_calc!$B206-2006,Homes_calc!V$35+1)))</f>
        <v>0</v>
      </c>
      <c r="W206" s="21" cm="1">
        <f t="array" ref="W206">W179*(Houses_with_elec_11/Houses_with_plumbing_11)*((INDEX('DHW Mix'!$AT$7:$BD$30,Homes_calc!$B206-2006,Homes_calc!W$35+1)))</f>
        <v>0</v>
      </c>
      <c r="X206" s="21" cm="1">
        <f t="array" ref="X206">X179*(Houses_with_elec_11/Houses_with_plumbing_11)*((INDEX('DHW Mix'!$AT$7:$BD$30,Homes_calc!$B206-2006,Homes_calc!X$35+1)))</f>
        <v>0</v>
      </c>
      <c r="Y206" s="21" cm="1">
        <f t="array" ref="Y206">Y179*(Houses_with_elec_11/Houses_with_plumbing_11)*((INDEX('DHW Mix'!$AT$7:$BD$30,Homes_calc!$B206-2006,Homes_calc!Y$35+1)))</f>
        <v>0</v>
      </c>
      <c r="Z206" s="21" cm="1">
        <f t="array" ref="Z206">Z179*(Houses_with_elec_11/Houses_with_plumbing_11)*((INDEX('DHW Mix'!$AT$7:$BD$30,Homes_calc!$B206-2006,Homes_calc!Z$35+1)))</f>
        <v>0</v>
      </c>
      <c r="AA206" s="21" cm="1">
        <f t="array" ref="AA206">AA179*(Houses_with_elec_11/Houses_with_plumbing_11)*((INDEX('DHW Mix'!$AT$7:$BD$30,Homes_calc!$B206-2006,Homes_calc!AA$35+1)))</f>
        <v>0</v>
      </c>
      <c r="AB206" s="21" cm="1">
        <f t="array" ref="AB206">AB179*(Houses_with_elec_11/Houses_with_plumbing_11)*((INDEX('DHW Mix'!$AT$7:$BD$30,Homes_calc!$B206-2006,Homes_calc!AB$35+1)))</f>
        <v>0</v>
      </c>
      <c r="AC206" s="21" cm="1">
        <f t="array" ref="AC206">AC179*(Houses_with_elec_11/Houses_with_plumbing_11)*((INDEX('DHW Mix'!$AT$7:$BD$30,Homes_calc!$B206-2006,Homes_calc!AC$35+1)))</f>
        <v>0</v>
      </c>
      <c r="AD206" s="21" cm="1">
        <f t="array" ref="AD206">AD179*(Houses_with_elec_11/Houses_with_plumbing_11)*((INDEX('DHW Mix'!$AT$7:$BD$30,Homes_calc!$B206-2006,Homes_calc!AD$35+1)))</f>
        <v>0</v>
      </c>
      <c r="AE206" s="21" cm="1">
        <f t="array" ref="AE206">AE179*(Houses_with_elec_11/Houses_with_plumbing_11)*((INDEX('DHW Mix'!$AT$7:$BD$30,Homes_calc!$B206-2006,Homes_calc!AE$35+1)))</f>
        <v>0</v>
      </c>
      <c r="AF206" s="21" cm="1">
        <f t="array" ref="AF206">AF179*(Houses_with_elec_11/Houses_with_plumbing_11)*((INDEX('DHW Mix'!$AT$7:$BD$30,Homes_calc!$B206-2006,Homes_calc!AF$35+1)))</f>
        <v>0</v>
      </c>
      <c r="AG206" s="21" cm="1">
        <f t="array" ref="AG206">AG179*(Houses_with_elec_11/Houses_with_plumbing_11)*((INDEX('DHW Mix'!$AT$7:$BD$30,Homes_calc!$B206-2006,Homes_calc!AG$35+1)))</f>
        <v>0</v>
      </c>
      <c r="AH206" s="21" cm="1">
        <f t="array" ref="AH206">AH179*(Houses_with_elec_11/Houses_with_plumbing_11)*((INDEX('DHW Mix'!$AT$7:$BD$30,Homes_calc!$B206-2006,Homes_calc!AH$35+1)))</f>
        <v>0</v>
      </c>
      <c r="AI206" s="21" cm="1">
        <f t="array" ref="AI206">AI179*(Houses_with_elec_11/Houses_with_plumbing_11)*((INDEX('DHW Mix'!$AT$7:$BD$30,Homes_calc!$B206-2006,Homes_calc!AI$35+1)))</f>
        <v>0</v>
      </c>
      <c r="AJ206" s="21" cm="1">
        <f t="array" ref="AJ206">AJ179*(Houses_with_elec_11/Houses_with_plumbing_11)*((INDEX('DHW Mix'!$AT$7:$BD$30,Homes_calc!$B206-2006,Homes_calc!AJ$35+1)))</f>
        <v>0</v>
      </c>
      <c r="AK206" s="21" cm="1">
        <f t="array" ref="AK206">AK179*(Houses_with_elec_11/Houses_with_plumbing_11)*((INDEX('DHW Mix'!$AT$7:$BD$30,Homes_calc!$B206-2006,Homes_calc!AK$35+1)))</f>
        <v>0</v>
      </c>
      <c r="AL206" s="21" cm="1">
        <f t="array" ref="AL206">AL179*(Houses_with_elec_11/Houses_with_plumbing_11)*((INDEX('DHW Mix'!$AT$7:$BD$30,Homes_calc!$B206-2006,Homes_calc!AL$35+1)))</f>
        <v>0</v>
      </c>
      <c r="AM206" s="21" cm="1">
        <f t="array" ref="AM206">AM179*(Houses_with_elec_11/Houses_with_plumbing_11)*((INDEX('DHW Mix'!$AT$7:$BD$30,Homes_calc!$B206-2006,Homes_calc!AM$35+1)))</f>
        <v>0</v>
      </c>
      <c r="AN206" s="21" cm="1">
        <f t="array" ref="AN206">AN179*(Houses_with_elec_11/Houses_with_plumbing_11)*((INDEX('DHW Mix'!$AT$7:$BD$30,Homes_calc!$B206-2006,Homes_calc!AN$35+1)))</f>
        <v>0</v>
      </c>
      <c r="AO206" s="21" cm="1">
        <f t="array" ref="AO206">AO179*(Houses_with_elec_11/Houses_with_plumbing_11)*((INDEX('DHW Mix'!$AT$7:$BD$30,Homes_calc!$B206-2006,Homes_calc!AO$35+1)))</f>
        <v>0</v>
      </c>
      <c r="AP206" s="21" cm="1">
        <f t="array" ref="AP206">AP179*(Houses_with_elec_11/Houses_with_plumbing_11)*((INDEX('DHW Mix'!$AT$7:$BD$30,Homes_calc!$B206-2006,Homes_calc!AP$35+1)))</f>
        <v>0</v>
      </c>
      <c r="AQ206" s="21" cm="1">
        <f t="array" ref="AQ206">AQ179*(Houses_with_elec_11/Houses_with_plumbing_11)*((INDEX('DHW Mix'!$AT$7:$BD$30,Homes_calc!$B206-2006,Homes_calc!AQ$35+1)))</f>
        <v>0</v>
      </c>
      <c r="AR206" s="21" cm="1">
        <f t="array" ref="AR206">AR179*(Houses_with_elec_11/Houses_with_plumbing_11)*((INDEX('DHW Mix'!$AT$7:$BD$30,Homes_calc!$B206-2006,Homes_calc!AR$35+1)))</f>
        <v>0</v>
      </c>
      <c r="AS206" s="21" cm="1">
        <f t="array" ref="AS206">AS179*(Houses_with_elec_11/Houses_with_plumbing_11)*((INDEX('DHW Mix'!$AT$7:$BD$30,Homes_calc!$B206-2006,Homes_calc!AS$35+1)))</f>
        <v>0</v>
      </c>
      <c r="AT206" s="21" cm="1">
        <f t="array" ref="AT206">AT179*(Houses_with_elec_11/Houses_with_plumbing_11)*((INDEX('DHW Mix'!$AT$7:$BD$30,Homes_calc!$B206-2006,Homes_calc!AT$35+1)))</f>
        <v>0</v>
      </c>
      <c r="AU206" s="21" cm="1">
        <f t="array" ref="AU206">AU179*(Houses_with_elec_11/Houses_with_plumbing_11)*((INDEX('DHW Mix'!$AT$7:$BD$30,Homes_calc!$B206-2006,Homes_calc!AU$35+1)))</f>
        <v>0</v>
      </c>
      <c r="AV206" s="21" cm="1">
        <f t="array" ref="AV206">AV179*(Houses_with_elec_11/Houses_with_plumbing_11)*((INDEX('DHW Mix'!$AT$7:$BD$30,Homes_calc!$B206-2006,Homes_calc!AV$35+1)))</f>
        <v>0</v>
      </c>
      <c r="AW206" s="21" cm="1">
        <f t="array" ref="AW206">AW179*(Houses_with_elec_11/Houses_with_plumbing_11)*((INDEX('DHW Mix'!$AT$7:$BD$30,Homes_calc!$B206-2006,Homes_calc!AW$35+1)))</f>
        <v>0</v>
      </c>
      <c r="AX206" s="21" cm="1">
        <f t="array" ref="AX206">AX179*(Houses_with_elec_11/Houses_with_plumbing_11)*((INDEX('DHW Mix'!$AT$7:$BD$30,Homes_calc!$B206-2006,Homes_calc!AX$35+1)))</f>
        <v>0</v>
      </c>
      <c r="AY206" s="21" cm="1">
        <f t="array" ref="AY206">AY179*(Houses_with_elec_11/Houses_with_plumbing_11)*((INDEX('DHW Mix'!$AT$7:$BD$30,Homes_calc!$B206-2006,Homes_calc!AY$35+1)))</f>
        <v>0</v>
      </c>
      <c r="AZ206" s="21" cm="1">
        <f t="array" ref="AZ206">AZ179*(Houses_with_elec_11/Houses_with_plumbing_11)*((INDEX('DHW Mix'!$AT$7:$BD$30,Homes_calc!$B206-2006,Homes_calc!AZ$35+1)))</f>
        <v>0</v>
      </c>
      <c r="BA206" s="21" cm="1">
        <f t="array" ref="BA206">BA179*(Houses_with_elec_11/Houses_with_plumbing_11)*((INDEX('DHW Mix'!$AT$7:$BD$30,Homes_calc!$B206-2006,Homes_calc!BA$35+1)))</f>
        <v>0</v>
      </c>
      <c r="BB206" s="21">
        <f t="shared" si="191"/>
        <v>0</v>
      </c>
      <c r="BC206" s="21"/>
    </row>
    <row r="207" spans="1:55">
      <c r="A207" s="456"/>
      <c r="B207" s="226">
        <v>2012</v>
      </c>
      <c r="C207" s="21" cm="1">
        <f t="array" ref="C207">C180*(Houses_with_elec_12/Houses_with_plumbing_12)*((INDEX('DHW Mix'!$AT$7:$BD$30,Homes_calc!$B207-2006,Homes_calc!C$35+1)))</f>
        <v>0</v>
      </c>
      <c r="D207" s="21" cm="1">
        <f t="array" ref="D207">D180*(Houses_with_elec_12/Houses_with_plumbing_12)*((INDEX('DHW Mix'!$AT$7:$BD$30,Homes_calc!$B207-2006,Homes_calc!D$35+1)))</f>
        <v>0</v>
      </c>
      <c r="E207" s="21" cm="1">
        <f t="array" ref="E207">E180*(Houses_with_elec_12/Houses_with_plumbing_12)*((INDEX('DHW Mix'!$AT$7:$BD$30,Homes_calc!$B207-2006,Homes_calc!E$35+1)))</f>
        <v>0</v>
      </c>
      <c r="F207" s="21" cm="1">
        <f t="array" ref="F207">F180*(Houses_with_elec_12/Houses_with_plumbing_12)*((INDEX('DHW Mix'!$AT$7:$BD$30,Homes_calc!$B207-2006,Homes_calc!F$35+1)))</f>
        <v>0</v>
      </c>
      <c r="G207" s="21" cm="1">
        <f t="array" ref="G207">G180*(Houses_with_elec_12/Houses_with_plumbing_12)*((INDEX('DHW Mix'!$AT$7:$BD$30,Homes_calc!$B207-2006,Homes_calc!G$35+1)))</f>
        <v>0</v>
      </c>
      <c r="H207" s="21" cm="1">
        <f t="array" ref="H207">H180*(Houses_with_elec_12/Houses_with_plumbing_12)*((INDEX('DHW Mix'!$AT$7:$BD$30,Homes_calc!$B207-2006,Homes_calc!H$35+1)))</f>
        <v>0</v>
      </c>
      <c r="I207" s="21" cm="1">
        <f t="array" ref="I207">I180*(Houses_with_elec_12/Houses_with_plumbing_12)*((INDEX('DHW Mix'!$AT$7:$BD$30,Homes_calc!$B207-2006,Homes_calc!I$35+1)))</f>
        <v>0</v>
      </c>
      <c r="J207" s="21" cm="1">
        <f t="array" ref="J207">J180*(Houses_with_elec_12/Houses_with_plumbing_12)*((INDEX('DHW Mix'!$AT$7:$BD$30,Homes_calc!$B207-2006,Homes_calc!J$35+1)))</f>
        <v>0</v>
      </c>
      <c r="K207" s="21" cm="1">
        <f t="array" ref="K207">K180*(Houses_with_elec_12/Houses_with_plumbing_12)*((INDEX('DHW Mix'!$AT$7:$BD$30,Homes_calc!$B207-2006,Homes_calc!K$35+1)))</f>
        <v>0</v>
      </c>
      <c r="L207" s="21" cm="1">
        <f t="array" ref="L207">L180*(Houses_with_elec_12/Houses_with_plumbing_12)*((INDEX('DHW Mix'!$AT$7:$BD$30,Homes_calc!$B207-2006,Homes_calc!L$35+1)))</f>
        <v>0</v>
      </c>
      <c r="M207" s="21" cm="1">
        <f t="array" ref="M207">M180*(Houses_with_elec_12/Houses_with_plumbing_12)*((INDEX('DHW Mix'!$AT$7:$BD$30,Homes_calc!$B207-2006,Homes_calc!M$35+1)))</f>
        <v>0</v>
      </c>
      <c r="N207" s="21" cm="1">
        <f t="array" ref="N207">N180*(Houses_with_elec_12/Houses_with_plumbing_12)*((INDEX('DHW Mix'!$AT$7:$BD$30,Homes_calc!$B207-2006,Homes_calc!N$35+1)))</f>
        <v>0</v>
      </c>
      <c r="O207" s="21" cm="1">
        <f t="array" ref="O207">O180*(Houses_with_elec_12/Houses_with_plumbing_12)*((INDEX('DHW Mix'!$AT$7:$BD$30,Homes_calc!$B207-2006,Homes_calc!O$35+1)))</f>
        <v>0</v>
      </c>
      <c r="P207" s="21" cm="1">
        <f t="array" ref="P207">P180*(Houses_with_elec_12/Houses_with_plumbing_12)*((INDEX('DHW Mix'!$AT$7:$BD$30,Homes_calc!$B207-2006,Homes_calc!P$35+1)))</f>
        <v>0</v>
      </c>
      <c r="Q207" s="21" cm="1">
        <f t="array" ref="Q207">Q180*(Houses_with_elec_12/Houses_with_plumbing_12)*((INDEX('DHW Mix'!$AT$7:$BD$30,Homes_calc!$B207-2006,Homes_calc!Q$35+1)))</f>
        <v>0</v>
      </c>
      <c r="R207" s="21" cm="1">
        <f t="array" ref="R207">R180*(Houses_with_elec_12/Houses_with_plumbing_12)*((INDEX('DHW Mix'!$AT$7:$BD$30,Homes_calc!$B207-2006,Homes_calc!R$35+1)))</f>
        <v>0</v>
      </c>
      <c r="S207" s="21" cm="1">
        <f t="array" ref="S207">S180*(Houses_with_elec_12/Houses_with_plumbing_12)*((INDEX('DHW Mix'!$AT$7:$BD$30,Homes_calc!$B207-2006,Homes_calc!S$35+1)))</f>
        <v>0</v>
      </c>
      <c r="T207" s="21" cm="1">
        <f t="array" ref="T207">T180*(Houses_with_elec_12/Houses_with_plumbing_12)*((INDEX('DHW Mix'!$AT$7:$BD$30,Homes_calc!$B207-2006,Homes_calc!T$35+1)))</f>
        <v>0</v>
      </c>
      <c r="U207" s="21" cm="1">
        <f t="array" ref="U207">U180*(Houses_with_elec_12/Houses_with_plumbing_12)*((INDEX('DHW Mix'!$AT$7:$BD$30,Homes_calc!$B207-2006,Homes_calc!U$35+1)))</f>
        <v>0</v>
      </c>
      <c r="V207" s="21" cm="1">
        <f t="array" ref="V207">V180*(Houses_with_elec_12/Houses_with_plumbing_12)*((INDEX('DHW Mix'!$AT$7:$BD$30,Homes_calc!$B207-2006,Homes_calc!V$35+1)))</f>
        <v>0</v>
      </c>
      <c r="W207" s="21" cm="1">
        <f t="array" ref="W207">W180*(Houses_with_elec_12/Houses_with_plumbing_12)*((INDEX('DHW Mix'!$AT$7:$BD$30,Homes_calc!$B207-2006,Homes_calc!W$35+1)))</f>
        <v>0</v>
      </c>
      <c r="X207" s="21" cm="1">
        <f t="array" ref="X207">X180*(Houses_with_elec_12/Houses_with_plumbing_12)*((INDEX('DHW Mix'!$AT$7:$BD$30,Homes_calc!$B207-2006,Homes_calc!X$35+1)))</f>
        <v>0</v>
      </c>
      <c r="Y207" s="21" cm="1">
        <f t="array" ref="Y207">Y180*(Houses_with_elec_12/Houses_with_plumbing_12)*((INDEX('DHW Mix'!$AT$7:$BD$30,Homes_calc!$B207-2006,Homes_calc!Y$35+1)))</f>
        <v>0</v>
      </c>
      <c r="Z207" s="21" cm="1">
        <f t="array" ref="Z207">Z180*(Houses_with_elec_12/Houses_with_plumbing_12)*((INDEX('DHW Mix'!$AT$7:$BD$30,Homes_calc!$B207-2006,Homes_calc!Z$35+1)))</f>
        <v>0</v>
      </c>
      <c r="AA207" s="21" cm="1">
        <f t="array" ref="AA207">AA180*(Houses_with_elec_12/Houses_with_plumbing_12)*((INDEX('DHW Mix'!$AT$7:$BD$30,Homes_calc!$B207-2006,Homes_calc!AA$35+1)))</f>
        <v>0</v>
      </c>
      <c r="AB207" s="21" cm="1">
        <f t="array" ref="AB207">AB180*(Houses_with_elec_12/Houses_with_plumbing_12)*((INDEX('DHW Mix'!$AT$7:$BD$30,Homes_calc!$B207-2006,Homes_calc!AB$35+1)))</f>
        <v>0</v>
      </c>
      <c r="AC207" s="21" cm="1">
        <f t="array" ref="AC207">AC180*(Houses_with_elec_12/Houses_with_plumbing_12)*((INDEX('DHW Mix'!$AT$7:$BD$30,Homes_calc!$B207-2006,Homes_calc!AC$35+1)))</f>
        <v>0</v>
      </c>
      <c r="AD207" s="21" cm="1">
        <f t="array" ref="AD207">AD180*(Houses_with_elec_12/Houses_with_plumbing_12)*((INDEX('DHW Mix'!$AT$7:$BD$30,Homes_calc!$B207-2006,Homes_calc!AD$35+1)))</f>
        <v>0</v>
      </c>
      <c r="AE207" s="21" cm="1">
        <f t="array" ref="AE207">AE180*(Houses_with_elec_12/Houses_with_plumbing_12)*((INDEX('DHW Mix'!$AT$7:$BD$30,Homes_calc!$B207-2006,Homes_calc!AE$35+1)))</f>
        <v>0</v>
      </c>
      <c r="AF207" s="21" cm="1">
        <f t="array" ref="AF207">AF180*(Houses_with_elec_12/Houses_with_plumbing_12)*((INDEX('DHW Mix'!$AT$7:$BD$30,Homes_calc!$B207-2006,Homes_calc!AF$35+1)))</f>
        <v>0</v>
      </c>
      <c r="AG207" s="21" cm="1">
        <f t="array" ref="AG207">AG180*(Houses_with_elec_12/Houses_with_plumbing_12)*((INDEX('DHW Mix'!$AT$7:$BD$30,Homes_calc!$B207-2006,Homes_calc!AG$35+1)))</f>
        <v>0</v>
      </c>
      <c r="AH207" s="21" cm="1">
        <f t="array" ref="AH207">AH180*(Houses_with_elec_12/Houses_with_plumbing_12)*((INDEX('DHW Mix'!$AT$7:$BD$30,Homes_calc!$B207-2006,Homes_calc!AH$35+1)))</f>
        <v>0</v>
      </c>
      <c r="AI207" s="21" cm="1">
        <f t="array" ref="AI207">AI180*(Houses_with_elec_12/Houses_with_plumbing_12)*((INDEX('DHW Mix'!$AT$7:$BD$30,Homes_calc!$B207-2006,Homes_calc!AI$35+1)))</f>
        <v>0</v>
      </c>
      <c r="AJ207" s="21" cm="1">
        <f t="array" ref="AJ207">AJ180*(Houses_with_elec_12/Houses_with_plumbing_12)*((INDEX('DHW Mix'!$AT$7:$BD$30,Homes_calc!$B207-2006,Homes_calc!AJ$35+1)))</f>
        <v>0</v>
      </c>
      <c r="AK207" s="21" cm="1">
        <f t="array" ref="AK207">AK180*(Houses_with_elec_12/Houses_with_plumbing_12)*((INDEX('DHW Mix'!$AT$7:$BD$30,Homes_calc!$B207-2006,Homes_calc!AK$35+1)))</f>
        <v>0</v>
      </c>
      <c r="AL207" s="21" cm="1">
        <f t="array" ref="AL207">AL180*(Houses_with_elec_12/Houses_with_plumbing_12)*((INDEX('DHW Mix'!$AT$7:$BD$30,Homes_calc!$B207-2006,Homes_calc!AL$35+1)))</f>
        <v>0</v>
      </c>
      <c r="AM207" s="21" cm="1">
        <f t="array" ref="AM207">AM180*(Houses_with_elec_12/Houses_with_plumbing_12)*((INDEX('DHW Mix'!$AT$7:$BD$30,Homes_calc!$B207-2006,Homes_calc!AM$35+1)))</f>
        <v>0</v>
      </c>
      <c r="AN207" s="21" cm="1">
        <f t="array" ref="AN207">AN180*(Houses_with_elec_12/Houses_with_plumbing_12)*((INDEX('DHW Mix'!$AT$7:$BD$30,Homes_calc!$B207-2006,Homes_calc!AN$35+1)))</f>
        <v>0</v>
      </c>
      <c r="AO207" s="21" cm="1">
        <f t="array" ref="AO207">AO180*(Houses_with_elec_12/Houses_with_plumbing_12)*((INDEX('DHW Mix'!$AT$7:$BD$30,Homes_calc!$B207-2006,Homes_calc!AO$35+1)))</f>
        <v>0</v>
      </c>
      <c r="AP207" s="21" cm="1">
        <f t="array" ref="AP207">AP180*(Houses_with_elec_12/Houses_with_plumbing_12)*((INDEX('DHW Mix'!$AT$7:$BD$30,Homes_calc!$B207-2006,Homes_calc!AP$35+1)))</f>
        <v>0</v>
      </c>
      <c r="AQ207" s="21" cm="1">
        <f t="array" ref="AQ207">AQ180*(Houses_with_elec_12/Houses_with_plumbing_12)*((INDEX('DHW Mix'!$AT$7:$BD$30,Homes_calc!$B207-2006,Homes_calc!AQ$35+1)))</f>
        <v>0</v>
      </c>
      <c r="AR207" s="21" cm="1">
        <f t="array" ref="AR207">AR180*(Houses_with_elec_12/Houses_with_plumbing_12)*((INDEX('DHW Mix'!$AT$7:$BD$30,Homes_calc!$B207-2006,Homes_calc!AR$35+1)))</f>
        <v>0</v>
      </c>
      <c r="AS207" s="21" cm="1">
        <f t="array" ref="AS207">AS180*(Houses_with_elec_12/Houses_with_plumbing_12)*((INDEX('DHW Mix'!$AT$7:$BD$30,Homes_calc!$B207-2006,Homes_calc!AS$35+1)))</f>
        <v>0</v>
      </c>
      <c r="AT207" s="21" cm="1">
        <f t="array" ref="AT207">AT180*(Houses_with_elec_12/Houses_with_plumbing_12)*((INDEX('DHW Mix'!$AT$7:$BD$30,Homes_calc!$B207-2006,Homes_calc!AT$35+1)))</f>
        <v>0</v>
      </c>
      <c r="AU207" s="21" cm="1">
        <f t="array" ref="AU207">AU180*(Houses_with_elec_12/Houses_with_plumbing_12)*((INDEX('DHW Mix'!$AT$7:$BD$30,Homes_calc!$B207-2006,Homes_calc!AU$35+1)))</f>
        <v>0</v>
      </c>
      <c r="AV207" s="21" cm="1">
        <f t="array" ref="AV207">AV180*(Houses_with_elec_12/Houses_with_plumbing_12)*((INDEX('DHW Mix'!$AT$7:$BD$30,Homes_calc!$B207-2006,Homes_calc!AV$35+1)))</f>
        <v>0</v>
      </c>
      <c r="AW207" s="21" cm="1">
        <f t="array" ref="AW207">AW180*(Houses_with_elec_12/Houses_with_plumbing_12)*((INDEX('DHW Mix'!$AT$7:$BD$30,Homes_calc!$B207-2006,Homes_calc!AW$35+1)))</f>
        <v>0</v>
      </c>
      <c r="AX207" s="21" cm="1">
        <f t="array" ref="AX207">AX180*(Houses_with_elec_12/Houses_with_plumbing_12)*((INDEX('DHW Mix'!$AT$7:$BD$30,Homes_calc!$B207-2006,Homes_calc!AX$35+1)))</f>
        <v>0</v>
      </c>
      <c r="AY207" s="21" cm="1">
        <f t="array" ref="AY207">AY180*(Houses_with_elec_12/Houses_with_plumbing_12)*((INDEX('DHW Mix'!$AT$7:$BD$30,Homes_calc!$B207-2006,Homes_calc!AY$35+1)))</f>
        <v>0</v>
      </c>
      <c r="AZ207" s="21" cm="1">
        <f t="array" ref="AZ207">AZ180*(Houses_with_elec_12/Houses_with_plumbing_12)*((INDEX('DHW Mix'!$AT$7:$BD$30,Homes_calc!$B207-2006,Homes_calc!AZ$35+1)))</f>
        <v>0</v>
      </c>
      <c r="BA207" s="21" cm="1">
        <f t="array" ref="BA207">BA180*(Houses_with_elec_12/Houses_with_plumbing_12)*((INDEX('DHW Mix'!$AT$7:$BD$30,Homes_calc!$B207-2006,Homes_calc!BA$35+1)))</f>
        <v>0</v>
      </c>
      <c r="BB207" s="21">
        <f t="shared" si="191"/>
        <v>0</v>
      </c>
      <c r="BC207" s="21"/>
    </row>
    <row r="208" spans="1:55">
      <c r="A208" s="456"/>
      <c r="B208" s="228">
        <v>2013</v>
      </c>
      <c r="C208" s="21" cm="1">
        <f t="array" ref="C208">C181*(Houses_with_elec_13/Houses_with_plumbing_13)*((INDEX('DHW Mix'!$AT$7:$BD$30,Homes_calc!$B208-2006,Homes_calc!C$35+1)))</f>
        <v>0</v>
      </c>
      <c r="D208" s="21" cm="1">
        <f t="array" ref="D208">D181*(Houses_with_elec_13/Houses_with_plumbing_13)*((INDEX('DHW Mix'!$AT$7:$BD$30,Homes_calc!$B208-2006,Homes_calc!D$35+1)))</f>
        <v>0</v>
      </c>
      <c r="E208" s="21" cm="1">
        <f t="array" ref="E208">E181*(Houses_with_elec_13/Houses_with_plumbing_13)*((INDEX('DHW Mix'!$AT$7:$BD$30,Homes_calc!$B208-2006,Homes_calc!E$35+1)))</f>
        <v>0</v>
      </c>
      <c r="F208" s="21" cm="1">
        <f t="array" ref="F208">F181*(Houses_with_elec_13/Houses_with_plumbing_13)*((INDEX('DHW Mix'!$AT$7:$BD$30,Homes_calc!$B208-2006,Homes_calc!F$35+1)))</f>
        <v>0</v>
      </c>
      <c r="G208" s="21" cm="1">
        <f t="array" ref="G208">G181*(Houses_with_elec_13/Houses_with_plumbing_13)*((INDEX('DHW Mix'!$AT$7:$BD$30,Homes_calc!$B208-2006,Homes_calc!G$35+1)))</f>
        <v>0</v>
      </c>
      <c r="H208" s="21" cm="1">
        <f t="array" ref="H208">H181*(Houses_with_elec_13/Houses_with_plumbing_13)*((INDEX('DHW Mix'!$AT$7:$BD$30,Homes_calc!$B208-2006,Homes_calc!H$35+1)))</f>
        <v>0</v>
      </c>
      <c r="I208" s="21" cm="1">
        <f t="array" ref="I208">I181*(Houses_with_elec_13/Houses_with_plumbing_13)*((INDEX('DHW Mix'!$AT$7:$BD$30,Homes_calc!$B208-2006,Homes_calc!I$35+1)))</f>
        <v>0</v>
      </c>
      <c r="J208" s="21" cm="1">
        <f t="array" ref="J208">J181*(Houses_with_elec_13/Houses_with_plumbing_13)*((INDEX('DHW Mix'!$AT$7:$BD$30,Homes_calc!$B208-2006,Homes_calc!J$35+1)))</f>
        <v>0</v>
      </c>
      <c r="K208" s="21" cm="1">
        <f t="array" ref="K208">K181*(Houses_with_elec_13/Houses_with_plumbing_13)*((INDEX('DHW Mix'!$AT$7:$BD$30,Homes_calc!$B208-2006,Homes_calc!K$35+1)))</f>
        <v>0</v>
      </c>
      <c r="L208" s="21" cm="1">
        <f t="array" ref="L208">L181*(Houses_with_elec_13/Houses_with_plumbing_13)*((INDEX('DHW Mix'!$AT$7:$BD$30,Homes_calc!$B208-2006,Homes_calc!L$35+1)))</f>
        <v>0</v>
      </c>
      <c r="M208" s="21" cm="1">
        <f t="array" ref="M208">M181*(Houses_with_elec_13/Houses_with_plumbing_13)*((INDEX('DHW Mix'!$AT$7:$BD$30,Homes_calc!$B208-2006,Homes_calc!M$35+1)))</f>
        <v>0</v>
      </c>
      <c r="N208" s="21" cm="1">
        <f t="array" ref="N208">N181*(Houses_with_elec_13/Houses_with_plumbing_13)*((INDEX('DHW Mix'!$AT$7:$BD$30,Homes_calc!$B208-2006,Homes_calc!N$35+1)))</f>
        <v>0</v>
      </c>
      <c r="O208" s="21" cm="1">
        <f t="array" ref="O208">O181*(Houses_with_elec_13/Houses_with_plumbing_13)*((INDEX('DHW Mix'!$AT$7:$BD$30,Homes_calc!$B208-2006,Homes_calc!O$35+1)))</f>
        <v>0</v>
      </c>
      <c r="P208" s="21" cm="1">
        <f t="array" ref="P208">P181*(Houses_with_elec_13/Houses_with_plumbing_13)*((INDEX('DHW Mix'!$AT$7:$BD$30,Homes_calc!$B208-2006,Homes_calc!P$35+1)))</f>
        <v>0</v>
      </c>
      <c r="Q208" s="21" cm="1">
        <f t="array" ref="Q208">Q181*(Houses_with_elec_13/Houses_with_plumbing_13)*((INDEX('DHW Mix'!$AT$7:$BD$30,Homes_calc!$B208-2006,Homes_calc!Q$35+1)))</f>
        <v>0</v>
      </c>
      <c r="R208" s="21" cm="1">
        <f t="array" ref="R208">R181*(Houses_with_elec_13/Houses_with_plumbing_13)*((INDEX('DHW Mix'!$AT$7:$BD$30,Homes_calc!$B208-2006,Homes_calc!R$35+1)))</f>
        <v>0</v>
      </c>
      <c r="S208" s="21" cm="1">
        <f t="array" ref="S208">S181*(Houses_with_elec_13/Houses_with_plumbing_13)*((INDEX('DHW Mix'!$AT$7:$BD$30,Homes_calc!$B208-2006,Homes_calc!S$35+1)))</f>
        <v>0</v>
      </c>
      <c r="T208" s="21" cm="1">
        <f t="array" ref="T208">T181*(Houses_with_elec_13/Houses_with_plumbing_13)*((INDEX('DHW Mix'!$AT$7:$BD$30,Homes_calc!$B208-2006,Homes_calc!T$35+1)))</f>
        <v>0</v>
      </c>
      <c r="U208" s="21" cm="1">
        <f t="array" ref="U208">U181*(Houses_with_elec_13/Houses_with_plumbing_13)*((INDEX('DHW Mix'!$AT$7:$BD$30,Homes_calc!$B208-2006,Homes_calc!U$35+1)))</f>
        <v>0</v>
      </c>
      <c r="V208" s="21" cm="1">
        <f t="array" ref="V208">V181*(Houses_with_elec_13/Houses_with_plumbing_13)*((INDEX('DHW Mix'!$AT$7:$BD$30,Homes_calc!$B208-2006,Homes_calc!V$35+1)))</f>
        <v>0</v>
      </c>
      <c r="W208" s="21" cm="1">
        <f t="array" ref="W208">W181*(Houses_with_elec_13/Houses_with_plumbing_13)*((INDEX('DHW Mix'!$AT$7:$BD$30,Homes_calc!$B208-2006,Homes_calc!W$35+1)))</f>
        <v>0</v>
      </c>
      <c r="X208" s="21" cm="1">
        <f t="array" ref="X208">X181*(Houses_with_elec_13/Houses_with_plumbing_13)*((INDEX('DHW Mix'!$AT$7:$BD$30,Homes_calc!$B208-2006,Homes_calc!X$35+1)))</f>
        <v>0</v>
      </c>
      <c r="Y208" s="21" cm="1">
        <f t="array" ref="Y208">Y181*(Houses_with_elec_13/Houses_with_plumbing_13)*((INDEX('DHW Mix'!$AT$7:$BD$30,Homes_calc!$B208-2006,Homes_calc!Y$35+1)))</f>
        <v>0</v>
      </c>
      <c r="Z208" s="21" cm="1">
        <f t="array" ref="Z208">Z181*(Houses_with_elec_13/Houses_with_plumbing_13)*((INDEX('DHW Mix'!$AT$7:$BD$30,Homes_calc!$B208-2006,Homes_calc!Z$35+1)))</f>
        <v>0</v>
      </c>
      <c r="AA208" s="21" cm="1">
        <f t="array" ref="AA208">AA181*(Houses_with_elec_13/Houses_with_plumbing_13)*((INDEX('DHW Mix'!$AT$7:$BD$30,Homes_calc!$B208-2006,Homes_calc!AA$35+1)))</f>
        <v>0</v>
      </c>
      <c r="AB208" s="21" cm="1">
        <f t="array" ref="AB208">AB181*(Houses_with_elec_13/Houses_with_plumbing_13)*((INDEX('DHW Mix'!$AT$7:$BD$30,Homes_calc!$B208-2006,Homes_calc!AB$35+1)))</f>
        <v>0</v>
      </c>
      <c r="AC208" s="21" cm="1">
        <f t="array" ref="AC208">AC181*(Houses_with_elec_13/Houses_with_plumbing_13)*((INDEX('DHW Mix'!$AT$7:$BD$30,Homes_calc!$B208-2006,Homes_calc!AC$35+1)))</f>
        <v>0</v>
      </c>
      <c r="AD208" s="21" cm="1">
        <f t="array" ref="AD208">AD181*(Houses_with_elec_13/Houses_with_plumbing_13)*((INDEX('DHW Mix'!$AT$7:$BD$30,Homes_calc!$B208-2006,Homes_calc!AD$35+1)))</f>
        <v>0</v>
      </c>
      <c r="AE208" s="21" cm="1">
        <f t="array" ref="AE208">AE181*(Houses_with_elec_13/Houses_with_plumbing_13)*((INDEX('DHW Mix'!$AT$7:$BD$30,Homes_calc!$B208-2006,Homes_calc!AE$35+1)))</f>
        <v>0</v>
      </c>
      <c r="AF208" s="21" cm="1">
        <f t="array" ref="AF208">AF181*(Houses_with_elec_13/Houses_with_plumbing_13)*((INDEX('DHW Mix'!$AT$7:$BD$30,Homes_calc!$B208-2006,Homes_calc!AF$35+1)))</f>
        <v>0</v>
      </c>
      <c r="AG208" s="21" cm="1">
        <f t="array" ref="AG208">AG181*(Houses_with_elec_13/Houses_with_plumbing_13)*((INDEX('DHW Mix'!$AT$7:$BD$30,Homes_calc!$B208-2006,Homes_calc!AG$35+1)))</f>
        <v>0</v>
      </c>
      <c r="AH208" s="21" cm="1">
        <f t="array" ref="AH208">AH181*(Houses_with_elec_13/Houses_with_plumbing_13)*((INDEX('DHW Mix'!$AT$7:$BD$30,Homes_calc!$B208-2006,Homes_calc!AH$35+1)))</f>
        <v>0</v>
      </c>
      <c r="AI208" s="21" cm="1">
        <f t="array" ref="AI208">AI181*(Houses_with_elec_13/Houses_with_plumbing_13)*((INDEX('DHW Mix'!$AT$7:$BD$30,Homes_calc!$B208-2006,Homes_calc!AI$35+1)))</f>
        <v>0</v>
      </c>
      <c r="AJ208" s="21" cm="1">
        <f t="array" ref="AJ208">AJ181*(Houses_with_elec_13/Houses_with_plumbing_13)*((INDEX('DHW Mix'!$AT$7:$BD$30,Homes_calc!$B208-2006,Homes_calc!AJ$35+1)))</f>
        <v>0</v>
      </c>
      <c r="AK208" s="21" cm="1">
        <f t="array" ref="AK208">AK181*(Houses_with_elec_13/Houses_with_plumbing_13)*((INDEX('DHW Mix'!$AT$7:$BD$30,Homes_calc!$B208-2006,Homes_calc!AK$35+1)))</f>
        <v>0</v>
      </c>
      <c r="AL208" s="21" cm="1">
        <f t="array" ref="AL208">AL181*(Houses_with_elec_13/Houses_with_plumbing_13)*((INDEX('DHW Mix'!$AT$7:$BD$30,Homes_calc!$B208-2006,Homes_calc!AL$35+1)))</f>
        <v>0</v>
      </c>
      <c r="AM208" s="21" cm="1">
        <f t="array" ref="AM208">AM181*(Houses_with_elec_13/Houses_with_plumbing_13)*((INDEX('DHW Mix'!$AT$7:$BD$30,Homes_calc!$B208-2006,Homes_calc!AM$35+1)))</f>
        <v>0</v>
      </c>
      <c r="AN208" s="21" cm="1">
        <f t="array" ref="AN208">AN181*(Houses_with_elec_13/Houses_with_plumbing_13)*((INDEX('DHW Mix'!$AT$7:$BD$30,Homes_calc!$B208-2006,Homes_calc!AN$35+1)))</f>
        <v>0</v>
      </c>
      <c r="AO208" s="21" cm="1">
        <f t="array" ref="AO208">AO181*(Houses_with_elec_13/Houses_with_plumbing_13)*((INDEX('DHW Mix'!$AT$7:$BD$30,Homes_calc!$B208-2006,Homes_calc!AO$35+1)))</f>
        <v>0</v>
      </c>
      <c r="AP208" s="21" cm="1">
        <f t="array" ref="AP208">AP181*(Houses_with_elec_13/Houses_with_plumbing_13)*((INDEX('DHW Mix'!$AT$7:$BD$30,Homes_calc!$B208-2006,Homes_calc!AP$35+1)))</f>
        <v>0</v>
      </c>
      <c r="AQ208" s="21" cm="1">
        <f t="array" ref="AQ208">AQ181*(Houses_with_elec_13/Houses_with_plumbing_13)*((INDEX('DHW Mix'!$AT$7:$BD$30,Homes_calc!$B208-2006,Homes_calc!AQ$35+1)))</f>
        <v>0</v>
      </c>
      <c r="AR208" s="21" cm="1">
        <f t="array" ref="AR208">AR181*(Houses_with_elec_13/Houses_with_plumbing_13)*((INDEX('DHW Mix'!$AT$7:$BD$30,Homes_calc!$B208-2006,Homes_calc!AR$35+1)))</f>
        <v>0</v>
      </c>
      <c r="AS208" s="21" cm="1">
        <f t="array" ref="AS208">AS181*(Houses_with_elec_13/Houses_with_plumbing_13)*((INDEX('DHW Mix'!$AT$7:$BD$30,Homes_calc!$B208-2006,Homes_calc!AS$35+1)))</f>
        <v>0</v>
      </c>
      <c r="AT208" s="21" cm="1">
        <f t="array" ref="AT208">AT181*(Houses_with_elec_13/Houses_with_plumbing_13)*((INDEX('DHW Mix'!$AT$7:$BD$30,Homes_calc!$B208-2006,Homes_calc!AT$35+1)))</f>
        <v>0</v>
      </c>
      <c r="AU208" s="21" cm="1">
        <f t="array" ref="AU208">AU181*(Houses_with_elec_13/Houses_with_plumbing_13)*((INDEX('DHW Mix'!$AT$7:$BD$30,Homes_calc!$B208-2006,Homes_calc!AU$35+1)))</f>
        <v>0</v>
      </c>
      <c r="AV208" s="21" cm="1">
        <f t="array" ref="AV208">AV181*(Houses_with_elec_13/Houses_with_plumbing_13)*((INDEX('DHW Mix'!$AT$7:$BD$30,Homes_calc!$B208-2006,Homes_calc!AV$35+1)))</f>
        <v>0</v>
      </c>
      <c r="AW208" s="21" cm="1">
        <f t="array" ref="AW208">AW181*(Houses_with_elec_13/Houses_with_plumbing_13)*((INDEX('DHW Mix'!$AT$7:$BD$30,Homes_calc!$B208-2006,Homes_calc!AW$35+1)))</f>
        <v>0</v>
      </c>
      <c r="AX208" s="21" cm="1">
        <f t="array" ref="AX208">AX181*(Houses_with_elec_13/Houses_with_plumbing_13)*((INDEX('DHW Mix'!$AT$7:$BD$30,Homes_calc!$B208-2006,Homes_calc!AX$35+1)))</f>
        <v>0</v>
      </c>
      <c r="AY208" s="21" cm="1">
        <f t="array" ref="AY208">AY181*(Houses_with_elec_13/Houses_with_plumbing_13)*((INDEX('DHW Mix'!$AT$7:$BD$30,Homes_calc!$B208-2006,Homes_calc!AY$35+1)))</f>
        <v>0</v>
      </c>
      <c r="AZ208" s="21" cm="1">
        <f t="array" ref="AZ208">AZ181*(Houses_with_elec_13/Houses_with_plumbing_13)*((INDEX('DHW Mix'!$AT$7:$BD$30,Homes_calc!$B208-2006,Homes_calc!AZ$35+1)))</f>
        <v>0</v>
      </c>
      <c r="BA208" s="21" cm="1">
        <f t="array" ref="BA208">BA181*(Houses_with_elec_13/Houses_with_plumbing_13)*((INDEX('DHW Mix'!$AT$7:$BD$30,Homes_calc!$B208-2006,Homes_calc!BA$35+1)))</f>
        <v>0</v>
      </c>
      <c r="BB208" s="21">
        <f t="shared" si="191"/>
        <v>0</v>
      </c>
      <c r="BC208" s="21"/>
    </row>
    <row r="209" spans="1:55">
      <c r="A209" s="456"/>
      <c r="B209" s="226">
        <v>2014</v>
      </c>
      <c r="C209" s="21" cm="1">
        <f t="array" ref="C209">C182*(Houses_with_elec_14/Houses_with_plumbing_14)*((INDEX('DHW Mix'!$AT$7:$BD$30,Homes_calc!$B209-2006,Homes_calc!C$35+1)))</f>
        <v>0</v>
      </c>
      <c r="D209" s="21" cm="1">
        <f t="array" ref="D209">D182*(Houses_with_elec_14/Houses_with_plumbing_14)*((INDEX('DHW Mix'!$AT$7:$BD$30,Homes_calc!$B209-2006,Homes_calc!D$35+1)))</f>
        <v>0</v>
      </c>
      <c r="E209" s="21" cm="1">
        <f t="array" ref="E209">E182*(Houses_with_elec_14/Houses_with_plumbing_14)*((INDEX('DHW Mix'!$AT$7:$BD$30,Homes_calc!$B209-2006,Homes_calc!E$35+1)))</f>
        <v>0</v>
      </c>
      <c r="F209" s="21" cm="1">
        <f t="array" ref="F209">F182*(Houses_with_elec_14/Houses_with_plumbing_14)*((INDEX('DHW Mix'!$AT$7:$BD$30,Homes_calc!$B209-2006,Homes_calc!F$35+1)))</f>
        <v>0</v>
      </c>
      <c r="G209" s="21" cm="1">
        <f t="array" ref="G209">G182*(Houses_with_elec_14/Houses_with_plumbing_14)*((INDEX('DHW Mix'!$AT$7:$BD$30,Homes_calc!$B209-2006,Homes_calc!G$35+1)))</f>
        <v>0</v>
      </c>
      <c r="H209" s="21" cm="1">
        <f t="array" ref="H209">H182*(Houses_with_elec_14/Houses_with_plumbing_14)*((INDEX('DHW Mix'!$AT$7:$BD$30,Homes_calc!$B209-2006,Homes_calc!H$35+1)))</f>
        <v>0</v>
      </c>
      <c r="I209" s="21" cm="1">
        <f t="array" ref="I209">I182*(Houses_with_elec_14/Houses_with_plumbing_14)*((INDEX('DHW Mix'!$AT$7:$BD$30,Homes_calc!$B209-2006,Homes_calc!I$35+1)))</f>
        <v>0</v>
      </c>
      <c r="J209" s="21" cm="1">
        <f t="array" ref="J209">J182*(Houses_with_elec_14/Houses_with_plumbing_14)*((INDEX('DHW Mix'!$AT$7:$BD$30,Homes_calc!$B209-2006,Homes_calc!J$35+1)))</f>
        <v>0</v>
      </c>
      <c r="K209" s="21" cm="1">
        <f t="array" ref="K209">K182*(Houses_with_elec_14/Houses_with_plumbing_14)*((INDEX('DHW Mix'!$AT$7:$BD$30,Homes_calc!$B209-2006,Homes_calc!K$35+1)))</f>
        <v>0</v>
      </c>
      <c r="L209" s="21" cm="1">
        <f t="array" ref="L209">L182*(Houses_with_elec_14/Houses_with_plumbing_14)*((INDEX('DHW Mix'!$AT$7:$BD$30,Homes_calc!$B209-2006,Homes_calc!L$35+1)))</f>
        <v>0</v>
      </c>
      <c r="M209" s="21" cm="1">
        <f t="array" ref="M209">M182*(Houses_with_elec_14/Houses_with_plumbing_14)*((INDEX('DHW Mix'!$AT$7:$BD$30,Homes_calc!$B209-2006,Homes_calc!M$35+1)))</f>
        <v>0</v>
      </c>
      <c r="N209" s="21" cm="1">
        <f t="array" ref="N209">N182*(Houses_with_elec_14/Houses_with_plumbing_14)*((INDEX('DHW Mix'!$AT$7:$BD$30,Homes_calc!$B209-2006,Homes_calc!N$35+1)))</f>
        <v>0</v>
      </c>
      <c r="O209" s="21" cm="1">
        <f t="array" ref="O209">O182*(Houses_with_elec_14/Houses_with_plumbing_14)*((INDEX('DHW Mix'!$AT$7:$BD$30,Homes_calc!$B209-2006,Homes_calc!O$35+1)))</f>
        <v>0</v>
      </c>
      <c r="P209" s="21" cm="1">
        <f t="array" ref="P209">P182*(Houses_with_elec_14/Houses_with_plumbing_14)*((INDEX('DHW Mix'!$AT$7:$BD$30,Homes_calc!$B209-2006,Homes_calc!P$35+1)))</f>
        <v>0</v>
      </c>
      <c r="Q209" s="21" cm="1">
        <f t="array" ref="Q209">Q182*(Houses_with_elec_14/Houses_with_plumbing_14)*((INDEX('DHW Mix'!$AT$7:$BD$30,Homes_calc!$B209-2006,Homes_calc!Q$35+1)))</f>
        <v>0</v>
      </c>
      <c r="R209" s="21" cm="1">
        <f t="array" ref="R209">R182*(Houses_with_elec_14/Houses_with_plumbing_14)*((INDEX('DHW Mix'!$AT$7:$BD$30,Homes_calc!$B209-2006,Homes_calc!R$35+1)))</f>
        <v>0</v>
      </c>
      <c r="S209" s="21" cm="1">
        <f t="array" ref="S209">S182*(Houses_with_elec_14/Houses_with_plumbing_14)*((INDEX('DHW Mix'!$AT$7:$BD$30,Homes_calc!$B209-2006,Homes_calc!S$35+1)))</f>
        <v>0</v>
      </c>
      <c r="T209" s="21" cm="1">
        <f t="array" ref="T209">T182*(Houses_with_elec_14/Houses_with_plumbing_14)*((INDEX('DHW Mix'!$AT$7:$BD$30,Homes_calc!$B209-2006,Homes_calc!T$35+1)))</f>
        <v>0</v>
      </c>
      <c r="U209" s="21" cm="1">
        <f t="array" ref="U209">U182*(Houses_with_elec_14/Houses_with_plumbing_14)*((INDEX('DHW Mix'!$AT$7:$BD$30,Homes_calc!$B209-2006,Homes_calc!U$35+1)))</f>
        <v>0</v>
      </c>
      <c r="V209" s="21" cm="1">
        <f t="array" ref="V209">V182*(Houses_with_elec_14/Houses_with_plumbing_14)*((INDEX('DHW Mix'!$AT$7:$BD$30,Homes_calc!$B209-2006,Homes_calc!V$35+1)))</f>
        <v>0</v>
      </c>
      <c r="W209" s="21" cm="1">
        <f t="array" ref="W209">W182*(Houses_with_elec_14/Houses_with_plumbing_14)*((INDEX('DHW Mix'!$AT$7:$BD$30,Homes_calc!$B209-2006,Homes_calc!W$35+1)))</f>
        <v>0</v>
      </c>
      <c r="X209" s="21" cm="1">
        <f t="array" ref="X209">X182*(Houses_with_elec_14/Houses_with_plumbing_14)*((INDEX('DHW Mix'!$AT$7:$BD$30,Homes_calc!$B209-2006,Homes_calc!X$35+1)))</f>
        <v>0</v>
      </c>
      <c r="Y209" s="21" cm="1">
        <f t="array" ref="Y209">Y182*(Houses_with_elec_14/Houses_with_plumbing_14)*((INDEX('DHW Mix'!$AT$7:$BD$30,Homes_calc!$B209-2006,Homes_calc!Y$35+1)))</f>
        <v>0</v>
      </c>
      <c r="Z209" s="21" cm="1">
        <f t="array" ref="Z209">Z182*(Houses_with_elec_14/Houses_with_plumbing_14)*((INDEX('DHW Mix'!$AT$7:$BD$30,Homes_calc!$B209-2006,Homes_calc!Z$35+1)))</f>
        <v>0</v>
      </c>
      <c r="AA209" s="21" cm="1">
        <f t="array" ref="AA209">AA182*(Houses_with_elec_14/Houses_with_plumbing_14)*((INDEX('DHW Mix'!$AT$7:$BD$30,Homes_calc!$B209-2006,Homes_calc!AA$35+1)))</f>
        <v>0</v>
      </c>
      <c r="AB209" s="21" cm="1">
        <f t="array" ref="AB209">AB182*(Houses_with_elec_14/Houses_with_plumbing_14)*((INDEX('DHW Mix'!$AT$7:$BD$30,Homes_calc!$B209-2006,Homes_calc!AB$35+1)))</f>
        <v>0</v>
      </c>
      <c r="AC209" s="21" cm="1">
        <f t="array" ref="AC209">AC182*(Houses_with_elec_14/Houses_with_plumbing_14)*((INDEX('DHW Mix'!$AT$7:$BD$30,Homes_calc!$B209-2006,Homes_calc!AC$35+1)))</f>
        <v>0</v>
      </c>
      <c r="AD209" s="21" cm="1">
        <f t="array" ref="AD209">AD182*(Houses_with_elec_14/Houses_with_plumbing_14)*((INDEX('DHW Mix'!$AT$7:$BD$30,Homes_calc!$B209-2006,Homes_calc!AD$35+1)))</f>
        <v>0</v>
      </c>
      <c r="AE209" s="21" cm="1">
        <f t="array" ref="AE209">AE182*(Houses_with_elec_14/Houses_with_plumbing_14)*((INDEX('DHW Mix'!$AT$7:$BD$30,Homes_calc!$B209-2006,Homes_calc!AE$35+1)))</f>
        <v>0</v>
      </c>
      <c r="AF209" s="21" cm="1">
        <f t="array" ref="AF209">AF182*(Houses_with_elec_14/Houses_with_plumbing_14)*((INDEX('DHW Mix'!$AT$7:$BD$30,Homes_calc!$B209-2006,Homes_calc!AF$35+1)))</f>
        <v>0</v>
      </c>
      <c r="AG209" s="21" cm="1">
        <f t="array" ref="AG209">AG182*(Houses_with_elec_14/Houses_with_plumbing_14)*((INDEX('DHW Mix'!$AT$7:$BD$30,Homes_calc!$B209-2006,Homes_calc!AG$35+1)))</f>
        <v>0</v>
      </c>
      <c r="AH209" s="21" cm="1">
        <f t="array" ref="AH209">AH182*(Houses_with_elec_14/Houses_with_plumbing_14)*((INDEX('DHW Mix'!$AT$7:$BD$30,Homes_calc!$B209-2006,Homes_calc!AH$35+1)))</f>
        <v>0</v>
      </c>
      <c r="AI209" s="21" cm="1">
        <f t="array" ref="AI209">AI182*(Houses_with_elec_14/Houses_with_plumbing_14)*((INDEX('DHW Mix'!$AT$7:$BD$30,Homes_calc!$B209-2006,Homes_calc!AI$35+1)))</f>
        <v>0</v>
      </c>
      <c r="AJ209" s="21" cm="1">
        <f t="array" ref="AJ209">AJ182*(Houses_with_elec_14/Houses_with_plumbing_14)*((INDEX('DHW Mix'!$AT$7:$BD$30,Homes_calc!$B209-2006,Homes_calc!AJ$35+1)))</f>
        <v>0</v>
      </c>
      <c r="AK209" s="21" cm="1">
        <f t="array" ref="AK209">AK182*(Houses_with_elec_14/Houses_with_plumbing_14)*((INDEX('DHW Mix'!$AT$7:$BD$30,Homes_calc!$B209-2006,Homes_calc!AK$35+1)))</f>
        <v>0</v>
      </c>
      <c r="AL209" s="21" cm="1">
        <f t="array" ref="AL209">AL182*(Houses_with_elec_14/Houses_with_plumbing_14)*((INDEX('DHW Mix'!$AT$7:$BD$30,Homes_calc!$B209-2006,Homes_calc!AL$35+1)))</f>
        <v>0</v>
      </c>
      <c r="AM209" s="21" cm="1">
        <f t="array" ref="AM209">AM182*(Houses_with_elec_14/Houses_with_plumbing_14)*((INDEX('DHW Mix'!$AT$7:$BD$30,Homes_calc!$B209-2006,Homes_calc!AM$35+1)))</f>
        <v>0</v>
      </c>
      <c r="AN209" s="21" cm="1">
        <f t="array" ref="AN209">AN182*(Houses_with_elec_14/Houses_with_plumbing_14)*((INDEX('DHW Mix'!$AT$7:$BD$30,Homes_calc!$B209-2006,Homes_calc!AN$35+1)))</f>
        <v>0</v>
      </c>
      <c r="AO209" s="21" cm="1">
        <f t="array" ref="AO209">AO182*(Houses_with_elec_14/Houses_with_plumbing_14)*((INDEX('DHW Mix'!$AT$7:$BD$30,Homes_calc!$B209-2006,Homes_calc!AO$35+1)))</f>
        <v>0</v>
      </c>
      <c r="AP209" s="21" cm="1">
        <f t="array" ref="AP209">AP182*(Houses_with_elec_14/Houses_with_plumbing_14)*((INDEX('DHW Mix'!$AT$7:$BD$30,Homes_calc!$B209-2006,Homes_calc!AP$35+1)))</f>
        <v>0</v>
      </c>
      <c r="AQ209" s="21" cm="1">
        <f t="array" ref="AQ209">AQ182*(Houses_with_elec_14/Houses_with_plumbing_14)*((INDEX('DHW Mix'!$AT$7:$BD$30,Homes_calc!$B209-2006,Homes_calc!AQ$35+1)))</f>
        <v>0</v>
      </c>
      <c r="AR209" s="21" cm="1">
        <f t="array" ref="AR209">AR182*(Houses_with_elec_14/Houses_with_plumbing_14)*((INDEX('DHW Mix'!$AT$7:$BD$30,Homes_calc!$B209-2006,Homes_calc!AR$35+1)))</f>
        <v>0</v>
      </c>
      <c r="AS209" s="21" cm="1">
        <f t="array" ref="AS209">AS182*(Houses_with_elec_14/Houses_with_plumbing_14)*((INDEX('DHW Mix'!$AT$7:$BD$30,Homes_calc!$B209-2006,Homes_calc!AS$35+1)))</f>
        <v>0</v>
      </c>
      <c r="AT209" s="21" cm="1">
        <f t="array" ref="AT209">AT182*(Houses_with_elec_14/Houses_with_plumbing_14)*((INDEX('DHW Mix'!$AT$7:$BD$30,Homes_calc!$B209-2006,Homes_calc!AT$35+1)))</f>
        <v>0</v>
      </c>
      <c r="AU209" s="21" cm="1">
        <f t="array" ref="AU209">AU182*(Houses_with_elec_14/Houses_with_plumbing_14)*((INDEX('DHW Mix'!$AT$7:$BD$30,Homes_calc!$B209-2006,Homes_calc!AU$35+1)))</f>
        <v>0</v>
      </c>
      <c r="AV209" s="21" cm="1">
        <f t="array" ref="AV209">AV182*(Houses_with_elec_14/Houses_with_plumbing_14)*((INDEX('DHW Mix'!$AT$7:$BD$30,Homes_calc!$B209-2006,Homes_calc!AV$35+1)))</f>
        <v>0</v>
      </c>
      <c r="AW209" s="21" cm="1">
        <f t="array" ref="AW209">AW182*(Houses_with_elec_14/Houses_with_plumbing_14)*((INDEX('DHW Mix'!$AT$7:$BD$30,Homes_calc!$B209-2006,Homes_calc!AW$35+1)))</f>
        <v>0</v>
      </c>
      <c r="AX209" s="21" cm="1">
        <f t="array" ref="AX209">AX182*(Houses_with_elec_14/Houses_with_plumbing_14)*((INDEX('DHW Mix'!$AT$7:$BD$30,Homes_calc!$B209-2006,Homes_calc!AX$35+1)))</f>
        <v>0</v>
      </c>
      <c r="AY209" s="21" cm="1">
        <f t="array" ref="AY209">AY182*(Houses_with_elec_14/Houses_with_plumbing_14)*((INDEX('DHW Mix'!$AT$7:$BD$30,Homes_calc!$B209-2006,Homes_calc!AY$35+1)))</f>
        <v>0</v>
      </c>
      <c r="AZ209" s="21" cm="1">
        <f t="array" ref="AZ209">AZ182*(Houses_with_elec_14/Houses_with_plumbing_14)*((INDEX('DHW Mix'!$AT$7:$BD$30,Homes_calc!$B209-2006,Homes_calc!AZ$35+1)))</f>
        <v>0</v>
      </c>
      <c r="BA209" s="21" cm="1">
        <f t="array" ref="BA209">BA182*(Houses_with_elec_14/Houses_with_plumbing_14)*((INDEX('DHW Mix'!$AT$7:$BD$30,Homes_calc!$B209-2006,Homes_calc!BA$35+1)))</f>
        <v>0</v>
      </c>
      <c r="BB209" s="21">
        <f t="shared" si="191"/>
        <v>0</v>
      </c>
      <c r="BC209" s="21"/>
    </row>
    <row r="210" spans="1:55">
      <c r="A210" s="456"/>
      <c r="B210" s="228">
        <v>2015</v>
      </c>
      <c r="C210" s="21" cm="1">
        <f t="array" ref="C210">C183*(Houses_with_elec_15/Houses_with_plumbing_15)*((INDEX('DHW Mix'!$AT$7:$BD$30,Homes_calc!$B210-2006,Homes_calc!C$35+1)))</f>
        <v>0</v>
      </c>
      <c r="D210" s="21" cm="1">
        <f t="array" ref="D210">D183*(Houses_with_elec_15/Houses_with_plumbing_15)*((INDEX('DHW Mix'!$AT$7:$BD$30,Homes_calc!$B210-2006,Homes_calc!D$35+1)))</f>
        <v>0</v>
      </c>
      <c r="E210" s="21" cm="1">
        <f t="array" ref="E210">E183*(Houses_with_elec_15/Houses_with_plumbing_15)*((INDEX('DHW Mix'!$AT$7:$BD$30,Homes_calc!$B210-2006,Homes_calc!E$35+1)))</f>
        <v>0</v>
      </c>
      <c r="F210" s="21" cm="1">
        <f t="array" ref="F210">F183*(Houses_with_elec_15/Houses_with_plumbing_15)*((INDEX('DHW Mix'!$AT$7:$BD$30,Homes_calc!$B210-2006,Homes_calc!F$35+1)))</f>
        <v>0</v>
      </c>
      <c r="G210" s="21" cm="1">
        <f t="array" ref="G210">G183*(Houses_with_elec_15/Houses_with_plumbing_15)*((INDEX('DHW Mix'!$AT$7:$BD$30,Homes_calc!$B210-2006,Homes_calc!G$35+1)))</f>
        <v>0</v>
      </c>
      <c r="H210" s="21" cm="1">
        <f t="array" ref="H210">H183*(Houses_with_elec_15/Houses_with_plumbing_15)*((INDEX('DHW Mix'!$AT$7:$BD$30,Homes_calc!$B210-2006,Homes_calc!H$35+1)))</f>
        <v>0</v>
      </c>
      <c r="I210" s="21" cm="1">
        <f t="array" ref="I210">I183*(Houses_with_elec_15/Houses_with_plumbing_15)*((INDEX('DHW Mix'!$AT$7:$BD$30,Homes_calc!$B210-2006,Homes_calc!I$35+1)))</f>
        <v>0</v>
      </c>
      <c r="J210" s="21" cm="1">
        <f t="array" ref="J210">J183*(Houses_with_elec_15/Houses_with_plumbing_15)*((INDEX('DHW Mix'!$AT$7:$BD$30,Homes_calc!$B210-2006,Homes_calc!J$35+1)))</f>
        <v>0</v>
      </c>
      <c r="K210" s="21" cm="1">
        <f t="array" ref="K210">K183*(Houses_with_elec_15/Houses_with_plumbing_15)*((INDEX('DHW Mix'!$AT$7:$BD$30,Homes_calc!$B210-2006,Homes_calc!K$35+1)))</f>
        <v>0</v>
      </c>
      <c r="L210" s="21" cm="1">
        <f t="array" ref="L210">L183*(Houses_with_elec_15/Houses_with_plumbing_15)*((INDEX('DHW Mix'!$AT$7:$BD$30,Homes_calc!$B210-2006,Homes_calc!L$35+1)))</f>
        <v>0</v>
      </c>
      <c r="M210" s="21" cm="1">
        <f t="array" ref="M210">M183*(Houses_with_elec_15/Houses_with_plumbing_15)*((INDEX('DHW Mix'!$AT$7:$BD$30,Homes_calc!$B210-2006,Homes_calc!M$35+1)))</f>
        <v>0</v>
      </c>
      <c r="N210" s="21" cm="1">
        <f t="array" ref="N210">N183*(Houses_with_elec_15/Houses_with_plumbing_15)*((INDEX('DHW Mix'!$AT$7:$BD$30,Homes_calc!$B210-2006,Homes_calc!N$35+1)))</f>
        <v>0</v>
      </c>
      <c r="O210" s="21" cm="1">
        <f t="array" ref="O210">O183*(Houses_with_elec_15/Houses_with_plumbing_15)*((INDEX('DHW Mix'!$AT$7:$BD$30,Homes_calc!$B210-2006,Homes_calc!O$35+1)))</f>
        <v>0</v>
      </c>
      <c r="P210" s="21" cm="1">
        <f t="array" ref="P210">P183*(Houses_with_elec_15/Houses_with_plumbing_15)*((INDEX('DHW Mix'!$AT$7:$BD$30,Homes_calc!$B210-2006,Homes_calc!P$35+1)))</f>
        <v>0</v>
      </c>
      <c r="Q210" s="21" cm="1">
        <f t="array" ref="Q210">Q183*(Houses_with_elec_15/Houses_with_plumbing_15)*((INDEX('DHW Mix'!$AT$7:$BD$30,Homes_calc!$B210-2006,Homes_calc!Q$35+1)))</f>
        <v>0</v>
      </c>
      <c r="R210" s="21" cm="1">
        <f t="array" ref="R210">R183*(Houses_with_elec_15/Houses_with_plumbing_15)*((INDEX('DHW Mix'!$AT$7:$BD$30,Homes_calc!$B210-2006,Homes_calc!R$35+1)))</f>
        <v>0</v>
      </c>
      <c r="S210" s="21" cm="1">
        <f t="array" ref="S210">S183*(Houses_with_elec_15/Houses_with_plumbing_15)*((INDEX('DHW Mix'!$AT$7:$BD$30,Homes_calc!$B210-2006,Homes_calc!S$35+1)))</f>
        <v>0</v>
      </c>
      <c r="T210" s="21" cm="1">
        <f t="array" ref="T210">T183*(Houses_with_elec_15/Houses_with_plumbing_15)*((INDEX('DHW Mix'!$AT$7:$BD$30,Homes_calc!$B210-2006,Homes_calc!T$35+1)))</f>
        <v>0</v>
      </c>
      <c r="U210" s="21" cm="1">
        <f t="array" ref="U210">U183*(Houses_with_elec_15/Houses_with_plumbing_15)*((INDEX('DHW Mix'!$AT$7:$BD$30,Homes_calc!$B210-2006,Homes_calc!U$35+1)))</f>
        <v>0</v>
      </c>
      <c r="V210" s="21" cm="1">
        <f t="array" ref="V210">V183*(Houses_with_elec_15/Houses_with_plumbing_15)*((INDEX('DHW Mix'!$AT$7:$BD$30,Homes_calc!$B210-2006,Homes_calc!V$35+1)))</f>
        <v>0</v>
      </c>
      <c r="W210" s="21" cm="1">
        <f t="array" ref="W210">W183*(Houses_with_elec_15/Houses_with_plumbing_15)*((INDEX('DHW Mix'!$AT$7:$BD$30,Homes_calc!$B210-2006,Homes_calc!W$35+1)))</f>
        <v>0</v>
      </c>
      <c r="X210" s="21" cm="1">
        <f t="array" ref="X210">X183*(Houses_with_elec_15/Houses_with_plumbing_15)*((INDEX('DHW Mix'!$AT$7:$BD$30,Homes_calc!$B210-2006,Homes_calc!X$35+1)))</f>
        <v>0</v>
      </c>
      <c r="Y210" s="21" cm="1">
        <f t="array" ref="Y210">Y183*(Houses_with_elec_15/Houses_with_plumbing_15)*((INDEX('DHW Mix'!$AT$7:$BD$30,Homes_calc!$B210-2006,Homes_calc!Y$35+1)))</f>
        <v>0</v>
      </c>
      <c r="Z210" s="21" cm="1">
        <f t="array" ref="Z210">Z183*(Houses_with_elec_15/Houses_with_plumbing_15)*((INDEX('DHW Mix'!$AT$7:$BD$30,Homes_calc!$B210-2006,Homes_calc!Z$35+1)))</f>
        <v>0</v>
      </c>
      <c r="AA210" s="21" cm="1">
        <f t="array" ref="AA210">AA183*(Houses_with_elec_15/Houses_with_plumbing_15)*((INDEX('DHW Mix'!$AT$7:$BD$30,Homes_calc!$B210-2006,Homes_calc!AA$35+1)))</f>
        <v>0</v>
      </c>
      <c r="AB210" s="21" cm="1">
        <f t="array" ref="AB210">AB183*(Houses_with_elec_15/Houses_with_plumbing_15)*((INDEX('DHW Mix'!$AT$7:$BD$30,Homes_calc!$B210-2006,Homes_calc!AB$35+1)))</f>
        <v>0</v>
      </c>
      <c r="AC210" s="21" cm="1">
        <f t="array" ref="AC210">AC183*(Houses_with_elec_15/Houses_with_plumbing_15)*((INDEX('DHW Mix'!$AT$7:$BD$30,Homes_calc!$B210-2006,Homes_calc!AC$35+1)))</f>
        <v>0</v>
      </c>
      <c r="AD210" s="21" cm="1">
        <f t="array" ref="AD210">AD183*(Houses_with_elec_15/Houses_with_plumbing_15)*((INDEX('DHW Mix'!$AT$7:$BD$30,Homes_calc!$B210-2006,Homes_calc!AD$35+1)))</f>
        <v>0</v>
      </c>
      <c r="AE210" s="21" cm="1">
        <f t="array" ref="AE210">AE183*(Houses_with_elec_15/Houses_with_plumbing_15)*((INDEX('DHW Mix'!$AT$7:$BD$30,Homes_calc!$B210-2006,Homes_calc!AE$35+1)))</f>
        <v>0</v>
      </c>
      <c r="AF210" s="21" cm="1">
        <f t="array" ref="AF210">AF183*(Houses_with_elec_15/Houses_with_plumbing_15)*((INDEX('DHW Mix'!$AT$7:$BD$30,Homes_calc!$B210-2006,Homes_calc!AF$35+1)))</f>
        <v>0</v>
      </c>
      <c r="AG210" s="21" cm="1">
        <f t="array" ref="AG210">AG183*(Houses_with_elec_15/Houses_with_plumbing_15)*((INDEX('DHW Mix'!$AT$7:$BD$30,Homes_calc!$B210-2006,Homes_calc!AG$35+1)))</f>
        <v>0</v>
      </c>
      <c r="AH210" s="21" cm="1">
        <f t="array" ref="AH210">AH183*(Houses_with_elec_15/Houses_with_plumbing_15)*((INDEX('DHW Mix'!$AT$7:$BD$30,Homes_calc!$B210-2006,Homes_calc!AH$35+1)))</f>
        <v>0</v>
      </c>
      <c r="AI210" s="21" cm="1">
        <f t="array" ref="AI210">AI183*(Houses_with_elec_15/Houses_with_plumbing_15)*((INDEX('DHW Mix'!$AT$7:$BD$30,Homes_calc!$B210-2006,Homes_calc!AI$35+1)))</f>
        <v>0</v>
      </c>
      <c r="AJ210" s="21" cm="1">
        <f t="array" ref="AJ210">AJ183*(Houses_with_elec_15/Houses_with_plumbing_15)*((INDEX('DHW Mix'!$AT$7:$BD$30,Homes_calc!$B210-2006,Homes_calc!AJ$35+1)))</f>
        <v>0</v>
      </c>
      <c r="AK210" s="21" cm="1">
        <f t="array" ref="AK210">AK183*(Houses_with_elec_15/Houses_with_plumbing_15)*((INDEX('DHW Mix'!$AT$7:$BD$30,Homes_calc!$B210-2006,Homes_calc!AK$35+1)))</f>
        <v>0</v>
      </c>
      <c r="AL210" s="21" cm="1">
        <f t="array" ref="AL210">AL183*(Houses_with_elec_15/Houses_with_plumbing_15)*((INDEX('DHW Mix'!$AT$7:$BD$30,Homes_calc!$B210-2006,Homes_calc!AL$35+1)))</f>
        <v>0</v>
      </c>
      <c r="AM210" s="21" cm="1">
        <f t="array" ref="AM210">AM183*(Houses_with_elec_15/Houses_with_plumbing_15)*((INDEX('DHW Mix'!$AT$7:$BD$30,Homes_calc!$B210-2006,Homes_calc!AM$35+1)))</f>
        <v>0</v>
      </c>
      <c r="AN210" s="21" cm="1">
        <f t="array" ref="AN210">AN183*(Houses_with_elec_15/Houses_with_plumbing_15)*((INDEX('DHW Mix'!$AT$7:$BD$30,Homes_calc!$B210-2006,Homes_calc!AN$35+1)))</f>
        <v>0</v>
      </c>
      <c r="AO210" s="21" cm="1">
        <f t="array" ref="AO210">AO183*(Houses_with_elec_15/Houses_with_plumbing_15)*((INDEX('DHW Mix'!$AT$7:$BD$30,Homes_calc!$B210-2006,Homes_calc!AO$35+1)))</f>
        <v>0</v>
      </c>
      <c r="AP210" s="21" cm="1">
        <f t="array" ref="AP210">AP183*(Houses_with_elec_15/Houses_with_plumbing_15)*((INDEX('DHW Mix'!$AT$7:$BD$30,Homes_calc!$B210-2006,Homes_calc!AP$35+1)))</f>
        <v>0</v>
      </c>
      <c r="AQ210" s="21" cm="1">
        <f t="array" ref="AQ210">AQ183*(Houses_with_elec_15/Houses_with_plumbing_15)*((INDEX('DHW Mix'!$AT$7:$BD$30,Homes_calc!$B210-2006,Homes_calc!AQ$35+1)))</f>
        <v>0</v>
      </c>
      <c r="AR210" s="21" cm="1">
        <f t="array" ref="AR210">AR183*(Houses_with_elec_15/Houses_with_plumbing_15)*((INDEX('DHW Mix'!$AT$7:$BD$30,Homes_calc!$B210-2006,Homes_calc!AR$35+1)))</f>
        <v>0</v>
      </c>
      <c r="AS210" s="21" cm="1">
        <f t="array" ref="AS210">AS183*(Houses_with_elec_15/Houses_with_plumbing_15)*((INDEX('DHW Mix'!$AT$7:$BD$30,Homes_calc!$B210-2006,Homes_calc!AS$35+1)))</f>
        <v>0</v>
      </c>
      <c r="AT210" s="21" cm="1">
        <f t="array" ref="AT210">AT183*(Houses_with_elec_15/Houses_with_plumbing_15)*((INDEX('DHW Mix'!$AT$7:$BD$30,Homes_calc!$B210-2006,Homes_calc!AT$35+1)))</f>
        <v>0</v>
      </c>
      <c r="AU210" s="21" cm="1">
        <f t="array" ref="AU210">AU183*(Houses_with_elec_15/Houses_with_plumbing_15)*((INDEX('DHW Mix'!$AT$7:$BD$30,Homes_calc!$B210-2006,Homes_calc!AU$35+1)))</f>
        <v>0</v>
      </c>
      <c r="AV210" s="21" cm="1">
        <f t="array" ref="AV210">AV183*(Houses_with_elec_15/Houses_with_plumbing_15)*((INDEX('DHW Mix'!$AT$7:$BD$30,Homes_calc!$B210-2006,Homes_calc!AV$35+1)))</f>
        <v>0</v>
      </c>
      <c r="AW210" s="21" cm="1">
        <f t="array" ref="AW210">AW183*(Houses_with_elec_15/Houses_with_plumbing_15)*((INDEX('DHW Mix'!$AT$7:$BD$30,Homes_calc!$B210-2006,Homes_calc!AW$35+1)))</f>
        <v>0</v>
      </c>
      <c r="AX210" s="21" cm="1">
        <f t="array" ref="AX210">AX183*(Houses_with_elec_15/Houses_with_plumbing_15)*((INDEX('DHW Mix'!$AT$7:$BD$30,Homes_calc!$B210-2006,Homes_calc!AX$35+1)))</f>
        <v>0</v>
      </c>
      <c r="AY210" s="21" cm="1">
        <f t="array" ref="AY210">AY183*(Houses_with_elec_15/Houses_with_plumbing_15)*((INDEX('DHW Mix'!$AT$7:$BD$30,Homes_calc!$B210-2006,Homes_calc!AY$35+1)))</f>
        <v>0</v>
      </c>
      <c r="AZ210" s="21" cm="1">
        <f t="array" ref="AZ210">AZ183*(Houses_with_elec_15/Houses_with_plumbing_15)*((INDEX('DHW Mix'!$AT$7:$BD$30,Homes_calc!$B210-2006,Homes_calc!AZ$35+1)))</f>
        <v>0</v>
      </c>
      <c r="BA210" s="21" cm="1">
        <f t="array" ref="BA210">BA183*(Houses_with_elec_15/Houses_with_plumbing_15)*((INDEX('DHW Mix'!$AT$7:$BD$30,Homes_calc!$B210-2006,Homes_calc!BA$35+1)))</f>
        <v>0</v>
      </c>
      <c r="BB210" s="21">
        <f t="shared" si="191"/>
        <v>0</v>
      </c>
      <c r="BC210" s="21"/>
    </row>
    <row r="211" spans="1:55">
      <c r="A211" s="456"/>
      <c r="B211" s="226">
        <v>2016</v>
      </c>
      <c r="C211" s="21" cm="1">
        <f t="array" ref="C211">C184*(Houses_with_elec_16/Houses_with_plumbing_16)*((INDEX('DHW Mix'!$AT$7:$BD$30,Homes_calc!$B211-2006,Homes_calc!C$35+1)))</f>
        <v>0</v>
      </c>
      <c r="D211" s="21" cm="1">
        <f t="array" ref="D211">D184*(Houses_with_elec_16/Houses_with_plumbing_16)*((INDEX('DHW Mix'!$AT$7:$BD$30,Homes_calc!$B211-2006,Homes_calc!D$35+1)))</f>
        <v>0</v>
      </c>
      <c r="E211" s="21" cm="1">
        <f t="array" ref="E211">E184*(Houses_with_elec_16/Houses_with_plumbing_16)*((INDEX('DHW Mix'!$AT$7:$BD$30,Homes_calc!$B211-2006,Homes_calc!E$35+1)))</f>
        <v>0</v>
      </c>
      <c r="F211" s="21" cm="1">
        <f t="array" ref="F211">F184*(Houses_with_elec_16/Houses_with_plumbing_16)*((INDEX('DHW Mix'!$AT$7:$BD$30,Homes_calc!$B211-2006,Homes_calc!F$35+1)))</f>
        <v>0</v>
      </c>
      <c r="G211" s="21" cm="1">
        <f t="array" ref="G211">G184*(Houses_with_elec_16/Houses_with_plumbing_16)*((INDEX('DHW Mix'!$AT$7:$BD$30,Homes_calc!$B211-2006,Homes_calc!G$35+1)))</f>
        <v>0</v>
      </c>
      <c r="H211" s="21" cm="1">
        <f t="array" ref="H211">H184*(Houses_with_elec_16/Houses_with_plumbing_16)*((INDEX('DHW Mix'!$AT$7:$BD$30,Homes_calc!$B211-2006,Homes_calc!H$35+1)))</f>
        <v>0</v>
      </c>
      <c r="I211" s="21" cm="1">
        <f t="array" ref="I211">I184*(Houses_with_elec_16/Houses_with_plumbing_16)*((INDEX('DHW Mix'!$AT$7:$BD$30,Homes_calc!$B211-2006,Homes_calc!I$35+1)))</f>
        <v>0</v>
      </c>
      <c r="J211" s="21" cm="1">
        <f t="array" ref="J211">J184*(Houses_with_elec_16/Houses_with_plumbing_16)*((INDEX('DHW Mix'!$AT$7:$BD$30,Homes_calc!$B211-2006,Homes_calc!J$35+1)))</f>
        <v>0</v>
      </c>
      <c r="K211" s="21" cm="1">
        <f t="array" ref="K211">K184*(Houses_with_elec_16/Houses_with_plumbing_16)*((INDEX('DHW Mix'!$AT$7:$BD$30,Homes_calc!$B211-2006,Homes_calc!K$35+1)))</f>
        <v>0</v>
      </c>
      <c r="L211" s="21" cm="1">
        <f t="array" ref="L211">L184*(Houses_with_elec_16/Houses_with_plumbing_16)*((INDEX('DHW Mix'!$AT$7:$BD$30,Homes_calc!$B211-2006,Homes_calc!L$35+1)))</f>
        <v>0</v>
      </c>
      <c r="M211" s="21" cm="1">
        <f t="array" ref="M211">M184*(Houses_with_elec_16/Houses_with_plumbing_16)*((INDEX('DHW Mix'!$AT$7:$BD$30,Homes_calc!$B211-2006,Homes_calc!M$35+1)))</f>
        <v>0</v>
      </c>
      <c r="N211" s="21" cm="1">
        <f t="array" ref="N211">N184*(Houses_with_elec_16/Houses_with_plumbing_16)*((INDEX('DHW Mix'!$AT$7:$BD$30,Homes_calc!$B211-2006,Homes_calc!N$35+1)))</f>
        <v>0</v>
      </c>
      <c r="O211" s="21" cm="1">
        <f t="array" ref="O211">O184*(Houses_with_elec_16/Houses_with_plumbing_16)*((INDEX('DHW Mix'!$AT$7:$BD$30,Homes_calc!$B211-2006,Homes_calc!O$35+1)))</f>
        <v>0</v>
      </c>
      <c r="P211" s="21" cm="1">
        <f t="array" ref="P211">P184*(Houses_with_elec_16/Houses_with_plumbing_16)*((INDEX('DHW Mix'!$AT$7:$BD$30,Homes_calc!$B211-2006,Homes_calc!P$35+1)))</f>
        <v>0</v>
      </c>
      <c r="Q211" s="21" cm="1">
        <f t="array" ref="Q211">Q184*(Houses_with_elec_16/Houses_with_plumbing_16)*((INDEX('DHW Mix'!$AT$7:$BD$30,Homes_calc!$B211-2006,Homes_calc!Q$35+1)))</f>
        <v>0</v>
      </c>
      <c r="R211" s="21" cm="1">
        <f t="array" ref="R211">R184*(Houses_with_elec_16/Houses_with_plumbing_16)*((INDEX('DHW Mix'!$AT$7:$BD$30,Homes_calc!$B211-2006,Homes_calc!R$35+1)))</f>
        <v>0</v>
      </c>
      <c r="S211" s="21" cm="1">
        <f t="array" ref="S211">S184*(Houses_with_elec_16/Houses_with_plumbing_16)*((INDEX('DHW Mix'!$AT$7:$BD$30,Homes_calc!$B211-2006,Homes_calc!S$35+1)))</f>
        <v>0</v>
      </c>
      <c r="T211" s="21" cm="1">
        <f t="array" ref="T211">T184*(Houses_with_elec_16/Houses_with_plumbing_16)*((INDEX('DHW Mix'!$AT$7:$BD$30,Homes_calc!$B211-2006,Homes_calc!T$35+1)))</f>
        <v>0</v>
      </c>
      <c r="U211" s="21" cm="1">
        <f t="array" ref="U211">U184*(Houses_with_elec_16/Houses_with_plumbing_16)*((INDEX('DHW Mix'!$AT$7:$BD$30,Homes_calc!$B211-2006,Homes_calc!U$35+1)))</f>
        <v>0</v>
      </c>
      <c r="V211" s="21" cm="1">
        <f t="array" ref="V211">V184*(Houses_with_elec_16/Houses_with_plumbing_16)*((INDEX('DHW Mix'!$AT$7:$BD$30,Homes_calc!$B211-2006,Homes_calc!V$35+1)))</f>
        <v>0</v>
      </c>
      <c r="W211" s="21" cm="1">
        <f t="array" ref="W211">W184*(Houses_with_elec_16/Houses_with_plumbing_16)*((INDEX('DHW Mix'!$AT$7:$BD$30,Homes_calc!$B211-2006,Homes_calc!W$35+1)))</f>
        <v>0</v>
      </c>
      <c r="X211" s="21" cm="1">
        <f t="array" ref="X211">X184*(Houses_with_elec_16/Houses_with_plumbing_16)*((INDEX('DHW Mix'!$AT$7:$BD$30,Homes_calc!$B211-2006,Homes_calc!X$35+1)))</f>
        <v>0</v>
      </c>
      <c r="Y211" s="21" cm="1">
        <f t="array" ref="Y211">Y184*(Houses_with_elec_16/Houses_with_plumbing_16)*((INDEX('DHW Mix'!$AT$7:$BD$30,Homes_calc!$B211-2006,Homes_calc!Y$35+1)))</f>
        <v>0</v>
      </c>
      <c r="Z211" s="21" cm="1">
        <f t="array" ref="Z211">Z184*(Houses_with_elec_16/Houses_with_plumbing_16)*((INDEX('DHW Mix'!$AT$7:$BD$30,Homes_calc!$B211-2006,Homes_calc!Z$35+1)))</f>
        <v>0</v>
      </c>
      <c r="AA211" s="21" cm="1">
        <f t="array" ref="AA211">AA184*(Houses_with_elec_16/Houses_with_plumbing_16)*((INDEX('DHW Mix'!$AT$7:$BD$30,Homes_calc!$B211-2006,Homes_calc!AA$35+1)))</f>
        <v>0</v>
      </c>
      <c r="AB211" s="21" cm="1">
        <f t="array" ref="AB211">AB184*(Houses_with_elec_16/Houses_with_plumbing_16)*((INDEX('DHW Mix'!$AT$7:$BD$30,Homes_calc!$B211-2006,Homes_calc!AB$35+1)))</f>
        <v>0</v>
      </c>
      <c r="AC211" s="21" cm="1">
        <f t="array" ref="AC211">AC184*(Houses_with_elec_16/Houses_with_plumbing_16)*((INDEX('DHW Mix'!$AT$7:$BD$30,Homes_calc!$B211-2006,Homes_calc!AC$35+1)))</f>
        <v>0</v>
      </c>
      <c r="AD211" s="21" cm="1">
        <f t="array" ref="AD211">AD184*(Houses_with_elec_16/Houses_with_plumbing_16)*((INDEX('DHW Mix'!$AT$7:$BD$30,Homes_calc!$B211-2006,Homes_calc!AD$35+1)))</f>
        <v>0</v>
      </c>
      <c r="AE211" s="21" cm="1">
        <f t="array" ref="AE211">AE184*(Houses_with_elec_16/Houses_with_plumbing_16)*((INDEX('DHW Mix'!$AT$7:$BD$30,Homes_calc!$B211-2006,Homes_calc!AE$35+1)))</f>
        <v>0</v>
      </c>
      <c r="AF211" s="21" cm="1">
        <f t="array" ref="AF211">AF184*(Houses_with_elec_16/Houses_with_plumbing_16)*((INDEX('DHW Mix'!$AT$7:$BD$30,Homes_calc!$B211-2006,Homes_calc!AF$35+1)))</f>
        <v>0</v>
      </c>
      <c r="AG211" s="21" cm="1">
        <f t="array" ref="AG211">AG184*(Houses_with_elec_16/Houses_with_plumbing_16)*((INDEX('DHW Mix'!$AT$7:$BD$30,Homes_calc!$B211-2006,Homes_calc!AG$35+1)))</f>
        <v>0</v>
      </c>
      <c r="AH211" s="21" cm="1">
        <f t="array" ref="AH211">AH184*(Houses_with_elec_16/Houses_with_plumbing_16)*((INDEX('DHW Mix'!$AT$7:$BD$30,Homes_calc!$B211-2006,Homes_calc!AH$35+1)))</f>
        <v>0</v>
      </c>
      <c r="AI211" s="21" cm="1">
        <f t="array" ref="AI211">AI184*(Houses_with_elec_16/Houses_with_plumbing_16)*((INDEX('DHW Mix'!$AT$7:$BD$30,Homes_calc!$B211-2006,Homes_calc!AI$35+1)))</f>
        <v>0</v>
      </c>
      <c r="AJ211" s="21" cm="1">
        <f t="array" ref="AJ211">AJ184*(Houses_with_elec_16/Houses_with_plumbing_16)*((INDEX('DHW Mix'!$AT$7:$BD$30,Homes_calc!$B211-2006,Homes_calc!AJ$35+1)))</f>
        <v>0</v>
      </c>
      <c r="AK211" s="21" cm="1">
        <f t="array" ref="AK211">AK184*(Houses_with_elec_16/Houses_with_plumbing_16)*((INDEX('DHW Mix'!$AT$7:$BD$30,Homes_calc!$B211-2006,Homes_calc!AK$35+1)))</f>
        <v>0</v>
      </c>
      <c r="AL211" s="21" cm="1">
        <f t="array" ref="AL211">AL184*(Houses_with_elec_16/Houses_with_plumbing_16)*((INDEX('DHW Mix'!$AT$7:$BD$30,Homes_calc!$B211-2006,Homes_calc!AL$35+1)))</f>
        <v>0</v>
      </c>
      <c r="AM211" s="21" cm="1">
        <f t="array" ref="AM211">AM184*(Houses_with_elec_16/Houses_with_plumbing_16)*((INDEX('DHW Mix'!$AT$7:$BD$30,Homes_calc!$B211-2006,Homes_calc!AM$35+1)))</f>
        <v>0</v>
      </c>
      <c r="AN211" s="21" cm="1">
        <f t="array" ref="AN211">AN184*(Houses_with_elec_16/Houses_with_plumbing_16)*((INDEX('DHW Mix'!$AT$7:$BD$30,Homes_calc!$B211-2006,Homes_calc!AN$35+1)))</f>
        <v>0</v>
      </c>
      <c r="AO211" s="21" cm="1">
        <f t="array" ref="AO211">AO184*(Houses_with_elec_16/Houses_with_plumbing_16)*((INDEX('DHW Mix'!$AT$7:$BD$30,Homes_calc!$B211-2006,Homes_calc!AO$35+1)))</f>
        <v>0</v>
      </c>
      <c r="AP211" s="21" cm="1">
        <f t="array" ref="AP211">AP184*(Houses_with_elec_16/Houses_with_plumbing_16)*((INDEX('DHW Mix'!$AT$7:$BD$30,Homes_calc!$B211-2006,Homes_calc!AP$35+1)))</f>
        <v>0</v>
      </c>
      <c r="AQ211" s="21" cm="1">
        <f t="array" ref="AQ211">AQ184*(Houses_with_elec_16/Houses_with_plumbing_16)*((INDEX('DHW Mix'!$AT$7:$BD$30,Homes_calc!$B211-2006,Homes_calc!AQ$35+1)))</f>
        <v>0</v>
      </c>
      <c r="AR211" s="21" cm="1">
        <f t="array" ref="AR211">AR184*(Houses_with_elec_16/Houses_with_plumbing_16)*((INDEX('DHW Mix'!$AT$7:$BD$30,Homes_calc!$B211-2006,Homes_calc!AR$35+1)))</f>
        <v>0</v>
      </c>
      <c r="AS211" s="21" cm="1">
        <f t="array" ref="AS211">AS184*(Houses_with_elec_16/Houses_with_plumbing_16)*((INDEX('DHW Mix'!$AT$7:$BD$30,Homes_calc!$B211-2006,Homes_calc!AS$35+1)))</f>
        <v>0</v>
      </c>
      <c r="AT211" s="21" cm="1">
        <f t="array" ref="AT211">AT184*(Houses_with_elec_16/Houses_with_plumbing_16)*((INDEX('DHW Mix'!$AT$7:$BD$30,Homes_calc!$B211-2006,Homes_calc!AT$35+1)))</f>
        <v>0</v>
      </c>
      <c r="AU211" s="21" cm="1">
        <f t="array" ref="AU211">AU184*(Houses_with_elec_16/Houses_with_plumbing_16)*((INDEX('DHW Mix'!$AT$7:$BD$30,Homes_calc!$B211-2006,Homes_calc!AU$35+1)))</f>
        <v>0</v>
      </c>
      <c r="AV211" s="21" cm="1">
        <f t="array" ref="AV211">AV184*(Houses_with_elec_16/Houses_with_plumbing_16)*((INDEX('DHW Mix'!$AT$7:$BD$30,Homes_calc!$B211-2006,Homes_calc!AV$35+1)))</f>
        <v>0</v>
      </c>
      <c r="AW211" s="21" cm="1">
        <f t="array" ref="AW211">AW184*(Houses_with_elec_16/Houses_with_plumbing_16)*((INDEX('DHW Mix'!$AT$7:$BD$30,Homes_calc!$B211-2006,Homes_calc!AW$35+1)))</f>
        <v>0</v>
      </c>
      <c r="AX211" s="21" cm="1">
        <f t="array" ref="AX211">AX184*(Houses_with_elec_16/Houses_with_plumbing_16)*((INDEX('DHW Mix'!$AT$7:$BD$30,Homes_calc!$B211-2006,Homes_calc!AX$35+1)))</f>
        <v>0</v>
      </c>
      <c r="AY211" s="21" cm="1">
        <f t="array" ref="AY211">AY184*(Houses_with_elec_16/Houses_with_plumbing_16)*((INDEX('DHW Mix'!$AT$7:$BD$30,Homes_calc!$B211-2006,Homes_calc!AY$35+1)))</f>
        <v>0</v>
      </c>
      <c r="AZ211" s="21" cm="1">
        <f t="array" ref="AZ211">AZ184*(Houses_with_elec_16/Houses_with_plumbing_16)*((INDEX('DHW Mix'!$AT$7:$BD$30,Homes_calc!$B211-2006,Homes_calc!AZ$35+1)))</f>
        <v>0</v>
      </c>
      <c r="BA211" s="21" cm="1">
        <f t="array" ref="BA211">BA184*(Houses_with_elec_16/Houses_with_plumbing_16)*((INDEX('DHW Mix'!$AT$7:$BD$30,Homes_calc!$B211-2006,Homes_calc!BA$35+1)))</f>
        <v>0</v>
      </c>
      <c r="BB211" s="21">
        <f t="shared" si="191"/>
        <v>0</v>
      </c>
      <c r="BC211" s="21"/>
    </row>
    <row r="212" spans="1:55">
      <c r="A212" s="456"/>
      <c r="B212" s="228">
        <v>2017</v>
      </c>
      <c r="C212" s="21" cm="1">
        <f t="array" ref="C212">C185*(Houses_with_elec_17/Houses_with_plumbing_17)*((INDEX('DHW Mix'!$AT$7:$BD$30,Homes_calc!$B212-2006,Homes_calc!C$35+1)))</f>
        <v>0</v>
      </c>
      <c r="D212" s="21" cm="1">
        <f t="array" ref="D212">D185*(Houses_with_elec_17/Houses_with_plumbing_17)*((INDEX('DHW Mix'!$AT$7:$BD$30,Homes_calc!$B212-2006,Homes_calc!D$35+1)))</f>
        <v>0</v>
      </c>
      <c r="E212" s="21" cm="1">
        <f t="array" ref="E212">E185*(Houses_with_elec_17/Houses_with_plumbing_17)*((INDEX('DHW Mix'!$AT$7:$BD$30,Homes_calc!$B212-2006,Homes_calc!E$35+1)))</f>
        <v>0</v>
      </c>
      <c r="F212" s="21" cm="1">
        <f t="array" ref="F212">F185*(Houses_with_elec_17/Houses_with_plumbing_17)*((INDEX('DHW Mix'!$AT$7:$BD$30,Homes_calc!$B212-2006,Homes_calc!F$35+1)))</f>
        <v>0</v>
      </c>
      <c r="G212" s="21" cm="1">
        <f t="array" ref="G212">G185*(Houses_with_elec_17/Houses_with_plumbing_17)*((INDEX('DHW Mix'!$AT$7:$BD$30,Homes_calc!$B212-2006,Homes_calc!G$35+1)))</f>
        <v>0</v>
      </c>
      <c r="H212" s="21" cm="1">
        <f t="array" ref="H212">H185*(Houses_with_elec_17/Houses_with_plumbing_17)*((INDEX('DHW Mix'!$AT$7:$BD$30,Homes_calc!$B212-2006,Homes_calc!H$35+1)))</f>
        <v>0</v>
      </c>
      <c r="I212" s="21" cm="1">
        <f t="array" ref="I212">I185*(Houses_with_elec_17/Houses_with_plumbing_17)*((INDEX('DHW Mix'!$AT$7:$BD$30,Homes_calc!$B212-2006,Homes_calc!I$35+1)))</f>
        <v>0</v>
      </c>
      <c r="J212" s="21" cm="1">
        <f t="array" ref="J212">J185*(Houses_with_elec_17/Houses_with_plumbing_17)*((INDEX('DHW Mix'!$AT$7:$BD$30,Homes_calc!$B212-2006,Homes_calc!J$35+1)))</f>
        <v>0</v>
      </c>
      <c r="K212" s="21" cm="1">
        <f t="array" ref="K212">K185*(Houses_with_elec_17/Houses_with_plumbing_17)*((INDEX('DHW Mix'!$AT$7:$BD$30,Homes_calc!$B212-2006,Homes_calc!K$35+1)))</f>
        <v>0</v>
      </c>
      <c r="L212" s="21" cm="1">
        <f t="array" ref="L212">L185*(Houses_with_elec_17/Houses_with_plumbing_17)*((INDEX('DHW Mix'!$AT$7:$BD$30,Homes_calc!$B212-2006,Homes_calc!L$35+1)))</f>
        <v>0</v>
      </c>
      <c r="M212" s="21" cm="1">
        <f t="array" ref="M212">M185*(Houses_with_elec_17/Houses_with_plumbing_17)*((INDEX('DHW Mix'!$AT$7:$BD$30,Homes_calc!$B212-2006,Homes_calc!M$35+1)))</f>
        <v>0</v>
      </c>
      <c r="N212" s="21" cm="1">
        <f t="array" ref="N212">N185*(Houses_with_elec_17/Houses_with_plumbing_17)*((INDEX('DHW Mix'!$AT$7:$BD$30,Homes_calc!$B212-2006,Homes_calc!N$35+1)))</f>
        <v>0</v>
      </c>
      <c r="O212" s="21" cm="1">
        <f t="array" ref="O212">O185*(Houses_with_elec_17/Houses_with_plumbing_17)*((INDEX('DHW Mix'!$AT$7:$BD$30,Homes_calc!$B212-2006,Homes_calc!O$35+1)))</f>
        <v>0</v>
      </c>
      <c r="P212" s="21" cm="1">
        <f t="array" ref="P212">P185*(Houses_with_elec_17/Houses_with_plumbing_17)*((INDEX('DHW Mix'!$AT$7:$BD$30,Homes_calc!$B212-2006,Homes_calc!P$35+1)))</f>
        <v>0</v>
      </c>
      <c r="Q212" s="21" cm="1">
        <f t="array" ref="Q212">Q185*(Houses_with_elec_17/Houses_with_plumbing_17)*((INDEX('DHW Mix'!$AT$7:$BD$30,Homes_calc!$B212-2006,Homes_calc!Q$35+1)))</f>
        <v>0</v>
      </c>
      <c r="R212" s="21" cm="1">
        <f t="array" ref="R212">R185*(Houses_with_elec_17/Houses_with_plumbing_17)*((INDEX('DHW Mix'!$AT$7:$BD$30,Homes_calc!$B212-2006,Homes_calc!R$35+1)))</f>
        <v>0</v>
      </c>
      <c r="S212" s="21" cm="1">
        <f t="array" ref="S212">S185*(Houses_with_elec_17/Houses_with_plumbing_17)*((INDEX('DHW Mix'!$AT$7:$BD$30,Homes_calc!$B212-2006,Homes_calc!S$35+1)))</f>
        <v>0</v>
      </c>
      <c r="T212" s="21" cm="1">
        <f t="array" ref="T212">T185*(Houses_with_elec_17/Houses_with_plumbing_17)*((INDEX('DHW Mix'!$AT$7:$BD$30,Homes_calc!$B212-2006,Homes_calc!T$35+1)))</f>
        <v>0</v>
      </c>
      <c r="U212" s="21" cm="1">
        <f t="array" ref="U212">U185*(Houses_with_elec_17/Houses_with_plumbing_17)*((INDEX('DHW Mix'!$AT$7:$BD$30,Homes_calc!$B212-2006,Homes_calc!U$35+1)))</f>
        <v>0</v>
      </c>
      <c r="V212" s="21" cm="1">
        <f t="array" ref="V212">V185*(Houses_with_elec_17/Houses_with_plumbing_17)*((INDEX('DHW Mix'!$AT$7:$BD$30,Homes_calc!$B212-2006,Homes_calc!V$35+1)))</f>
        <v>0</v>
      </c>
      <c r="W212" s="21" cm="1">
        <f t="array" ref="W212">W185*(Houses_with_elec_17/Houses_with_plumbing_17)*((INDEX('DHW Mix'!$AT$7:$BD$30,Homes_calc!$B212-2006,Homes_calc!W$35+1)))</f>
        <v>0</v>
      </c>
      <c r="X212" s="21" cm="1">
        <f t="array" ref="X212">X185*(Houses_with_elec_17/Houses_with_plumbing_17)*((INDEX('DHW Mix'!$AT$7:$BD$30,Homes_calc!$B212-2006,Homes_calc!X$35+1)))</f>
        <v>0</v>
      </c>
      <c r="Y212" s="21" cm="1">
        <f t="array" ref="Y212">Y185*(Houses_with_elec_17/Houses_with_plumbing_17)*((INDEX('DHW Mix'!$AT$7:$BD$30,Homes_calc!$B212-2006,Homes_calc!Y$35+1)))</f>
        <v>0</v>
      </c>
      <c r="Z212" s="21" cm="1">
        <f t="array" ref="Z212">Z185*(Houses_with_elec_17/Houses_with_plumbing_17)*((INDEX('DHW Mix'!$AT$7:$BD$30,Homes_calc!$B212-2006,Homes_calc!Z$35+1)))</f>
        <v>0</v>
      </c>
      <c r="AA212" s="21" cm="1">
        <f t="array" ref="AA212">AA185*(Houses_with_elec_17/Houses_with_plumbing_17)*((INDEX('DHW Mix'!$AT$7:$BD$30,Homes_calc!$B212-2006,Homes_calc!AA$35+1)))</f>
        <v>0</v>
      </c>
      <c r="AB212" s="21" cm="1">
        <f t="array" ref="AB212">AB185*(Houses_with_elec_17/Houses_with_plumbing_17)*((INDEX('DHW Mix'!$AT$7:$BD$30,Homes_calc!$B212-2006,Homes_calc!AB$35+1)))</f>
        <v>0</v>
      </c>
      <c r="AC212" s="21" cm="1">
        <f t="array" ref="AC212">AC185*(Houses_with_elec_17/Houses_with_plumbing_17)*((INDEX('DHW Mix'!$AT$7:$BD$30,Homes_calc!$B212-2006,Homes_calc!AC$35+1)))</f>
        <v>0</v>
      </c>
      <c r="AD212" s="21" cm="1">
        <f t="array" ref="AD212">AD185*(Houses_with_elec_17/Houses_with_plumbing_17)*((INDEX('DHW Mix'!$AT$7:$BD$30,Homes_calc!$B212-2006,Homes_calc!AD$35+1)))</f>
        <v>0</v>
      </c>
      <c r="AE212" s="21" cm="1">
        <f t="array" ref="AE212">AE185*(Houses_with_elec_17/Houses_with_plumbing_17)*((INDEX('DHW Mix'!$AT$7:$BD$30,Homes_calc!$B212-2006,Homes_calc!AE$35+1)))</f>
        <v>0</v>
      </c>
      <c r="AF212" s="21" cm="1">
        <f t="array" ref="AF212">AF185*(Houses_with_elec_17/Houses_with_plumbing_17)*((INDEX('DHW Mix'!$AT$7:$BD$30,Homes_calc!$B212-2006,Homes_calc!AF$35+1)))</f>
        <v>0</v>
      </c>
      <c r="AG212" s="21" cm="1">
        <f t="array" ref="AG212">AG185*(Houses_with_elec_17/Houses_with_plumbing_17)*((INDEX('DHW Mix'!$AT$7:$BD$30,Homes_calc!$B212-2006,Homes_calc!AG$35+1)))</f>
        <v>0</v>
      </c>
      <c r="AH212" s="21" cm="1">
        <f t="array" ref="AH212">AH185*(Houses_with_elec_17/Houses_with_plumbing_17)*((INDEX('DHW Mix'!$AT$7:$BD$30,Homes_calc!$B212-2006,Homes_calc!AH$35+1)))</f>
        <v>0</v>
      </c>
      <c r="AI212" s="21" cm="1">
        <f t="array" ref="AI212">AI185*(Houses_with_elec_17/Houses_with_plumbing_17)*((INDEX('DHW Mix'!$AT$7:$BD$30,Homes_calc!$B212-2006,Homes_calc!AI$35+1)))</f>
        <v>0</v>
      </c>
      <c r="AJ212" s="21" cm="1">
        <f t="array" ref="AJ212">AJ185*(Houses_with_elec_17/Houses_with_plumbing_17)*((INDEX('DHW Mix'!$AT$7:$BD$30,Homes_calc!$B212-2006,Homes_calc!AJ$35+1)))</f>
        <v>0</v>
      </c>
      <c r="AK212" s="21" cm="1">
        <f t="array" ref="AK212">AK185*(Houses_with_elec_17/Houses_with_plumbing_17)*((INDEX('DHW Mix'!$AT$7:$BD$30,Homes_calc!$B212-2006,Homes_calc!AK$35+1)))</f>
        <v>0</v>
      </c>
      <c r="AL212" s="21" cm="1">
        <f t="array" ref="AL212">AL185*(Houses_with_elec_17/Houses_with_plumbing_17)*((INDEX('DHW Mix'!$AT$7:$BD$30,Homes_calc!$B212-2006,Homes_calc!AL$35+1)))</f>
        <v>0</v>
      </c>
      <c r="AM212" s="21" cm="1">
        <f t="array" ref="AM212">AM185*(Houses_with_elec_17/Houses_with_plumbing_17)*((INDEX('DHW Mix'!$AT$7:$BD$30,Homes_calc!$B212-2006,Homes_calc!AM$35+1)))</f>
        <v>0</v>
      </c>
      <c r="AN212" s="21" cm="1">
        <f t="array" ref="AN212">AN185*(Houses_with_elec_17/Houses_with_plumbing_17)*((INDEX('DHW Mix'!$AT$7:$BD$30,Homes_calc!$B212-2006,Homes_calc!AN$35+1)))</f>
        <v>0</v>
      </c>
      <c r="AO212" s="21" cm="1">
        <f t="array" ref="AO212">AO185*(Houses_with_elec_17/Houses_with_plumbing_17)*((INDEX('DHW Mix'!$AT$7:$BD$30,Homes_calc!$B212-2006,Homes_calc!AO$35+1)))</f>
        <v>0</v>
      </c>
      <c r="AP212" s="21" cm="1">
        <f t="array" ref="AP212">AP185*(Houses_with_elec_17/Houses_with_plumbing_17)*((INDEX('DHW Mix'!$AT$7:$BD$30,Homes_calc!$B212-2006,Homes_calc!AP$35+1)))</f>
        <v>0</v>
      </c>
      <c r="AQ212" s="21" cm="1">
        <f t="array" ref="AQ212">AQ185*(Houses_with_elec_17/Houses_with_plumbing_17)*((INDEX('DHW Mix'!$AT$7:$BD$30,Homes_calc!$B212-2006,Homes_calc!AQ$35+1)))</f>
        <v>0</v>
      </c>
      <c r="AR212" s="21" cm="1">
        <f t="array" ref="AR212">AR185*(Houses_with_elec_17/Houses_with_plumbing_17)*((INDEX('DHW Mix'!$AT$7:$BD$30,Homes_calc!$B212-2006,Homes_calc!AR$35+1)))</f>
        <v>0</v>
      </c>
      <c r="AS212" s="21" cm="1">
        <f t="array" ref="AS212">AS185*(Houses_with_elec_17/Houses_with_plumbing_17)*((INDEX('DHW Mix'!$AT$7:$BD$30,Homes_calc!$B212-2006,Homes_calc!AS$35+1)))</f>
        <v>0</v>
      </c>
      <c r="AT212" s="21" cm="1">
        <f t="array" ref="AT212">AT185*(Houses_with_elec_17/Houses_with_plumbing_17)*((INDEX('DHW Mix'!$AT$7:$BD$30,Homes_calc!$B212-2006,Homes_calc!AT$35+1)))</f>
        <v>0</v>
      </c>
      <c r="AU212" s="21" cm="1">
        <f t="array" ref="AU212">AU185*(Houses_with_elec_17/Houses_with_plumbing_17)*((INDEX('DHW Mix'!$AT$7:$BD$30,Homes_calc!$B212-2006,Homes_calc!AU$35+1)))</f>
        <v>0</v>
      </c>
      <c r="AV212" s="21" cm="1">
        <f t="array" ref="AV212">AV185*(Houses_with_elec_17/Houses_with_plumbing_17)*((INDEX('DHW Mix'!$AT$7:$BD$30,Homes_calc!$B212-2006,Homes_calc!AV$35+1)))</f>
        <v>0</v>
      </c>
      <c r="AW212" s="21" cm="1">
        <f t="array" ref="AW212">AW185*(Houses_with_elec_17/Houses_with_plumbing_17)*((INDEX('DHW Mix'!$AT$7:$BD$30,Homes_calc!$B212-2006,Homes_calc!AW$35+1)))</f>
        <v>0</v>
      </c>
      <c r="AX212" s="21" cm="1">
        <f t="array" ref="AX212">AX185*(Houses_with_elec_17/Houses_with_plumbing_17)*((INDEX('DHW Mix'!$AT$7:$BD$30,Homes_calc!$B212-2006,Homes_calc!AX$35+1)))</f>
        <v>0</v>
      </c>
      <c r="AY212" s="21" cm="1">
        <f t="array" ref="AY212">AY185*(Houses_with_elec_17/Houses_with_plumbing_17)*((INDEX('DHW Mix'!$AT$7:$BD$30,Homes_calc!$B212-2006,Homes_calc!AY$35+1)))</f>
        <v>0</v>
      </c>
      <c r="AZ212" s="21" cm="1">
        <f t="array" ref="AZ212">AZ185*(Houses_with_elec_17/Houses_with_plumbing_17)*((INDEX('DHW Mix'!$AT$7:$BD$30,Homes_calc!$B212-2006,Homes_calc!AZ$35+1)))</f>
        <v>0</v>
      </c>
      <c r="BA212" s="21" cm="1">
        <f t="array" ref="BA212">BA185*(Houses_with_elec_17/Houses_with_plumbing_17)*((INDEX('DHW Mix'!$AT$7:$BD$30,Homes_calc!$B212-2006,Homes_calc!BA$35+1)))</f>
        <v>0</v>
      </c>
      <c r="BB212" s="21">
        <f t="shared" si="191"/>
        <v>0</v>
      </c>
      <c r="BC212" s="21"/>
    </row>
    <row r="213" spans="1:55">
      <c r="A213" s="456"/>
      <c r="B213" s="226">
        <v>2018</v>
      </c>
      <c r="C213" s="21" cm="1">
        <f t="array" ref="C213">C186*(Houses_with_elec_18/Houses_with_plumbing_18)*((INDEX('DHW Mix'!$AT$7:$BD$30,Homes_calc!$B213-2006,Homes_calc!C$35+1)))</f>
        <v>0</v>
      </c>
      <c r="D213" s="21" cm="1">
        <f t="array" ref="D213">D186*(Houses_with_elec_18/Houses_with_plumbing_18)*((INDEX('DHW Mix'!$AT$7:$BD$30,Homes_calc!$B213-2006,Homes_calc!D$35+1)))</f>
        <v>0</v>
      </c>
      <c r="E213" s="21" cm="1">
        <f t="array" ref="E213">E186*(Houses_with_elec_18/Houses_with_plumbing_18)*((INDEX('DHW Mix'!$AT$7:$BD$30,Homes_calc!$B213-2006,Homes_calc!E$35+1)))</f>
        <v>0</v>
      </c>
      <c r="F213" s="21" cm="1">
        <f t="array" ref="F213">F186*(Houses_with_elec_18/Houses_with_plumbing_18)*((INDEX('DHW Mix'!$AT$7:$BD$30,Homes_calc!$B213-2006,Homes_calc!F$35+1)))</f>
        <v>0</v>
      </c>
      <c r="G213" s="21" cm="1">
        <f t="array" ref="G213">G186*(Houses_with_elec_18/Houses_with_plumbing_18)*((INDEX('DHW Mix'!$AT$7:$BD$30,Homes_calc!$B213-2006,Homes_calc!G$35+1)))</f>
        <v>0</v>
      </c>
      <c r="H213" s="21" cm="1">
        <f t="array" ref="H213">H186*(Houses_with_elec_18/Houses_with_plumbing_18)*((INDEX('DHW Mix'!$AT$7:$BD$30,Homes_calc!$B213-2006,Homes_calc!H$35+1)))</f>
        <v>0</v>
      </c>
      <c r="I213" s="21" cm="1">
        <f t="array" ref="I213">I186*(Houses_with_elec_18/Houses_with_plumbing_18)*((INDEX('DHW Mix'!$AT$7:$BD$30,Homes_calc!$B213-2006,Homes_calc!I$35+1)))</f>
        <v>0</v>
      </c>
      <c r="J213" s="21" cm="1">
        <f t="array" ref="J213">J186*(Houses_with_elec_18/Houses_with_plumbing_18)*((INDEX('DHW Mix'!$AT$7:$BD$30,Homes_calc!$B213-2006,Homes_calc!J$35+1)))</f>
        <v>0</v>
      </c>
      <c r="K213" s="21" cm="1">
        <f t="array" ref="K213">K186*(Houses_with_elec_18/Houses_with_plumbing_18)*((INDEX('DHW Mix'!$AT$7:$BD$30,Homes_calc!$B213-2006,Homes_calc!K$35+1)))</f>
        <v>0</v>
      </c>
      <c r="L213" s="21" cm="1">
        <f t="array" ref="L213">L186*(Houses_with_elec_18/Houses_with_plumbing_18)*((INDEX('DHW Mix'!$AT$7:$BD$30,Homes_calc!$B213-2006,Homes_calc!L$35+1)))</f>
        <v>0</v>
      </c>
      <c r="M213" s="21" cm="1">
        <f t="array" ref="M213">M186*(Houses_with_elec_18/Houses_with_plumbing_18)*((INDEX('DHW Mix'!$AT$7:$BD$30,Homes_calc!$B213-2006,Homes_calc!M$35+1)))</f>
        <v>0</v>
      </c>
      <c r="N213" s="21" cm="1">
        <f t="array" ref="N213">N186*(Houses_with_elec_18/Houses_with_plumbing_18)*((INDEX('DHW Mix'!$AT$7:$BD$30,Homes_calc!$B213-2006,Homes_calc!N$35+1)))</f>
        <v>0</v>
      </c>
      <c r="O213" s="21" cm="1">
        <f t="array" ref="O213">O186*(Houses_with_elec_18/Houses_with_plumbing_18)*((INDEX('DHW Mix'!$AT$7:$BD$30,Homes_calc!$B213-2006,Homes_calc!O$35+1)))</f>
        <v>0</v>
      </c>
      <c r="P213" s="21" cm="1">
        <f t="array" ref="P213">P186*(Houses_with_elec_18/Houses_with_plumbing_18)*((INDEX('DHW Mix'!$AT$7:$BD$30,Homes_calc!$B213-2006,Homes_calc!P$35+1)))</f>
        <v>0</v>
      </c>
      <c r="Q213" s="21" cm="1">
        <f t="array" ref="Q213">Q186*(Houses_with_elec_18/Houses_with_plumbing_18)*((INDEX('DHW Mix'!$AT$7:$BD$30,Homes_calc!$B213-2006,Homes_calc!Q$35+1)))</f>
        <v>0</v>
      </c>
      <c r="R213" s="21" cm="1">
        <f t="array" ref="R213">R186*(Houses_with_elec_18/Houses_with_plumbing_18)*((INDEX('DHW Mix'!$AT$7:$BD$30,Homes_calc!$B213-2006,Homes_calc!R$35+1)))</f>
        <v>0</v>
      </c>
      <c r="S213" s="21" cm="1">
        <f t="array" ref="S213">S186*(Houses_with_elec_18/Houses_with_plumbing_18)*((INDEX('DHW Mix'!$AT$7:$BD$30,Homes_calc!$B213-2006,Homes_calc!S$35+1)))</f>
        <v>0</v>
      </c>
      <c r="T213" s="21" cm="1">
        <f t="array" ref="T213">T186*(Houses_with_elec_18/Houses_with_plumbing_18)*((INDEX('DHW Mix'!$AT$7:$BD$30,Homes_calc!$B213-2006,Homes_calc!T$35+1)))</f>
        <v>0</v>
      </c>
      <c r="U213" s="21" cm="1">
        <f t="array" ref="U213">U186*(Houses_with_elec_18/Houses_with_plumbing_18)*((INDEX('DHW Mix'!$AT$7:$BD$30,Homes_calc!$B213-2006,Homes_calc!U$35+1)))</f>
        <v>0</v>
      </c>
      <c r="V213" s="21" cm="1">
        <f t="array" ref="V213">V186*(Houses_with_elec_18/Houses_with_plumbing_18)*((INDEX('DHW Mix'!$AT$7:$BD$30,Homes_calc!$B213-2006,Homes_calc!V$35+1)))</f>
        <v>0</v>
      </c>
      <c r="W213" s="21" cm="1">
        <f t="array" ref="W213">W186*(Houses_with_elec_18/Houses_with_plumbing_18)*((INDEX('DHW Mix'!$AT$7:$BD$30,Homes_calc!$B213-2006,Homes_calc!W$35+1)))</f>
        <v>0</v>
      </c>
      <c r="X213" s="21" cm="1">
        <f t="array" ref="X213">X186*(Houses_with_elec_18/Houses_with_plumbing_18)*((INDEX('DHW Mix'!$AT$7:$BD$30,Homes_calc!$B213-2006,Homes_calc!X$35+1)))</f>
        <v>0</v>
      </c>
      <c r="Y213" s="21" cm="1">
        <f t="array" ref="Y213">Y186*(Houses_with_elec_18/Houses_with_plumbing_18)*((INDEX('DHW Mix'!$AT$7:$BD$30,Homes_calc!$B213-2006,Homes_calc!Y$35+1)))</f>
        <v>0</v>
      </c>
      <c r="Z213" s="21" cm="1">
        <f t="array" ref="Z213">Z186*(Houses_with_elec_18/Houses_with_plumbing_18)*((INDEX('DHW Mix'!$AT$7:$BD$30,Homes_calc!$B213-2006,Homes_calc!Z$35+1)))</f>
        <v>0</v>
      </c>
      <c r="AA213" s="21" cm="1">
        <f t="array" ref="AA213">AA186*(Houses_with_elec_18/Houses_with_plumbing_18)*((INDEX('DHW Mix'!$AT$7:$BD$30,Homes_calc!$B213-2006,Homes_calc!AA$35+1)))</f>
        <v>0</v>
      </c>
      <c r="AB213" s="21" cm="1">
        <f t="array" ref="AB213">AB186*(Houses_with_elec_18/Houses_with_plumbing_18)*((INDEX('DHW Mix'!$AT$7:$BD$30,Homes_calc!$B213-2006,Homes_calc!AB$35+1)))</f>
        <v>0</v>
      </c>
      <c r="AC213" s="21" cm="1">
        <f t="array" ref="AC213">AC186*(Houses_with_elec_18/Houses_with_plumbing_18)*((INDEX('DHW Mix'!$AT$7:$BD$30,Homes_calc!$B213-2006,Homes_calc!AC$35+1)))</f>
        <v>0</v>
      </c>
      <c r="AD213" s="21" cm="1">
        <f t="array" ref="AD213">AD186*(Houses_with_elec_18/Houses_with_plumbing_18)*((INDEX('DHW Mix'!$AT$7:$BD$30,Homes_calc!$B213-2006,Homes_calc!AD$35+1)))</f>
        <v>0</v>
      </c>
      <c r="AE213" s="21" cm="1">
        <f t="array" ref="AE213">AE186*(Houses_with_elec_18/Houses_with_plumbing_18)*((INDEX('DHW Mix'!$AT$7:$BD$30,Homes_calc!$B213-2006,Homes_calc!AE$35+1)))</f>
        <v>0</v>
      </c>
      <c r="AF213" s="21" cm="1">
        <f t="array" ref="AF213">AF186*(Houses_with_elec_18/Houses_with_plumbing_18)*((INDEX('DHW Mix'!$AT$7:$BD$30,Homes_calc!$B213-2006,Homes_calc!AF$35+1)))</f>
        <v>0</v>
      </c>
      <c r="AG213" s="21" cm="1">
        <f t="array" ref="AG213">AG186*(Houses_with_elec_18/Houses_with_plumbing_18)*((INDEX('DHW Mix'!$AT$7:$BD$30,Homes_calc!$B213-2006,Homes_calc!AG$35+1)))</f>
        <v>0</v>
      </c>
      <c r="AH213" s="21" cm="1">
        <f t="array" ref="AH213">AH186*(Houses_with_elec_18/Houses_with_plumbing_18)*((INDEX('DHW Mix'!$AT$7:$BD$30,Homes_calc!$B213-2006,Homes_calc!AH$35+1)))</f>
        <v>0</v>
      </c>
      <c r="AI213" s="21" cm="1">
        <f t="array" ref="AI213">AI186*(Houses_with_elec_18/Houses_with_plumbing_18)*((INDEX('DHW Mix'!$AT$7:$BD$30,Homes_calc!$B213-2006,Homes_calc!AI$35+1)))</f>
        <v>0</v>
      </c>
      <c r="AJ213" s="21" cm="1">
        <f t="array" ref="AJ213">AJ186*(Houses_with_elec_18/Houses_with_plumbing_18)*((INDEX('DHW Mix'!$AT$7:$BD$30,Homes_calc!$B213-2006,Homes_calc!AJ$35+1)))</f>
        <v>0</v>
      </c>
      <c r="AK213" s="21" cm="1">
        <f t="array" ref="AK213">AK186*(Houses_with_elec_18/Houses_with_plumbing_18)*((INDEX('DHW Mix'!$AT$7:$BD$30,Homes_calc!$B213-2006,Homes_calc!AK$35+1)))</f>
        <v>0</v>
      </c>
      <c r="AL213" s="21" cm="1">
        <f t="array" ref="AL213">AL186*(Houses_with_elec_18/Houses_with_plumbing_18)*((INDEX('DHW Mix'!$AT$7:$BD$30,Homes_calc!$B213-2006,Homes_calc!AL$35+1)))</f>
        <v>0</v>
      </c>
      <c r="AM213" s="21" cm="1">
        <f t="array" ref="AM213">AM186*(Houses_with_elec_18/Houses_with_plumbing_18)*((INDEX('DHW Mix'!$AT$7:$BD$30,Homes_calc!$B213-2006,Homes_calc!AM$35+1)))</f>
        <v>0</v>
      </c>
      <c r="AN213" s="21" cm="1">
        <f t="array" ref="AN213">AN186*(Houses_with_elec_18/Houses_with_plumbing_18)*((INDEX('DHW Mix'!$AT$7:$BD$30,Homes_calc!$B213-2006,Homes_calc!AN$35+1)))</f>
        <v>0</v>
      </c>
      <c r="AO213" s="21" cm="1">
        <f t="array" ref="AO213">AO186*(Houses_with_elec_18/Houses_with_plumbing_18)*((INDEX('DHW Mix'!$AT$7:$BD$30,Homes_calc!$B213-2006,Homes_calc!AO$35+1)))</f>
        <v>0</v>
      </c>
      <c r="AP213" s="21" cm="1">
        <f t="array" ref="AP213">AP186*(Houses_with_elec_18/Houses_with_plumbing_18)*((INDEX('DHW Mix'!$AT$7:$BD$30,Homes_calc!$B213-2006,Homes_calc!AP$35+1)))</f>
        <v>0</v>
      </c>
      <c r="AQ213" s="21" cm="1">
        <f t="array" ref="AQ213">AQ186*(Houses_with_elec_18/Houses_with_plumbing_18)*((INDEX('DHW Mix'!$AT$7:$BD$30,Homes_calc!$B213-2006,Homes_calc!AQ$35+1)))</f>
        <v>0</v>
      </c>
      <c r="AR213" s="21" cm="1">
        <f t="array" ref="AR213">AR186*(Houses_with_elec_18/Houses_with_plumbing_18)*((INDEX('DHW Mix'!$AT$7:$BD$30,Homes_calc!$B213-2006,Homes_calc!AR$35+1)))</f>
        <v>0</v>
      </c>
      <c r="AS213" s="21" cm="1">
        <f t="array" ref="AS213">AS186*(Houses_with_elec_18/Houses_with_plumbing_18)*((INDEX('DHW Mix'!$AT$7:$BD$30,Homes_calc!$B213-2006,Homes_calc!AS$35+1)))</f>
        <v>0</v>
      </c>
      <c r="AT213" s="21" cm="1">
        <f t="array" ref="AT213">AT186*(Houses_with_elec_18/Houses_with_plumbing_18)*((INDEX('DHW Mix'!$AT$7:$BD$30,Homes_calc!$B213-2006,Homes_calc!AT$35+1)))</f>
        <v>0</v>
      </c>
      <c r="AU213" s="21" cm="1">
        <f t="array" ref="AU213">AU186*(Houses_with_elec_18/Houses_with_plumbing_18)*((INDEX('DHW Mix'!$AT$7:$BD$30,Homes_calc!$B213-2006,Homes_calc!AU$35+1)))</f>
        <v>0</v>
      </c>
      <c r="AV213" s="21" cm="1">
        <f t="array" ref="AV213">AV186*(Houses_with_elec_18/Houses_with_plumbing_18)*((INDEX('DHW Mix'!$AT$7:$BD$30,Homes_calc!$B213-2006,Homes_calc!AV$35+1)))</f>
        <v>0</v>
      </c>
      <c r="AW213" s="21" cm="1">
        <f t="array" ref="AW213">AW186*(Houses_with_elec_18/Houses_with_plumbing_18)*((INDEX('DHW Mix'!$AT$7:$BD$30,Homes_calc!$B213-2006,Homes_calc!AW$35+1)))</f>
        <v>0</v>
      </c>
      <c r="AX213" s="21" cm="1">
        <f t="array" ref="AX213">AX186*(Houses_with_elec_18/Houses_with_plumbing_18)*((INDEX('DHW Mix'!$AT$7:$BD$30,Homes_calc!$B213-2006,Homes_calc!AX$35+1)))</f>
        <v>0</v>
      </c>
      <c r="AY213" s="21" cm="1">
        <f t="array" ref="AY213">AY186*(Houses_with_elec_18/Houses_with_plumbing_18)*((INDEX('DHW Mix'!$AT$7:$BD$30,Homes_calc!$B213-2006,Homes_calc!AY$35+1)))</f>
        <v>0</v>
      </c>
      <c r="AZ213" s="21" cm="1">
        <f t="array" ref="AZ213">AZ186*(Houses_with_elec_18/Houses_with_plumbing_18)*((INDEX('DHW Mix'!$AT$7:$BD$30,Homes_calc!$B213-2006,Homes_calc!AZ$35+1)))</f>
        <v>0</v>
      </c>
      <c r="BA213" s="21" cm="1">
        <f t="array" ref="BA213">BA186*(Houses_with_elec_18/Houses_with_plumbing_18)*((INDEX('DHW Mix'!$AT$7:$BD$30,Homes_calc!$B213-2006,Homes_calc!BA$35+1)))</f>
        <v>0</v>
      </c>
      <c r="BB213" s="21">
        <f t="shared" si="191"/>
        <v>0</v>
      </c>
      <c r="BC213" s="21"/>
    </row>
    <row r="214" spans="1:55">
      <c r="A214" s="456"/>
      <c r="B214" s="228">
        <v>2019</v>
      </c>
      <c r="C214" s="21" cm="1">
        <f t="array" ref="C214">C187*(Houses_with_elec_19/Houses_with_plumbing_19)*((INDEX('DHW Mix'!$AT$7:$BD$30,Homes_calc!$B214-2006,Homes_calc!C$35+1)))</f>
        <v>0</v>
      </c>
      <c r="D214" s="21" cm="1">
        <f t="array" ref="D214">D187*(Houses_with_elec_19/Houses_with_plumbing_19)*((INDEX('DHW Mix'!$AT$7:$BD$30,Homes_calc!$B214-2006,Homes_calc!D$35+1)))</f>
        <v>0</v>
      </c>
      <c r="E214" s="21" cm="1">
        <f t="array" ref="E214">E187*(Houses_with_elec_19/Houses_with_plumbing_19)*((INDEX('DHW Mix'!$AT$7:$BD$30,Homes_calc!$B214-2006,Homes_calc!E$35+1)))</f>
        <v>0</v>
      </c>
      <c r="F214" s="21" cm="1">
        <f t="array" ref="F214">F187*(Houses_with_elec_19/Houses_with_plumbing_19)*((INDEX('DHW Mix'!$AT$7:$BD$30,Homes_calc!$B214-2006,Homes_calc!F$35+1)))</f>
        <v>0</v>
      </c>
      <c r="G214" s="21" cm="1">
        <f t="array" ref="G214">G187*(Houses_with_elec_19/Houses_with_plumbing_19)*((INDEX('DHW Mix'!$AT$7:$BD$30,Homes_calc!$B214-2006,Homes_calc!G$35+1)))</f>
        <v>0</v>
      </c>
      <c r="H214" s="21" cm="1">
        <f t="array" ref="H214">H187*(Houses_with_elec_19/Houses_with_plumbing_19)*((INDEX('DHW Mix'!$AT$7:$BD$30,Homes_calc!$B214-2006,Homes_calc!H$35+1)))</f>
        <v>0</v>
      </c>
      <c r="I214" s="21" cm="1">
        <f t="array" ref="I214">I187*(Houses_with_elec_19/Houses_with_plumbing_19)*((INDEX('DHW Mix'!$AT$7:$BD$30,Homes_calc!$B214-2006,Homes_calc!I$35+1)))</f>
        <v>0</v>
      </c>
      <c r="J214" s="21" cm="1">
        <f t="array" ref="J214">J187*(Houses_with_elec_19/Houses_with_plumbing_19)*((INDEX('DHW Mix'!$AT$7:$BD$30,Homes_calc!$B214-2006,Homes_calc!J$35+1)))</f>
        <v>0</v>
      </c>
      <c r="K214" s="21" cm="1">
        <f t="array" ref="K214">K187*(Houses_with_elec_19/Houses_with_plumbing_19)*((INDEX('DHW Mix'!$AT$7:$BD$30,Homes_calc!$B214-2006,Homes_calc!K$35+1)))</f>
        <v>0</v>
      </c>
      <c r="L214" s="21" cm="1">
        <f t="array" ref="L214">L187*(Houses_with_elec_19/Houses_with_plumbing_19)*((INDEX('DHW Mix'!$AT$7:$BD$30,Homes_calc!$B214-2006,Homes_calc!L$35+1)))</f>
        <v>0</v>
      </c>
      <c r="M214" s="21" cm="1">
        <f t="array" ref="M214">M187*(Houses_with_elec_19/Houses_with_plumbing_19)*((INDEX('DHW Mix'!$AT$7:$BD$30,Homes_calc!$B214-2006,Homes_calc!M$35+1)))</f>
        <v>0</v>
      </c>
      <c r="N214" s="21" cm="1">
        <f t="array" ref="N214">N187*(Houses_with_elec_19/Houses_with_plumbing_19)*((INDEX('DHW Mix'!$AT$7:$BD$30,Homes_calc!$B214-2006,Homes_calc!N$35+1)))</f>
        <v>0</v>
      </c>
      <c r="O214" s="21" cm="1">
        <f t="array" ref="O214">O187*(Houses_with_elec_19/Houses_with_plumbing_19)*((INDEX('DHW Mix'!$AT$7:$BD$30,Homes_calc!$B214-2006,Homes_calc!O$35+1)))</f>
        <v>0</v>
      </c>
      <c r="P214" s="21" cm="1">
        <f t="array" ref="P214">P187*(Houses_with_elec_19/Houses_with_plumbing_19)*((INDEX('DHW Mix'!$AT$7:$BD$30,Homes_calc!$B214-2006,Homes_calc!P$35+1)))</f>
        <v>0</v>
      </c>
      <c r="Q214" s="21" cm="1">
        <f t="array" ref="Q214">Q187*(Houses_with_elec_19/Houses_with_plumbing_19)*((INDEX('DHW Mix'!$AT$7:$BD$30,Homes_calc!$B214-2006,Homes_calc!Q$35+1)))</f>
        <v>0</v>
      </c>
      <c r="R214" s="21" cm="1">
        <f t="array" ref="R214">R187*(Houses_with_elec_19/Houses_with_plumbing_19)*((INDEX('DHW Mix'!$AT$7:$BD$30,Homes_calc!$B214-2006,Homes_calc!R$35+1)))</f>
        <v>0</v>
      </c>
      <c r="S214" s="21" cm="1">
        <f t="array" ref="S214">S187*(Houses_with_elec_19/Houses_with_plumbing_19)*((INDEX('DHW Mix'!$AT$7:$BD$30,Homes_calc!$B214-2006,Homes_calc!S$35+1)))</f>
        <v>0</v>
      </c>
      <c r="T214" s="21" cm="1">
        <f t="array" ref="T214">T187*(Houses_with_elec_19/Houses_with_plumbing_19)*((INDEX('DHW Mix'!$AT$7:$BD$30,Homes_calc!$B214-2006,Homes_calc!T$35+1)))</f>
        <v>0</v>
      </c>
      <c r="U214" s="21" cm="1">
        <f t="array" ref="U214">U187*(Houses_with_elec_19/Houses_with_plumbing_19)*((INDEX('DHW Mix'!$AT$7:$BD$30,Homes_calc!$B214-2006,Homes_calc!U$35+1)))</f>
        <v>0</v>
      </c>
      <c r="V214" s="21" cm="1">
        <f t="array" ref="V214">V187*(Houses_with_elec_19/Houses_with_plumbing_19)*((INDEX('DHW Mix'!$AT$7:$BD$30,Homes_calc!$B214-2006,Homes_calc!V$35+1)))</f>
        <v>0</v>
      </c>
      <c r="W214" s="21" cm="1">
        <f t="array" ref="W214">W187*(Houses_with_elec_19/Houses_with_plumbing_19)*((INDEX('DHW Mix'!$AT$7:$BD$30,Homes_calc!$B214-2006,Homes_calc!W$35+1)))</f>
        <v>0</v>
      </c>
      <c r="X214" s="21" cm="1">
        <f t="array" ref="X214">X187*(Houses_with_elec_19/Houses_with_plumbing_19)*((INDEX('DHW Mix'!$AT$7:$BD$30,Homes_calc!$B214-2006,Homes_calc!X$35+1)))</f>
        <v>0</v>
      </c>
      <c r="Y214" s="21" cm="1">
        <f t="array" ref="Y214">Y187*(Houses_with_elec_19/Houses_with_plumbing_19)*((INDEX('DHW Mix'!$AT$7:$BD$30,Homes_calc!$B214-2006,Homes_calc!Y$35+1)))</f>
        <v>0</v>
      </c>
      <c r="Z214" s="21" cm="1">
        <f t="array" ref="Z214">Z187*(Houses_with_elec_19/Houses_with_plumbing_19)*((INDEX('DHW Mix'!$AT$7:$BD$30,Homes_calc!$B214-2006,Homes_calc!Z$35+1)))</f>
        <v>0</v>
      </c>
      <c r="AA214" s="21" cm="1">
        <f t="array" ref="AA214">AA187*(Houses_with_elec_19/Houses_with_plumbing_19)*((INDEX('DHW Mix'!$AT$7:$BD$30,Homes_calc!$B214-2006,Homes_calc!AA$35+1)))</f>
        <v>0</v>
      </c>
      <c r="AB214" s="21" cm="1">
        <f t="array" ref="AB214">AB187*(Houses_with_elec_19/Houses_with_plumbing_19)*((INDEX('DHW Mix'!$AT$7:$BD$30,Homes_calc!$B214-2006,Homes_calc!AB$35+1)))</f>
        <v>0</v>
      </c>
      <c r="AC214" s="21" cm="1">
        <f t="array" ref="AC214">AC187*(Houses_with_elec_19/Houses_with_plumbing_19)*((INDEX('DHW Mix'!$AT$7:$BD$30,Homes_calc!$B214-2006,Homes_calc!AC$35+1)))</f>
        <v>0</v>
      </c>
      <c r="AD214" s="21" cm="1">
        <f t="array" ref="AD214">AD187*(Houses_with_elec_19/Houses_with_plumbing_19)*((INDEX('DHW Mix'!$AT$7:$BD$30,Homes_calc!$B214-2006,Homes_calc!AD$35+1)))</f>
        <v>0</v>
      </c>
      <c r="AE214" s="21" cm="1">
        <f t="array" ref="AE214">AE187*(Houses_with_elec_19/Houses_with_plumbing_19)*((INDEX('DHW Mix'!$AT$7:$BD$30,Homes_calc!$B214-2006,Homes_calc!AE$35+1)))</f>
        <v>0</v>
      </c>
      <c r="AF214" s="21" cm="1">
        <f t="array" ref="AF214">AF187*(Houses_with_elec_19/Houses_with_plumbing_19)*((INDEX('DHW Mix'!$AT$7:$BD$30,Homes_calc!$B214-2006,Homes_calc!AF$35+1)))</f>
        <v>0</v>
      </c>
      <c r="AG214" s="21" cm="1">
        <f t="array" ref="AG214">AG187*(Houses_with_elec_19/Houses_with_plumbing_19)*((INDEX('DHW Mix'!$AT$7:$BD$30,Homes_calc!$B214-2006,Homes_calc!AG$35+1)))</f>
        <v>0</v>
      </c>
      <c r="AH214" s="21" cm="1">
        <f t="array" ref="AH214">AH187*(Houses_with_elec_19/Houses_with_plumbing_19)*((INDEX('DHW Mix'!$AT$7:$BD$30,Homes_calc!$B214-2006,Homes_calc!AH$35+1)))</f>
        <v>0</v>
      </c>
      <c r="AI214" s="21" cm="1">
        <f t="array" ref="AI214">AI187*(Houses_with_elec_19/Houses_with_plumbing_19)*((INDEX('DHW Mix'!$AT$7:$BD$30,Homes_calc!$B214-2006,Homes_calc!AI$35+1)))</f>
        <v>0</v>
      </c>
      <c r="AJ214" s="21" cm="1">
        <f t="array" ref="AJ214">AJ187*(Houses_with_elec_19/Houses_with_plumbing_19)*((INDEX('DHW Mix'!$AT$7:$BD$30,Homes_calc!$B214-2006,Homes_calc!AJ$35+1)))</f>
        <v>0</v>
      </c>
      <c r="AK214" s="21" cm="1">
        <f t="array" ref="AK214">AK187*(Houses_with_elec_19/Houses_with_plumbing_19)*((INDEX('DHW Mix'!$AT$7:$BD$30,Homes_calc!$B214-2006,Homes_calc!AK$35+1)))</f>
        <v>0</v>
      </c>
      <c r="AL214" s="21" cm="1">
        <f t="array" ref="AL214">AL187*(Houses_with_elec_19/Houses_with_plumbing_19)*((INDEX('DHW Mix'!$AT$7:$BD$30,Homes_calc!$B214-2006,Homes_calc!AL$35+1)))</f>
        <v>0</v>
      </c>
      <c r="AM214" s="21" cm="1">
        <f t="array" ref="AM214">AM187*(Houses_with_elec_19/Houses_with_plumbing_19)*((INDEX('DHW Mix'!$AT$7:$BD$30,Homes_calc!$B214-2006,Homes_calc!AM$35+1)))</f>
        <v>0</v>
      </c>
      <c r="AN214" s="21" cm="1">
        <f t="array" ref="AN214">AN187*(Houses_with_elec_19/Houses_with_plumbing_19)*((INDEX('DHW Mix'!$AT$7:$BD$30,Homes_calc!$B214-2006,Homes_calc!AN$35+1)))</f>
        <v>0</v>
      </c>
      <c r="AO214" s="21" cm="1">
        <f t="array" ref="AO214">AO187*(Houses_with_elec_19/Houses_with_plumbing_19)*((INDEX('DHW Mix'!$AT$7:$BD$30,Homes_calc!$B214-2006,Homes_calc!AO$35+1)))</f>
        <v>0</v>
      </c>
      <c r="AP214" s="21" cm="1">
        <f t="array" ref="AP214">AP187*(Houses_with_elec_19/Houses_with_plumbing_19)*((INDEX('DHW Mix'!$AT$7:$BD$30,Homes_calc!$B214-2006,Homes_calc!AP$35+1)))</f>
        <v>0</v>
      </c>
      <c r="AQ214" s="21" cm="1">
        <f t="array" ref="AQ214">AQ187*(Houses_with_elec_19/Houses_with_plumbing_19)*((INDEX('DHW Mix'!$AT$7:$BD$30,Homes_calc!$B214-2006,Homes_calc!AQ$35+1)))</f>
        <v>0</v>
      </c>
      <c r="AR214" s="21" cm="1">
        <f t="array" ref="AR214">AR187*(Houses_with_elec_19/Houses_with_plumbing_19)*((INDEX('DHW Mix'!$AT$7:$BD$30,Homes_calc!$B214-2006,Homes_calc!AR$35+1)))</f>
        <v>0</v>
      </c>
      <c r="AS214" s="21" cm="1">
        <f t="array" ref="AS214">AS187*(Houses_with_elec_19/Houses_with_plumbing_19)*((INDEX('DHW Mix'!$AT$7:$BD$30,Homes_calc!$B214-2006,Homes_calc!AS$35+1)))</f>
        <v>0</v>
      </c>
      <c r="AT214" s="21" cm="1">
        <f t="array" ref="AT214">AT187*(Houses_with_elec_19/Houses_with_plumbing_19)*((INDEX('DHW Mix'!$AT$7:$BD$30,Homes_calc!$B214-2006,Homes_calc!AT$35+1)))</f>
        <v>0</v>
      </c>
      <c r="AU214" s="21" cm="1">
        <f t="array" ref="AU214">AU187*(Houses_with_elec_19/Houses_with_plumbing_19)*((INDEX('DHW Mix'!$AT$7:$BD$30,Homes_calc!$B214-2006,Homes_calc!AU$35+1)))</f>
        <v>0</v>
      </c>
      <c r="AV214" s="21" cm="1">
        <f t="array" ref="AV214">AV187*(Houses_with_elec_19/Houses_with_plumbing_19)*((INDEX('DHW Mix'!$AT$7:$BD$30,Homes_calc!$B214-2006,Homes_calc!AV$35+1)))</f>
        <v>0</v>
      </c>
      <c r="AW214" s="21" cm="1">
        <f t="array" ref="AW214">AW187*(Houses_with_elec_19/Houses_with_plumbing_19)*((INDEX('DHW Mix'!$AT$7:$BD$30,Homes_calc!$B214-2006,Homes_calc!AW$35+1)))</f>
        <v>0</v>
      </c>
      <c r="AX214" s="21" cm="1">
        <f t="array" ref="AX214">AX187*(Houses_with_elec_19/Houses_with_plumbing_19)*((INDEX('DHW Mix'!$AT$7:$BD$30,Homes_calc!$B214-2006,Homes_calc!AX$35+1)))</f>
        <v>0</v>
      </c>
      <c r="AY214" s="21" cm="1">
        <f t="array" ref="AY214">AY187*(Houses_with_elec_19/Houses_with_plumbing_19)*((INDEX('DHW Mix'!$AT$7:$BD$30,Homes_calc!$B214-2006,Homes_calc!AY$35+1)))</f>
        <v>0</v>
      </c>
      <c r="AZ214" s="21" cm="1">
        <f t="array" ref="AZ214">AZ187*(Houses_with_elec_19/Houses_with_plumbing_19)*((INDEX('DHW Mix'!$AT$7:$BD$30,Homes_calc!$B214-2006,Homes_calc!AZ$35+1)))</f>
        <v>0</v>
      </c>
      <c r="BA214" s="21" cm="1">
        <f t="array" ref="BA214">BA187*(Houses_with_elec_19/Houses_with_plumbing_19)*((INDEX('DHW Mix'!$AT$7:$BD$30,Homes_calc!$B214-2006,Homes_calc!BA$35+1)))</f>
        <v>0</v>
      </c>
      <c r="BB214" s="21">
        <f t="shared" si="191"/>
        <v>0</v>
      </c>
      <c r="BC214" s="21"/>
    </row>
    <row r="215" spans="1:55">
      <c r="A215" s="456"/>
      <c r="B215" s="226">
        <v>2020</v>
      </c>
      <c r="C215" s="21" cm="1">
        <f t="array" ref="C215">C188*(Houses_with_elec_20/Houses_with_plumbing_20)*((INDEX('DHW Mix'!$AT$7:$BD$30,Homes_calc!$B215-2006,Homes_calc!C$35+1)))</f>
        <v>0</v>
      </c>
      <c r="D215" s="21" cm="1">
        <f t="array" ref="D215">D188*(Houses_with_elec_20/Houses_with_plumbing_20)*((INDEX('DHW Mix'!$AT$7:$BD$30,Homes_calc!$B215-2006,Homes_calc!D$35+1)))</f>
        <v>0</v>
      </c>
      <c r="E215" s="21" cm="1">
        <f t="array" ref="E215">E188*(Houses_with_elec_20/Houses_with_plumbing_20)*((INDEX('DHW Mix'!$AT$7:$BD$30,Homes_calc!$B215-2006,Homes_calc!E$35+1)))</f>
        <v>0</v>
      </c>
      <c r="F215" s="21" cm="1">
        <f t="array" ref="F215">F188*(Houses_with_elec_20/Houses_with_plumbing_20)*((INDEX('DHW Mix'!$AT$7:$BD$30,Homes_calc!$B215-2006,Homes_calc!F$35+1)))</f>
        <v>0</v>
      </c>
      <c r="G215" s="21" cm="1">
        <f t="array" ref="G215">G188*(Houses_with_elec_20/Houses_with_plumbing_20)*((INDEX('DHW Mix'!$AT$7:$BD$30,Homes_calc!$B215-2006,Homes_calc!G$35+1)))</f>
        <v>0</v>
      </c>
      <c r="H215" s="21" cm="1">
        <f t="array" ref="H215">H188*(Houses_with_elec_20/Houses_with_plumbing_20)*((INDEX('DHW Mix'!$AT$7:$BD$30,Homes_calc!$B215-2006,Homes_calc!H$35+1)))</f>
        <v>0</v>
      </c>
      <c r="I215" s="21" cm="1">
        <f t="array" ref="I215">I188*(Houses_with_elec_20/Houses_with_plumbing_20)*((INDEX('DHW Mix'!$AT$7:$BD$30,Homes_calc!$B215-2006,Homes_calc!I$35+1)))</f>
        <v>0</v>
      </c>
      <c r="J215" s="21" cm="1">
        <f t="array" ref="J215">J188*(Houses_with_elec_20/Houses_with_plumbing_20)*((INDEX('DHW Mix'!$AT$7:$BD$30,Homes_calc!$B215-2006,Homes_calc!J$35+1)))</f>
        <v>0</v>
      </c>
      <c r="K215" s="21" cm="1">
        <f t="array" ref="K215">K188*(Houses_with_elec_20/Houses_with_plumbing_20)*((INDEX('DHW Mix'!$AT$7:$BD$30,Homes_calc!$B215-2006,Homes_calc!K$35+1)))</f>
        <v>0</v>
      </c>
      <c r="L215" s="21" cm="1">
        <f t="array" ref="L215">L188*(Houses_with_elec_20/Houses_with_plumbing_20)*((INDEX('DHW Mix'!$AT$7:$BD$30,Homes_calc!$B215-2006,Homes_calc!L$35+1)))</f>
        <v>0</v>
      </c>
      <c r="M215" s="21" cm="1">
        <f t="array" ref="M215">M188*(Houses_with_elec_20/Houses_with_plumbing_20)*((INDEX('DHW Mix'!$AT$7:$BD$30,Homes_calc!$B215-2006,Homes_calc!M$35+1)))</f>
        <v>0</v>
      </c>
      <c r="N215" s="21" cm="1">
        <f t="array" ref="N215">N188*(Houses_with_elec_20/Houses_with_plumbing_20)*((INDEX('DHW Mix'!$AT$7:$BD$30,Homes_calc!$B215-2006,Homes_calc!N$35+1)))</f>
        <v>0</v>
      </c>
      <c r="O215" s="21" cm="1">
        <f t="array" ref="O215">O188*(Houses_with_elec_20/Houses_with_plumbing_20)*((INDEX('DHW Mix'!$AT$7:$BD$30,Homes_calc!$B215-2006,Homes_calc!O$35+1)))</f>
        <v>0</v>
      </c>
      <c r="P215" s="21" cm="1">
        <f t="array" ref="P215">P188*(Houses_with_elec_20/Houses_with_plumbing_20)*((INDEX('DHW Mix'!$AT$7:$BD$30,Homes_calc!$B215-2006,Homes_calc!P$35+1)))</f>
        <v>0</v>
      </c>
      <c r="Q215" s="21" cm="1">
        <f t="array" ref="Q215">Q188*(Houses_with_elec_20/Houses_with_plumbing_20)*((INDEX('DHW Mix'!$AT$7:$BD$30,Homes_calc!$B215-2006,Homes_calc!Q$35+1)))</f>
        <v>0</v>
      </c>
      <c r="R215" s="21" cm="1">
        <f t="array" ref="R215">R188*(Houses_with_elec_20/Houses_with_plumbing_20)*((INDEX('DHW Mix'!$AT$7:$BD$30,Homes_calc!$B215-2006,Homes_calc!R$35+1)))</f>
        <v>0</v>
      </c>
      <c r="S215" s="21" cm="1">
        <f t="array" ref="S215">S188*(Houses_with_elec_20/Houses_with_plumbing_20)*((INDEX('DHW Mix'!$AT$7:$BD$30,Homes_calc!$B215-2006,Homes_calc!S$35+1)))</f>
        <v>0</v>
      </c>
      <c r="T215" s="21" cm="1">
        <f t="array" ref="T215">T188*(Houses_with_elec_20/Houses_with_plumbing_20)*((INDEX('DHW Mix'!$AT$7:$BD$30,Homes_calc!$B215-2006,Homes_calc!T$35+1)))</f>
        <v>0</v>
      </c>
      <c r="U215" s="21" cm="1">
        <f t="array" ref="U215">U188*(Houses_with_elec_20/Houses_with_plumbing_20)*((INDEX('DHW Mix'!$AT$7:$BD$30,Homes_calc!$B215-2006,Homes_calc!U$35+1)))</f>
        <v>0</v>
      </c>
      <c r="V215" s="21" cm="1">
        <f t="array" ref="V215">V188*(Houses_with_elec_20/Houses_with_plumbing_20)*((INDEX('DHW Mix'!$AT$7:$BD$30,Homes_calc!$B215-2006,Homes_calc!V$35+1)))</f>
        <v>0</v>
      </c>
      <c r="W215" s="21" cm="1">
        <f t="array" ref="W215">W188*(Houses_with_elec_20/Houses_with_plumbing_20)*((INDEX('DHW Mix'!$AT$7:$BD$30,Homes_calc!$B215-2006,Homes_calc!W$35+1)))</f>
        <v>0</v>
      </c>
      <c r="X215" s="21" cm="1">
        <f t="array" ref="X215">X188*(Houses_with_elec_20/Houses_with_plumbing_20)*((INDEX('DHW Mix'!$AT$7:$BD$30,Homes_calc!$B215-2006,Homes_calc!X$35+1)))</f>
        <v>0</v>
      </c>
      <c r="Y215" s="21" cm="1">
        <f t="array" ref="Y215">Y188*(Houses_with_elec_20/Houses_with_plumbing_20)*((INDEX('DHW Mix'!$AT$7:$BD$30,Homes_calc!$B215-2006,Homes_calc!Y$35+1)))</f>
        <v>0</v>
      </c>
      <c r="Z215" s="21" cm="1">
        <f t="array" ref="Z215">Z188*(Houses_with_elec_20/Houses_with_plumbing_20)*((INDEX('DHW Mix'!$AT$7:$BD$30,Homes_calc!$B215-2006,Homes_calc!Z$35+1)))</f>
        <v>0</v>
      </c>
      <c r="AA215" s="21" cm="1">
        <f t="array" ref="AA215">AA188*(Houses_with_elec_20/Houses_with_plumbing_20)*((INDEX('DHW Mix'!$AT$7:$BD$30,Homes_calc!$B215-2006,Homes_calc!AA$35+1)))</f>
        <v>0</v>
      </c>
      <c r="AB215" s="21" cm="1">
        <f t="array" ref="AB215">AB188*(Houses_with_elec_20/Houses_with_plumbing_20)*((INDEX('DHW Mix'!$AT$7:$BD$30,Homes_calc!$B215-2006,Homes_calc!AB$35+1)))</f>
        <v>0</v>
      </c>
      <c r="AC215" s="21" cm="1">
        <f t="array" ref="AC215">AC188*(Houses_with_elec_20/Houses_with_plumbing_20)*((INDEX('DHW Mix'!$AT$7:$BD$30,Homes_calc!$B215-2006,Homes_calc!AC$35+1)))</f>
        <v>0</v>
      </c>
      <c r="AD215" s="21" cm="1">
        <f t="array" ref="AD215">AD188*(Houses_with_elec_20/Houses_with_plumbing_20)*((INDEX('DHW Mix'!$AT$7:$BD$30,Homes_calc!$B215-2006,Homes_calc!AD$35+1)))</f>
        <v>0</v>
      </c>
      <c r="AE215" s="21" cm="1">
        <f t="array" ref="AE215">AE188*(Houses_with_elec_20/Houses_with_plumbing_20)*((INDEX('DHW Mix'!$AT$7:$BD$30,Homes_calc!$B215-2006,Homes_calc!AE$35+1)))</f>
        <v>0</v>
      </c>
      <c r="AF215" s="21" cm="1">
        <f t="array" ref="AF215">AF188*(Houses_with_elec_20/Houses_with_plumbing_20)*((INDEX('DHW Mix'!$AT$7:$BD$30,Homes_calc!$B215-2006,Homes_calc!AF$35+1)))</f>
        <v>0</v>
      </c>
      <c r="AG215" s="21" cm="1">
        <f t="array" ref="AG215">AG188*(Houses_with_elec_20/Houses_with_plumbing_20)*((INDEX('DHW Mix'!$AT$7:$BD$30,Homes_calc!$B215-2006,Homes_calc!AG$35+1)))</f>
        <v>0</v>
      </c>
      <c r="AH215" s="21" cm="1">
        <f t="array" ref="AH215">AH188*(Houses_with_elec_20/Houses_with_plumbing_20)*((INDEX('DHW Mix'!$AT$7:$BD$30,Homes_calc!$B215-2006,Homes_calc!AH$35+1)))</f>
        <v>0</v>
      </c>
      <c r="AI215" s="21" cm="1">
        <f t="array" ref="AI215">AI188*(Houses_with_elec_20/Houses_with_plumbing_20)*((INDEX('DHW Mix'!$AT$7:$BD$30,Homes_calc!$B215-2006,Homes_calc!AI$35+1)))</f>
        <v>0</v>
      </c>
      <c r="AJ215" s="21" cm="1">
        <f t="array" ref="AJ215">AJ188*(Houses_with_elec_20/Houses_with_plumbing_20)*((INDEX('DHW Mix'!$AT$7:$BD$30,Homes_calc!$B215-2006,Homes_calc!AJ$35+1)))</f>
        <v>0</v>
      </c>
      <c r="AK215" s="21" cm="1">
        <f t="array" ref="AK215">AK188*(Houses_with_elec_20/Houses_with_plumbing_20)*((INDEX('DHW Mix'!$AT$7:$BD$30,Homes_calc!$B215-2006,Homes_calc!AK$35+1)))</f>
        <v>0</v>
      </c>
      <c r="AL215" s="21" cm="1">
        <f t="array" ref="AL215">AL188*(Houses_with_elec_20/Houses_with_plumbing_20)*((INDEX('DHW Mix'!$AT$7:$BD$30,Homes_calc!$B215-2006,Homes_calc!AL$35+1)))</f>
        <v>0</v>
      </c>
      <c r="AM215" s="21" cm="1">
        <f t="array" ref="AM215">AM188*(Houses_with_elec_20/Houses_with_plumbing_20)*((INDEX('DHW Mix'!$AT$7:$BD$30,Homes_calc!$B215-2006,Homes_calc!AM$35+1)))</f>
        <v>0</v>
      </c>
      <c r="AN215" s="21" cm="1">
        <f t="array" ref="AN215">AN188*(Houses_with_elec_20/Houses_with_plumbing_20)*((INDEX('DHW Mix'!$AT$7:$BD$30,Homes_calc!$B215-2006,Homes_calc!AN$35+1)))</f>
        <v>0</v>
      </c>
      <c r="AO215" s="21" cm="1">
        <f t="array" ref="AO215">AO188*(Houses_with_elec_20/Houses_with_plumbing_20)*((INDEX('DHW Mix'!$AT$7:$BD$30,Homes_calc!$B215-2006,Homes_calc!AO$35+1)))</f>
        <v>0</v>
      </c>
      <c r="AP215" s="21" cm="1">
        <f t="array" ref="AP215">AP188*(Houses_with_elec_20/Houses_with_plumbing_20)*((INDEX('DHW Mix'!$AT$7:$BD$30,Homes_calc!$B215-2006,Homes_calc!AP$35+1)))</f>
        <v>0</v>
      </c>
      <c r="AQ215" s="21" cm="1">
        <f t="array" ref="AQ215">AQ188*(Houses_with_elec_20/Houses_with_plumbing_20)*((INDEX('DHW Mix'!$AT$7:$BD$30,Homes_calc!$B215-2006,Homes_calc!AQ$35+1)))</f>
        <v>0</v>
      </c>
      <c r="AR215" s="21" cm="1">
        <f t="array" ref="AR215">AR188*(Houses_with_elec_20/Houses_with_plumbing_20)*((INDEX('DHW Mix'!$AT$7:$BD$30,Homes_calc!$B215-2006,Homes_calc!AR$35+1)))</f>
        <v>0</v>
      </c>
      <c r="AS215" s="21" cm="1">
        <f t="array" ref="AS215">AS188*(Houses_with_elec_20/Houses_with_plumbing_20)*((INDEX('DHW Mix'!$AT$7:$BD$30,Homes_calc!$B215-2006,Homes_calc!AS$35+1)))</f>
        <v>0</v>
      </c>
      <c r="AT215" s="21" cm="1">
        <f t="array" ref="AT215">AT188*(Houses_with_elec_20/Houses_with_plumbing_20)*((INDEX('DHW Mix'!$AT$7:$BD$30,Homes_calc!$B215-2006,Homes_calc!AT$35+1)))</f>
        <v>0</v>
      </c>
      <c r="AU215" s="21" cm="1">
        <f t="array" ref="AU215">AU188*(Houses_with_elec_20/Houses_with_plumbing_20)*((INDEX('DHW Mix'!$AT$7:$BD$30,Homes_calc!$B215-2006,Homes_calc!AU$35+1)))</f>
        <v>0</v>
      </c>
      <c r="AV215" s="21" cm="1">
        <f t="array" ref="AV215">AV188*(Houses_with_elec_20/Houses_with_plumbing_20)*((INDEX('DHW Mix'!$AT$7:$BD$30,Homes_calc!$B215-2006,Homes_calc!AV$35+1)))</f>
        <v>0</v>
      </c>
      <c r="AW215" s="21" cm="1">
        <f t="array" ref="AW215">AW188*(Houses_with_elec_20/Houses_with_plumbing_20)*((INDEX('DHW Mix'!$AT$7:$BD$30,Homes_calc!$B215-2006,Homes_calc!AW$35+1)))</f>
        <v>0</v>
      </c>
      <c r="AX215" s="21" cm="1">
        <f t="array" ref="AX215">AX188*(Houses_with_elec_20/Houses_with_plumbing_20)*((INDEX('DHW Mix'!$AT$7:$BD$30,Homes_calc!$B215-2006,Homes_calc!AX$35+1)))</f>
        <v>0</v>
      </c>
      <c r="AY215" s="21" cm="1">
        <f t="array" ref="AY215">AY188*(Houses_with_elec_20/Houses_with_plumbing_20)*((INDEX('DHW Mix'!$AT$7:$BD$30,Homes_calc!$B215-2006,Homes_calc!AY$35+1)))</f>
        <v>0</v>
      </c>
      <c r="AZ215" s="21" cm="1">
        <f t="array" ref="AZ215">AZ188*(Houses_with_elec_20/Houses_with_plumbing_20)*((INDEX('DHW Mix'!$AT$7:$BD$30,Homes_calc!$B215-2006,Homes_calc!AZ$35+1)))</f>
        <v>0</v>
      </c>
      <c r="BA215" s="21" cm="1">
        <f t="array" ref="BA215">BA188*(Houses_with_elec_20/Houses_with_plumbing_20)*((INDEX('DHW Mix'!$AT$7:$BD$30,Homes_calc!$B215-2006,Homes_calc!BA$35+1)))</f>
        <v>0</v>
      </c>
      <c r="BB215" s="21">
        <f t="shared" si="191"/>
        <v>0</v>
      </c>
      <c r="BC215" s="21"/>
    </row>
    <row r="216" spans="1:55">
      <c r="A216" s="456"/>
      <c r="B216" s="228">
        <v>2021</v>
      </c>
      <c r="C216" s="21" cm="1">
        <f t="array" ref="C216">C189*(Houses_with_elec_21/Houses_with_plumbing_21)*((INDEX('DHW Mix'!$AT$7:$BD$30,Homes_calc!$B216-2006,Homes_calc!C$35+1)))</f>
        <v>0</v>
      </c>
      <c r="D216" s="21" cm="1">
        <f t="array" ref="D216">D189*(Houses_with_elec_21/Houses_with_plumbing_21)*((INDEX('DHW Mix'!$AT$7:$BD$30,Homes_calc!$B216-2006,Homes_calc!D$35+1)))</f>
        <v>0</v>
      </c>
      <c r="E216" s="21" cm="1">
        <f t="array" ref="E216">E189*(Houses_with_elec_21/Houses_with_plumbing_21)*((INDEX('DHW Mix'!$AT$7:$BD$30,Homes_calc!$B216-2006,Homes_calc!E$35+1)))</f>
        <v>0</v>
      </c>
      <c r="F216" s="21" cm="1">
        <f t="array" ref="F216">F189*(Houses_with_elec_21/Houses_with_plumbing_21)*((INDEX('DHW Mix'!$AT$7:$BD$30,Homes_calc!$B216-2006,Homes_calc!F$35+1)))</f>
        <v>0</v>
      </c>
      <c r="G216" s="21" cm="1">
        <f t="array" ref="G216">G189*(Houses_with_elec_21/Houses_with_plumbing_21)*((INDEX('DHW Mix'!$AT$7:$BD$30,Homes_calc!$B216-2006,Homes_calc!G$35+1)))</f>
        <v>0</v>
      </c>
      <c r="H216" s="21" cm="1">
        <f t="array" ref="H216">H189*(Houses_with_elec_21/Houses_with_plumbing_21)*((INDEX('DHW Mix'!$AT$7:$BD$30,Homes_calc!$B216-2006,Homes_calc!H$35+1)))</f>
        <v>0</v>
      </c>
      <c r="I216" s="21" cm="1">
        <f t="array" ref="I216">I189*(Houses_with_elec_21/Houses_with_plumbing_21)*((INDEX('DHW Mix'!$AT$7:$BD$30,Homes_calc!$B216-2006,Homes_calc!I$35+1)))</f>
        <v>0</v>
      </c>
      <c r="J216" s="21" cm="1">
        <f t="array" ref="J216">J189*(Houses_with_elec_21/Houses_with_plumbing_21)*((INDEX('DHW Mix'!$AT$7:$BD$30,Homes_calc!$B216-2006,Homes_calc!J$35+1)))</f>
        <v>0</v>
      </c>
      <c r="K216" s="21" cm="1">
        <f t="array" ref="K216">K189*(Houses_with_elec_21/Houses_with_plumbing_21)*((INDEX('DHW Mix'!$AT$7:$BD$30,Homes_calc!$B216-2006,Homes_calc!K$35+1)))</f>
        <v>0</v>
      </c>
      <c r="L216" s="21" cm="1">
        <f t="array" ref="L216">L189*(Houses_with_elec_21/Houses_with_plumbing_21)*((INDEX('DHW Mix'!$AT$7:$BD$30,Homes_calc!$B216-2006,Homes_calc!L$35+1)))</f>
        <v>0</v>
      </c>
      <c r="M216" s="21" cm="1">
        <f t="array" ref="M216">M189*(Houses_with_elec_21/Houses_with_plumbing_21)*((INDEX('DHW Mix'!$AT$7:$BD$30,Homes_calc!$B216-2006,Homes_calc!M$35+1)))</f>
        <v>0</v>
      </c>
      <c r="N216" s="21" cm="1">
        <f t="array" ref="N216">N189*(Houses_with_elec_21/Houses_with_plumbing_21)*((INDEX('DHW Mix'!$AT$7:$BD$30,Homes_calc!$B216-2006,Homes_calc!N$35+1)))</f>
        <v>0</v>
      </c>
      <c r="O216" s="21" cm="1">
        <f t="array" ref="O216">O189*(Houses_with_elec_21/Houses_with_plumbing_21)*((INDEX('DHW Mix'!$AT$7:$BD$30,Homes_calc!$B216-2006,Homes_calc!O$35+1)))</f>
        <v>0</v>
      </c>
      <c r="P216" s="21" cm="1">
        <f t="array" ref="P216">P189*(Houses_with_elec_21/Houses_with_plumbing_21)*((INDEX('DHW Mix'!$AT$7:$BD$30,Homes_calc!$B216-2006,Homes_calc!P$35+1)))</f>
        <v>0</v>
      </c>
      <c r="Q216" s="21" cm="1">
        <f t="array" ref="Q216">Q189*(Houses_with_elec_21/Houses_with_plumbing_21)*((INDEX('DHW Mix'!$AT$7:$BD$30,Homes_calc!$B216-2006,Homes_calc!Q$35+1)))</f>
        <v>0</v>
      </c>
      <c r="R216" s="21" cm="1">
        <f t="array" ref="R216">R189*(Houses_with_elec_21/Houses_with_plumbing_21)*((INDEX('DHW Mix'!$AT$7:$BD$30,Homes_calc!$B216-2006,Homes_calc!R$35+1)))</f>
        <v>0</v>
      </c>
      <c r="S216" s="21" cm="1">
        <f t="array" ref="S216">S189*(Houses_with_elec_21/Houses_with_plumbing_21)*((INDEX('DHW Mix'!$AT$7:$BD$30,Homes_calc!$B216-2006,Homes_calc!S$35+1)))</f>
        <v>0</v>
      </c>
      <c r="T216" s="21" cm="1">
        <f t="array" ref="T216">T189*(Houses_with_elec_21/Houses_with_plumbing_21)*((INDEX('DHW Mix'!$AT$7:$BD$30,Homes_calc!$B216-2006,Homes_calc!T$35+1)))</f>
        <v>0</v>
      </c>
      <c r="U216" s="21" cm="1">
        <f t="array" ref="U216">U189*(Houses_with_elec_21/Houses_with_plumbing_21)*((INDEX('DHW Mix'!$AT$7:$BD$30,Homes_calc!$B216-2006,Homes_calc!U$35+1)))</f>
        <v>0</v>
      </c>
      <c r="V216" s="21" cm="1">
        <f t="array" ref="V216">V189*(Houses_with_elec_21/Houses_with_plumbing_21)*((INDEX('DHW Mix'!$AT$7:$BD$30,Homes_calc!$B216-2006,Homes_calc!V$35+1)))</f>
        <v>0</v>
      </c>
      <c r="W216" s="21" cm="1">
        <f t="array" ref="W216">W189*(Houses_with_elec_21/Houses_with_plumbing_21)*((INDEX('DHW Mix'!$AT$7:$BD$30,Homes_calc!$B216-2006,Homes_calc!W$35+1)))</f>
        <v>0</v>
      </c>
      <c r="X216" s="21" cm="1">
        <f t="array" ref="X216">X189*(Houses_with_elec_21/Houses_with_plumbing_21)*((INDEX('DHW Mix'!$AT$7:$BD$30,Homes_calc!$B216-2006,Homes_calc!X$35+1)))</f>
        <v>0</v>
      </c>
      <c r="Y216" s="21" cm="1">
        <f t="array" ref="Y216">Y189*(Houses_with_elec_21/Houses_with_plumbing_21)*((INDEX('DHW Mix'!$AT$7:$BD$30,Homes_calc!$B216-2006,Homes_calc!Y$35+1)))</f>
        <v>0</v>
      </c>
      <c r="Z216" s="21" cm="1">
        <f t="array" ref="Z216">Z189*(Houses_with_elec_21/Houses_with_plumbing_21)*((INDEX('DHW Mix'!$AT$7:$BD$30,Homes_calc!$B216-2006,Homes_calc!Z$35+1)))</f>
        <v>0</v>
      </c>
      <c r="AA216" s="21" cm="1">
        <f t="array" ref="AA216">AA189*(Houses_with_elec_21/Houses_with_plumbing_21)*((INDEX('DHW Mix'!$AT$7:$BD$30,Homes_calc!$B216-2006,Homes_calc!AA$35+1)))</f>
        <v>0</v>
      </c>
      <c r="AB216" s="21" cm="1">
        <f t="array" ref="AB216">AB189*(Houses_with_elec_21/Houses_with_plumbing_21)*((INDEX('DHW Mix'!$AT$7:$BD$30,Homes_calc!$B216-2006,Homes_calc!AB$35+1)))</f>
        <v>0</v>
      </c>
      <c r="AC216" s="21" cm="1">
        <f t="array" ref="AC216">AC189*(Houses_with_elec_21/Houses_with_plumbing_21)*((INDEX('DHW Mix'!$AT$7:$BD$30,Homes_calc!$B216-2006,Homes_calc!AC$35+1)))</f>
        <v>0</v>
      </c>
      <c r="AD216" s="21" cm="1">
        <f t="array" ref="AD216">AD189*(Houses_with_elec_21/Houses_with_plumbing_21)*((INDEX('DHW Mix'!$AT$7:$BD$30,Homes_calc!$B216-2006,Homes_calc!AD$35+1)))</f>
        <v>0</v>
      </c>
      <c r="AE216" s="21" cm="1">
        <f t="array" ref="AE216">AE189*(Houses_with_elec_21/Houses_with_plumbing_21)*((INDEX('DHW Mix'!$AT$7:$BD$30,Homes_calc!$B216-2006,Homes_calc!AE$35+1)))</f>
        <v>0</v>
      </c>
      <c r="AF216" s="21" cm="1">
        <f t="array" ref="AF216">AF189*(Houses_with_elec_21/Houses_with_plumbing_21)*((INDEX('DHW Mix'!$AT$7:$BD$30,Homes_calc!$B216-2006,Homes_calc!AF$35+1)))</f>
        <v>0</v>
      </c>
      <c r="AG216" s="21" cm="1">
        <f t="array" ref="AG216">AG189*(Houses_with_elec_21/Houses_with_plumbing_21)*((INDEX('DHW Mix'!$AT$7:$BD$30,Homes_calc!$B216-2006,Homes_calc!AG$35+1)))</f>
        <v>0</v>
      </c>
      <c r="AH216" s="21" cm="1">
        <f t="array" ref="AH216">AH189*(Houses_with_elec_21/Houses_with_plumbing_21)*((INDEX('DHW Mix'!$AT$7:$BD$30,Homes_calc!$B216-2006,Homes_calc!AH$35+1)))</f>
        <v>0</v>
      </c>
      <c r="AI216" s="21" cm="1">
        <f t="array" ref="AI216">AI189*(Houses_with_elec_21/Houses_with_plumbing_21)*((INDEX('DHW Mix'!$AT$7:$BD$30,Homes_calc!$B216-2006,Homes_calc!AI$35+1)))</f>
        <v>0</v>
      </c>
      <c r="AJ216" s="21" cm="1">
        <f t="array" ref="AJ216">AJ189*(Houses_with_elec_21/Houses_with_plumbing_21)*((INDEX('DHW Mix'!$AT$7:$BD$30,Homes_calc!$B216-2006,Homes_calc!AJ$35+1)))</f>
        <v>0</v>
      </c>
      <c r="AK216" s="21" cm="1">
        <f t="array" ref="AK216">AK189*(Houses_with_elec_21/Houses_with_plumbing_21)*((INDEX('DHW Mix'!$AT$7:$BD$30,Homes_calc!$B216-2006,Homes_calc!AK$35+1)))</f>
        <v>0</v>
      </c>
      <c r="AL216" s="21" cm="1">
        <f t="array" ref="AL216">AL189*(Houses_with_elec_21/Houses_with_plumbing_21)*((INDEX('DHW Mix'!$AT$7:$BD$30,Homes_calc!$B216-2006,Homes_calc!AL$35+1)))</f>
        <v>0</v>
      </c>
      <c r="AM216" s="21" cm="1">
        <f t="array" ref="AM216">AM189*(Houses_with_elec_21/Houses_with_plumbing_21)*((INDEX('DHW Mix'!$AT$7:$BD$30,Homes_calc!$B216-2006,Homes_calc!AM$35+1)))</f>
        <v>0</v>
      </c>
      <c r="AN216" s="21" cm="1">
        <f t="array" ref="AN216">AN189*(Houses_with_elec_21/Houses_with_plumbing_21)*((INDEX('DHW Mix'!$AT$7:$BD$30,Homes_calc!$B216-2006,Homes_calc!AN$35+1)))</f>
        <v>0</v>
      </c>
      <c r="AO216" s="21" cm="1">
        <f t="array" ref="AO216">AO189*(Houses_with_elec_21/Houses_with_plumbing_21)*((INDEX('DHW Mix'!$AT$7:$BD$30,Homes_calc!$B216-2006,Homes_calc!AO$35+1)))</f>
        <v>0</v>
      </c>
      <c r="AP216" s="21" cm="1">
        <f t="array" ref="AP216">AP189*(Houses_with_elec_21/Houses_with_plumbing_21)*((INDEX('DHW Mix'!$AT$7:$BD$30,Homes_calc!$B216-2006,Homes_calc!AP$35+1)))</f>
        <v>0</v>
      </c>
      <c r="AQ216" s="21" cm="1">
        <f t="array" ref="AQ216">AQ189*(Houses_with_elec_21/Houses_with_plumbing_21)*((INDEX('DHW Mix'!$AT$7:$BD$30,Homes_calc!$B216-2006,Homes_calc!AQ$35+1)))</f>
        <v>0</v>
      </c>
      <c r="AR216" s="21" cm="1">
        <f t="array" ref="AR216">AR189*(Houses_with_elec_21/Houses_with_plumbing_21)*((INDEX('DHW Mix'!$AT$7:$BD$30,Homes_calc!$B216-2006,Homes_calc!AR$35+1)))</f>
        <v>0</v>
      </c>
      <c r="AS216" s="21" cm="1">
        <f t="array" ref="AS216">AS189*(Houses_with_elec_21/Houses_with_plumbing_21)*((INDEX('DHW Mix'!$AT$7:$BD$30,Homes_calc!$B216-2006,Homes_calc!AS$35+1)))</f>
        <v>0</v>
      </c>
      <c r="AT216" s="21" cm="1">
        <f t="array" ref="AT216">AT189*(Houses_with_elec_21/Houses_with_plumbing_21)*((INDEX('DHW Mix'!$AT$7:$BD$30,Homes_calc!$B216-2006,Homes_calc!AT$35+1)))</f>
        <v>0</v>
      </c>
      <c r="AU216" s="21" cm="1">
        <f t="array" ref="AU216">AU189*(Houses_with_elec_21/Houses_with_plumbing_21)*((INDEX('DHW Mix'!$AT$7:$BD$30,Homes_calc!$B216-2006,Homes_calc!AU$35+1)))</f>
        <v>0</v>
      </c>
      <c r="AV216" s="21" cm="1">
        <f t="array" ref="AV216">AV189*(Houses_with_elec_21/Houses_with_plumbing_21)*((INDEX('DHW Mix'!$AT$7:$BD$30,Homes_calc!$B216-2006,Homes_calc!AV$35+1)))</f>
        <v>0</v>
      </c>
      <c r="AW216" s="21" cm="1">
        <f t="array" ref="AW216">AW189*(Houses_with_elec_21/Houses_with_plumbing_21)*((INDEX('DHW Mix'!$AT$7:$BD$30,Homes_calc!$B216-2006,Homes_calc!AW$35+1)))</f>
        <v>0</v>
      </c>
      <c r="AX216" s="21" cm="1">
        <f t="array" ref="AX216">AX189*(Houses_with_elec_21/Houses_with_plumbing_21)*((INDEX('DHW Mix'!$AT$7:$BD$30,Homes_calc!$B216-2006,Homes_calc!AX$35+1)))</f>
        <v>0</v>
      </c>
      <c r="AY216" s="21" cm="1">
        <f t="array" ref="AY216">AY189*(Houses_with_elec_21/Houses_with_plumbing_21)*((INDEX('DHW Mix'!$AT$7:$BD$30,Homes_calc!$B216-2006,Homes_calc!AY$35+1)))</f>
        <v>0</v>
      </c>
      <c r="AZ216" s="21" cm="1">
        <f t="array" ref="AZ216">AZ189*(Houses_with_elec_21/Houses_with_plumbing_21)*((INDEX('DHW Mix'!$AT$7:$BD$30,Homes_calc!$B216-2006,Homes_calc!AZ$35+1)))</f>
        <v>0</v>
      </c>
      <c r="BA216" s="21" cm="1">
        <f t="array" ref="BA216">BA189*(Houses_with_elec_21/Houses_with_plumbing_21)*((INDEX('DHW Mix'!$AT$7:$BD$30,Homes_calc!$B216-2006,Homes_calc!BA$35+1)))</f>
        <v>0</v>
      </c>
      <c r="BB216" s="21">
        <f t="shared" si="191"/>
        <v>0</v>
      </c>
      <c r="BC216" s="21"/>
    </row>
    <row r="217" spans="1:55">
      <c r="A217" s="456"/>
      <c r="B217" s="226">
        <v>2022</v>
      </c>
      <c r="C217" s="21" cm="1">
        <f t="array" ref="C217">C190*(Houses_with_elec_22/Houses_with_plumbing_22)*((INDEX('DHW Mix'!$AT$7:$BD$30,Homes_calc!$B217-2006,Homes_calc!C$35+1)))</f>
        <v>0</v>
      </c>
      <c r="D217" s="21" cm="1">
        <f t="array" ref="D217">D190*(Houses_with_elec_22/Houses_with_plumbing_22)*((INDEX('DHW Mix'!$AT$7:$BD$30,Homes_calc!$B217-2006,Homes_calc!D$35+1)))</f>
        <v>0</v>
      </c>
      <c r="E217" s="21" cm="1">
        <f t="array" ref="E217">E190*(Houses_with_elec_22/Houses_with_plumbing_22)*((INDEX('DHW Mix'!$AT$7:$BD$30,Homes_calc!$B217-2006,Homes_calc!E$35+1)))</f>
        <v>0</v>
      </c>
      <c r="F217" s="21" cm="1">
        <f t="array" ref="F217">F190*(Houses_with_elec_22/Houses_with_plumbing_22)*((INDEX('DHW Mix'!$AT$7:$BD$30,Homes_calc!$B217-2006,Homes_calc!F$35+1)))</f>
        <v>0</v>
      </c>
      <c r="G217" s="21" cm="1">
        <f t="array" ref="G217">G190*(Houses_with_elec_22/Houses_with_plumbing_22)*((INDEX('DHW Mix'!$AT$7:$BD$30,Homes_calc!$B217-2006,Homes_calc!G$35+1)))</f>
        <v>0</v>
      </c>
      <c r="H217" s="21" cm="1">
        <f t="array" ref="H217">H190*(Houses_with_elec_22/Houses_with_plumbing_22)*((INDEX('DHW Mix'!$AT$7:$BD$30,Homes_calc!$B217-2006,Homes_calc!H$35+1)))</f>
        <v>0</v>
      </c>
      <c r="I217" s="21" cm="1">
        <f t="array" ref="I217">I190*(Houses_with_elec_22/Houses_with_plumbing_22)*((INDEX('DHW Mix'!$AT$7:$BD$30,Homes_calc!$B217-2006,Homes_calc!I$35+1)))</f>
        <v>0</v>
      </c>
      <c r="J217" s="21" cm="1">
        <f t="array" ref="J217">J190*(Houses_with_elec_22/Houses_with_plumbing_22)*((INDEX('DHW Mix'!$AT$7:$BD$30,Homes_calc!$B217-2006,Homes_calc!J$35+1)))</f>
        <v>0</v>
      </c>
      <c r="K217" s="21" cm="1">
        <f t="array" ref="K217">K190*(Houses_with_elec_22/Houses_with_plumbing_22)*((INDEX('DHW Mix'!$AT$7:$BD$30,Homes_calc!$B217-2006,Homes_calc!K$35+1)))</f>
        <v>0</v>
      </c>
      <c r="L217" s="21" cm="1">
        <f t="array" ref="L217">L190*(Houses_with_elec_22/Houses_with_plumbing_22)*((INDEX('DHW Mix'!$AT$7:$BD$30,Homes_calc!$B217-2006,Homes_calc!L$35+1)))</f>
        <v>0</v>
      </c>
      <c r="M217" s="21" cm="1">
        <f t="array" ref="M217">M190*(Houses_with_elec_22/Houses_with_plumbing_22)*((INDEX('DHW Mix'!$AT$7:$BD$30,Homes_calc!$B217-2006,Homes_calc!M$35+1)))</f>
        <v>0</v>
      </c>
      <c r="N217" s="21" cm="1">
        <f t="array" ref="N217">N190*(Houses_with_elec_22/Houses_with_plumbing_22)*((INDEX('DHW Mix'!$AT$7:$BD$30,Homes_calc!$B217-2006,Homes_calc!N$35+1)))</f>
        <v>0</v>
      </c>
      <c r="O217" s="21" cm="1">
        <f t="array" ref="O217">O190*(Houses_with_elec_22/Houses_with_plumbing_22)*((INDEX('DHW Mix'!$AT$7:$BD$30,Homes_calc!$B217-2006,Homes_calc!O$35+1)))</f>
        <v>0</v>
      </c>
      <c r="P217" s="21" cm="1">
        <f t="array" ref="P217">P190*(Houses_with_elec_22/Houses_with_plumbing_22)*((INDEX('DHW Mix'!$AT$7:$BD$30,Homes_calc!$B217-2006,Homes_calc!P$35+1)))</f>
        <v>0</v>
      </c>
      <c r="Q217" s="21" cm="1">
        <f t="array" ref="Q217">Q190*(Houses_with_elec_22/Houses_with_plumbing_22)*((INDEX('DHW Mix'!$AT$7:$BD$30,Homes_calc!$B217-2006,Homes_calc!Q$35+1)))</f>
        <v>0</v>
      </c>
      <c r="R217" s="21" cm="1">
        <f t="array" ref="R217">R190*(Houses_with_elec_22/Houses_with_plumbing_22)*((INDEX('DHW Mix'!$AT$7:$BD$30,Homes_calc!$B217-2006,Homes_calc!R$35+1)))</f>
        <v>0</v>
      </c>
      <c r="S217" s="21" cm="1">
        <f t="array" ref="S217">S190*(Houses_with_elec_22/Houses_with_plumbing_22)*((INDEX('DHW Mix'!$AT$7:$BD$30,Homes_calc!$B217-2006,Homes_calc!S$35+1)))</f>
        <v>0</v>
      </c>
      <c r="T217" s="21" cm="1">
        <f t="array" ref="T217">T190*(Houses_with_elec_22/Houses_with_plumbing_22)*((INDEX('DHW Mix'!$AT$7:$BD$30,Homes_calc!$B217-2006,Homes_calc!T$35+1)))</f>
        <v>0</v>
      </c>
      <c r="U217" s="21" cm="1">
        <f t="array" ref="U217">U190*(Houses_with_elec_22/Houses_with_plumbing_22)*((INDEX('DHW Mix'!$AT$7:$BD$30,Homes_calc!$B217-2006,Homes_calc!U$35+1)))</f>
        <v>0</v>
      </c>
      <c r="V217" s="21" cm="1">
        <f t="array" ref="V217">V190*(Houses_with_elec_22/Houses_with_plumbing_22)*((INDEX('DHW Mix'!$AT$7:$BD$30,Homes_calc!$B217-2006,Homes_calc!V$35+1)))</f>
        <v>0</v>
      </c>
      <c r="W217" s="21" cm="1">
        <f t="array" ref="W217">W190*(Houses_with_elec_22/Houses_with_plumbing_22)*((INDEX('DHW Mix'!$AT$7:$BD$30,Homes_calc!$B217-2006,Homes_calc!W$35+1)))</f>
        <v>0</v>
      </c>
      <c r="X217" s="21" cm="1">
        <f t="array" ref="X217">X190*(Houses_with_elec_22/Houses_with_plumbing_22)*((INDEX('DHW Mix'!$AT$7:$BD$30,Homes_calc!$B217-2006,Homes_calc!X$35+1)))</f>
        <v>0</v>
      </c>
      <c r="Y217" s="21" cm="1">
        <f t="array" ref="Y217">Y190*(Houses_with_elec_22/Houses_with_plumbing_22)*((INDEX('DHW Mix'!$AT$7:$BD$30,Homes_calc!$B217-2006,Homes_calc!Y$35+1)))</f>
        <v>0</v>
      </c>
      <c r="Z217" s="21" cm="1">
        <f t="array" ref="Z217">Z190*(Houses_with_elec_22/Houses_with_plumbing_22)*((INDEX('DHW Mix'!$AT$7:$BD$30,Homes_calc!$B217-2006,Homes_calc!Z$35+1)))</f>
        <v>0</v>
      </c>
      <c r="AA217" s="21" cm="1">
        <f t="array" ref="AA217">AA190*(Houses_with_elec_22/Houses_with_plumbing_22)*((INDEX('DHW Mix'!$AT$7:$BD$30,Homes_calc!$B217-2006,Homes_calc!AA$35+1)))</f>
        <v>0</v>
      </c>
      <c r="AB217" s="21" cm="1">
        <f t="array" ref="AB217">AB190*(Houses_with_elec_22/Houses_with_plumbing_22)*((INDEX('DHW Mix'!$AT$7:$BD$30,Homes_calc!$B217-2006,Homes_calc!AB$35+1)))</f>
        <v>0</v>
      </c>
      <c r="AC217" s="21" cm="1">
        <f t="array" ref="AC217">AC190*(Houses_with_elec_22/Houses_with_plumbing_22)*((INDEX('DHW Mix'!$AT$7:$BD$30,Homes_calc!$B217-2006,Homes_calc!AC$35+1)))</f>
        <v>0</v>
      </c>
      <c r="AD217" s="21" cm="1">
        <f t="array" ref="AD217">AD190*(Houses_with_elec_22/Houses_with_plumbing_22)*((INDEX('DHW Mix'!$AT$7:$BD$30,Homes_calc!$B217-2006,Homes_calc!AD$35+1)))</f>
        <v>0</v>
      </c>
      <c r="AE217" s="21" cm="1">
        <f t="array" ref="AE217">AE190*(Houses_with_elec_22/Houses_with_plumbing_22)*((INDEX('DHW Mix'!$AT$7:$BD$30,Homes_calc!$B217-2006,Homes_calc!AE$35+1)))</f>
        <v>0</v>
      </c>
      <c r="AF217" s="21" cm="1">
        <f t="array" ref="AF217">AF190*(Houses_with_elec_22/Houses_with_plumbing_22)*((INDEX('DHW Mix'!$AT$7:$BD$30,Homes_calc!$B217-2006,Homes_calc!AF$35+1)))</f>
        <v>0</v>
      </c>
      <c r="AG217" s="21" cm="1">
        <f t="array" ref="AG217">AG190*(Houses_with_elec_22/Houses_with_plumbing_22)*((INDEX('DHW Mix'!$AT$7:$BD$30,Homes_calc!$B217-2006,Homes_calc!AG$35+1)))</f>
        <v>0</v>
      </c>
      <c r="AH217" s="21" cm="1">
        <f t="array" ref="AH217">AH190*(Houses_with_elec_22/Houses_with_plumbing_22)*((INDEX('DHW Mix'!$AT$7:$BD$30,Homes_calc!$B217-2006,Homes_calc!AH$35+1)))</f>
        <v>0</v>
      </c>
      <c r="AI217" s="21" cm="1">
        <f t="array" ref="AI217">AI190*(Houses_with_elec_22/Houses_with_plumbing_22)*((INDEX('DHW Mix'!$AT$7:$BD$30,Homes_calc!$B217-2006,Homes_calc!AI$35+1)))</f>
        <v>0</v>
      </c>
      <c r="AJ217" s="21" cm="1">
        <f t="array" ref="AJ217">AJ190*(Houses_with_elec_22/Houses_with_plumbing_22)*((INDEX('DHW Mix'!$AT$7:$BD$30,Homes_calc!$B217-2006,Homes_calc!AJ$35+1)))</f>
        <v>0</v>
      </c>
      <c r="AK217" s="21" cm="1">
        <f t="array" ref="AK217">AK190*(Houses_with_elec_22/Houses_with_plumbing_22)*((INDEX('DHW Mix'!$AT$7:$BD$30,Homes_calc!$B217-2006,Homes_calc!AK$35+1)))</f>
        <v>0</v>
      </c>
      <c r="AL217" s="21" cm="1">
        <f t="array" ref="AL217">AL190*(Houses_with_elec_22/Houses_with_plumbing_22)*((INDEX('DHW Mix'!$AT$7:$BD$30,Homes_calc!$B217-2006,Homes_calc!AL$35+1)))</f>
        <v>0</v>
      </c>
      <c r="AM217" s="21" cm="1">
        <f t="array" ref="AM217">AM190*(Houses_with_elec_22/Houses_with_plumbing_22)*((INDEX('DHW Mix'!$AT$7:$BD$30,Homes_calc!$B217-2006,Homes_calc!AM$35+1)))</f>
        <v>0</v>
      </c>
      <c r="AN217" s="21" cm="1">
        <f t="array" ref="AN217">AN190*(Houses_with_elec_22/Houses_with_plumbing_22)*((INDEX('DHW Mix'!$AT$7:$BD$30,Homes_calc!$B217-2006,Homes_calc!AN$35+1)))</f>
        <v>0</v>
      </c>
      <c r="AO217" s="21" cm="1">
        <f t="array" ref="AO217">AO190*(Houses_with_elec_22/Houses_with_plumbing_22)*((INDEX('DHW Mix'!$AT$7:$BD$30,Homes_calc!$B217-2006,Homes_calc!AO$35+1)))</f>
        <v>0</v>
      </c>
      <c r="AP217" s="21" cm="1">
        <f t="array" ref="AP217">AP190*(Houses_with_elec_22/Houses_with_plumbing_22)*((INDEX('DHW Mix'!$AT$7:$BD$30,Homes_calc!$B217-2006,Homes_calc!AP$35+1)))</f>
        <v>0</v>
      </c>
      <c r="AQ217" s="21" cm="1">
        <f t="array" ref="AQ217">AQ190*(Houses_with_elec_22/Houses_with_plumbing_22)*((INDEX('DHW Mix'!$AT$7:$BD$30,Homes_calc!$B217-2006,Homes_calc!AQ$35+1)))</f>
        <v>0</v>
      </c>
      <c r="AR217" s="21" cm="1">
        <f t="array" ref="AR217">AR190*(Houses_with_elec_22/Houses_with_plumbing_22)*((INDEX('DHW Mix'!$AT$7:$BD$30,Homes_calc!$B217-2006,Homes_calc!AR$35+1)))</f>
        <v>0</v>
      </c>
      <c r="AS217" s="21" cm="1">
        <f t="array" ref="AS217">AS190*(Houses_with_elec_22/Houses_with_plumbing_22)*((INDEX('DHW Mix'!$AT$7:$BD$30,Homes_calc!$B217-2006,Homes_calc!AS$35+1)))</f>
        <v>0</v>
      </c>
      <c r="AT217" s="21" cm="1">
        <f t="array" ref="AT217">AT190*(Houses_with_elec_22/Houses_with_plumbing_22)*((INDEX('DHW Mix'!$AT$7:$BD$30,Homes_calc!$B217-2006,Homes_calc!AT$35+1)))</f>
        <v>0</v>
      </c>
      <c r="AU217" s="21" cm="1">
        <f t="array" ref="AU217">AU190*(Houses_with_elec_22/Houses_with_plumbing_22)*((INDEX('DHW Mix'!$AT$7:$BD$30,Homes_calc!$B217-2006,Homes_calc!AU$35+1)))</f>
        <v>0</v>
      </c>
      <c r="AV217" s="21" cm="1">
        <f t="array" ref="AV217">AV190*(Houses_with_elec_22/Houses_with_plumbing_22)*((INDEX('DHW Mix'!$AT$7:$BD$30,Homes_calc!$B217-2006,Homes_calc!AV$35+1)))</f>
        <v>0</v>
      </c>
      <c r="AW217" s="21" cm="1">
        <f t="array" ref="AW217">AW190*(Houses_with_elec_22/Houses_with_plumbing_22)*((INDEX('DHW Mix'!$AT$7:$BD$30,Homes_calc!$B217-2006,Homes_calc!AW$35+1)))</f>
        <v>0</v>
      </c>
      <c r="AX217" s="21" cm="1">
        <f t="array" ref="AX217">AX190*(Houses_with_elec_22/Houses_with_plumbing_22)*((INDEX('DHW Mix'!$AT$7:$BD$30,Homes_calc!$B217-2006,Homes_calc!AX$35+1)))</f>
        <v>0</v>
      </c>
      <c r="AY217" s="21" cm="1">
        <f t="array" ref="AY217">AY190*(Houses_with_elec_22/Houses_with_plumbing_22)*((INDEX('DHW Mix'!$AT$7:$BD$30,Homes_calc!$B217-2006,Homes_calc!AY$35+1)))</f>
        <v>0</v>
      </c>
      <c r="AZ217" s="21" cm="1">
        <f t="array" ref="AZ217">AZ190*(Houses_with_elec_22/Houses_with_plumbing_22)*((INDEX('DHW Mix'!$AT$7:$BD$30,Homes_calc!$B217-2006,Homes_calc!AZ$35+1)))</f>
        <v>0</v>
      </c>
      <c r="BA217" s="21" cm="1">
        <f t="array" ref="BA217">BA190*(Houses_with_elec_22/Houses_with_plumbing_22)*((INDEX('DHW Mix'!$AT$7:$BD$30,Homes_calc!$B217-2006,Homes_calc!BA$35+1)))</f>
        <v>0</v>
      </c>
      <c r="BB217" s="21">
        <f t="shared" si="191"/>
        <v>0</v>
      </c>
      <c r="BC217" s="21"/>
    </row>
    <row r="218" spans="1:55">
      <c r="A218" s="456"/>
      <c r="B218" s="228">
        <v>2023</v>
      </c>
      <c r="C218" s="21" cm="1">
        <f t="array" ref="C218">C191*(Houses_with_elec_23/Houses_with_plumbing_23)*((INDEX('DHW Mix'!$AT$7:$BD$30,Homes_calc!$B218-2006,Homes_calc!C$35+1)))</f>
        <v>0</v>
      </c>
      <c r="D218" s="21" cm="1">
        <f t="array" ref="D218">D191*(Houses_with_elec_23/Houses_with_plumbing_23)*((INDEX('DHW Mix'!$AT$7:$BD$30,Homes_calc!$B218-2006,Homes_calc!D$35+1)))</f>
        <v>0</v>
      </c>
      <c r="E218" s="21" cm="1">
        <f t="array" ref="E218">E191*(Houses_with_elec_23/Houses_with_plumbing_23)*((INDEX('DHW Mix'!$AT$7:$BD$30,Homes_calc!$B218-2006,Homes_calc!E$35+1)))</f>
        <v>0</v>
      </c>
      <c r="F218" s="21" cm="1">
        <f t="array" ref="F218">F191*(Houses_with_elec_23/Houses_with_plumbing_23)*((INDEX('DHW Mix'!$AT$7:$BD$30,Homes_calc!$B218-2006,Homes_calc!F$35+1)))</f>
        <v>0</v>
      </c>
      <c r="G218" s="21" cm="1">
        <f t="array" ref="G218">G191*(Houses_with_elec_23/Houses_with_plumbing_23)*((INDEX('DHW Mix'!$AT$7:$BD$30,Homes_calc!$B218-2006,Homes_calc!G$35+1)))</f>
        <v>0</v>
      </c>
      <c r="H218" s="21" cm="1">
        <f t="array" ref="H218">H191*(Houses_with_elec_23/Houses_with_plumbing_23)*((INDEX('DHW Mix'!$AT$7:$BD$30,Homes_calc!$B218-2006,Homes_calc!H$35+1)))</f>
        <v>0</v>
      </c>
      <c r="I218" s="21" cm="1">
        <f t="array" ref="I218">I191*(Houses_with_elec_23/Houses_with_plumbing_23)*((INDEX('DHW Mix'!$AT$7:$BD$30,Homes_calc!$B218-2006,Homes_calc!I$35+1)))</f>
        <v>0</v>
      </c>
      <c r="J218" s="21" cm="1">
        <f t="array" ref="J218">J191*(Houses_with_elec_23/Houses_with_plumbing_23)*((INDEX('DHW Mix'!$AT$7:$BD$30,Homes_calc!$B218-2006,Homes_calc!J$35+1)))</f>
        <v>0</v>
      </c>
      <c r="K218" s="21" cm="1">
        <f t="array" ref="K218">K191*(Houses_with_elec_23/Houses_with_plumbing_23)*((INDEX('DHW Mix'!$AT$7:$BD$30,Homes_calc!$B218-2006,Homes_calc!K$35+1)))</f>
        <v>0</v>
      </c>
      <c r="L218" s="21" cm="1">
        <f t="array" ref="L218">L191*(Houses_with_elec_23/Houses_with_plumbing_23)*((INDEX('DHW Mix'!$AT$7:$BD$30,Homes_calc!$B218-2006,Homes_calc!L$35+1)))</f>
        <v>0</v>
      </c>
      <c r="M218" s="21" cm="1">
        <f t="array" ref="M218">M191*(Houses_with_elec_23/Houses_with_plumbing_23)*((INDEX('DHW Mix'!$AT$7:$BD$30,Homes_calc!$B218-2006,Homes_calc!M$35+1)))</f>
        <v>0</v>
      </c>
      <c r="N218" s="21" cm="1">
        <f t="array" ref="N218">N191*(Houses_with_elec_23/Houses_with_plumbing_23)*((INDEX('DHW Mix'!$AT$7:$BD$30,Homes_calc!$B218-2006,Homes_calc!N$35+1)))</f>
        <v>0</v>
      </c>
      <c r="O218" s="21" cm="1">
        <f t="array" ref="O218">O191*(Houses_with_elec_23/Houses_with_plumbing_23)*((INDEX('DHW Mix'!$AT$7:$BD$30,Homes_calc!$B218-2006,Homes_calc!O$35+1)))</f>
        <v>0</v>
      </c>
      <c r="P218" s="21" cm="1">
        <f t="array" ref="P218">P191*(Houses_with_elec_23/Houses_with_plumbing_23)*((INDEX('DHW Mix'!$AT$7:$BD$30,Homes_calc!$B218-2006,Homes_calc!P$35+1)))</f>
        <v>0</v>
      </c>
      <c r="Q218" s="21" cm="1">
        <f t="array" ref="Q218">Q191*(Houses_with_elec_23/Houses_with_plumbing_23)*((INDEX('DHW Mix'!$AT$7:$BD$30,Homes_calc!$B218-2006,Homes_calc!Q$35+1)))</f>
        <v>0</v>
      </c>
      <c r="R218" s="21" cm="1">
        <f t="array" ref="R218">R191*(Houses_with_elec_23/Houses_with_plumbing_23)*((INDEX('DHW Mix'!$AT$7:$BD$30,Homes_calc!$B218-2006,Homes_calc!R$35+1)))</f>
        <v>0</v>
      </c>
      <c r="S218" s="21" cm="1">
        <f t="array" ref="S218">S191*(Houses_with_elec_23/Houses_with_plumbing_23)*((INDEX('DHW Mix'!$AT$7:$BD$30,Homes_calc!$B218-2006,Homes_calc!S$35+1)))</f>
        <v>0</v>
      </c>
      <c r="T218" s="21" cm="1">
        <f t="array" ref="T218">T191*(Houses_with_elec_23/Houses_with_plumbing_23)*((INDEX('DHW Mix'!$AT$7:$BD$30,Homes_calc!$B218-2006,Homes_calc!T$35+1)))</f>
        <v>0</v>
      </c>
      <c r="U218" s="21" cm="1">
        <f t="array" ref="U218">U191*(Houses_with_elec_23/Houses_with_plumbing_23)*((INDEX('DHW Mix'!$AT$7:$BD$30,Homes_calc!$B218-2006,Homes_calc!U$35+1)))</f>
        <v>0</v>
      </c>
      <c r="V218" s="21" cm="1">
        <f t="array" ref="V218">V191*(Houses_with_elec_23/Houses_with_plumbing_23)*((INDEX('DHW Mix'!$AT$7:$BD$30,Homes_calc!$B218-2006,Homes_calc!V$35+1)))</f>
        <v>0</v>
      </c>
      <c r="W218" s="21" cm="1">
        <f t="array" ref="W218">W191*(Houses_with_elec_23/Houses_with_plumbing_23)*((INDEX('DHW Mix'!$AT$7:$BD$30,Homes_calc!$B218-2006,Homes_calc!W$35+1)))</f>
        <v>0</v>
      </c>
      <c r="X218" s="21" cm="1">
        <f t="array" ref="X218">X191*(Houses_with_elec_23/Houses_with_plumbing_23)*((INDEX('DHW Mix'!$AT$7:$BD$30,Homes_calc!$B218-2006,Homes_calc!X$35+1)))</f>
        <v>0</v>
      </c>
      <c r="Y218" s="21" cm="1">
        <f t="array" ref="Y218">Y191*(Houses_with_elec_23/Houses_with_plumbing_23)*((INDEX('DHW Mix'!$AT$7:$BD$30,Homes_calc!$B218-2006,Homes_calc!Y$35+1)))</f>
        <v>0</v>
      </c>
      <c r="Z218" s="21" cm="1">
        <f t="array" ref="Z218">Z191*(Houses_with_elec_23/Houses_with_plumbing_23)*((INDEX('DHW Mix'!$AT$7:$BD$30,Homes_calc!$B218-2006,Homes_calc!Z$35+1)))</f>
        <v>0</v>
      </c>
      <c r="AA218" s="21" cm="1">
        <f t="array" ref="AA218">AA191*(Houses_with_elec_23/Houses_with_plumbing_23)*((INDEX('DHW Mix'!$AT$7:$BD$30,Homes_calc!$B218-2006,Homes_calc!AA$35+1)))</f>
        <v>0</v>
      </c>
      <c r="AB218" s="21" cm="1">
        <f t="array" ref="AB218">AB191*(Houses_with_elec_23/Houses_with_plumbing_23)*((INDEX('DHW Mix'!$AT$7:$BD$30,Homes_calc!$B218-2006,Homes_calc!AB$35+1)))</f>
        <v>0</v>
      </c>
      <c r="AC218" s="21" cm="1">
        <f t="array" ref="AC218">AC191*(Houses_with_elec_23/Houses_with_plumbing_23)*((INDEX('DHW Mix'!$AT$7:$BD$30,Homes_calc!$B218-2006,Homes_calc!AC$35+1)))</f>
        <v>0</v>
      </c>
      <c r="AD218" s="21" cm="1">
        <f t="array" ref="AD218">AD191*(Houses_with_elec_23/Houses_with_plumbing_23)*((INDEX('DHW Mix'!$AT$7:$BD$30,Homes_calc!$B218-2006,Homes_calc!AD$35+1)))</f>
        <v>0</v>
      </c>
      <c r="AE218" s="21" cm="1">
        <f t="array" ref="AE218">AE191*(Houses_with_elec_23/Houses_with_plumbing_23)*((INDEX('DHW Mix'!$AT$7:$BD$30,Homes_calc!$B218-2006,Homes_calc!AE$35+1)))</f>
        <v>0</v>
      </c>
      <c r="AF218" s="21" cm="1">
        <f t="array" ref="AF218">AF191*(Houses_with_elec_23/Houses_with_plumbing_23)*((INDEX('DHW Mix'!$AT$7:$BD$30,Homes_calc!$B218-2006,Homes_calc!AF$35+1)))</f>
        <v>0</v>
      </c>
      <c r="AG218" s="21" cm="1">
        <f t="array" ref="AG218">AG191*(Houses_with_elec_23/Houses_with_plumbing_23)*((INDEX('DHW Mix'!$AT$7:$BD$30,Homes_calc!$B218-2006,Homes_calc!AG$35+1)))</f>
        <v>0</v>
      </c>
      <c r="AH218" s="21" cm="1">
        <f t="array" ref="AH218">AH191*(Houses_with_elec_23/Houses_with_plumbing_23)*((INDEX('DHW Mix'!$AT$7:$BD$30,Homes_calc!$B218-2006,Homes_calc!AH$35+1)))</f>
        <v>0</v>
      </c>
      <c r="AI218" s="21" cm="1">
        <f t="array" ref="AI218">AI191*(Houses_with_elec_23/Houses_with_plumbing_23)*((INDEX('DHW Mix'!$AT$7:$BD$30,Homes_calc!$B218-2006,Homes_calc!AI$35+1)))</f>
        <v>0</v>
      </c>
      <c r="AJ218" s="21" cm="1">
        <f t="array" ref="AJ218">AJ191*(Houses_with_elec_23/Houses_with_plumbing_23)*((INDEX('DHW Mix'!$AT$7:$BD$30,Homes_calc!$B218-2006,Homes_calc!AJ$35+1)))</f>
        <v>0</v>
      </c>
      <c r="AK218" s="21" cm="1">
        <f t="array" ref="AK218">AK191*(Houses_with_elec_23/Houses_with_plumbing_23)*((INDEX('DHW Mix'!$AT$7:$BD$30,Homes_calc!$B218-2006,Homes_calc!AK$35+1)))</f>
        <v>0</v>
      </c>
      <c r="AL218" s="21" cm="1">
        <f t="array" ref="AL218">AL191*(Houses_with_elec_23/Houses_with_plumbing_23)*((INDEX('DHW Mix'!$AT$7:$BD$30,Homes_calc!$B218-2006,Homes_calc!AL$35+1)))</f>
        <v>0</v>
      </c>
      <c r="AM218" s="21" cm="1">
        <f t="array" ref="AM218">AM191*(Houses_with_elec_23/Houses_with_plumbing_23)*((INDEX('DHW Mix'!$AT$7:$BD$30,Homes_calc!$B218-2006,Homes_calc!AM$35+1)))</f>
        <v>0</v>
      </c>
      <c r="AN218" s="21" cm="1">
        <f t="array" ref="AN218">AN191*(Houses_with_elec_23/Houses_with_plumbing_23)*((INDEX('DHW Mix'!$AT$7:$BD$30,Homes_calc!$B218-2006,Homes_calc!AN$35+1)))</f>
        <v>0</v>
      </c>
      <c r="AO218" s="21" cm="1">
        <f t="array" ref="AO218">AO191*(Houses_with_elec_23/Houses_with_plumbing_23)*((INDEX('DHW Mix'!$AT$7:$BD$30,Homes_calc!$B218-2006,Homes_calc!AO$35+1)))</f>
        <v>0</v>
      </c>
      <c r="AP218" s="21" cm="1">
        <f t="array" ref="AP218">AP191*(Houses_with_elec_23/Houses_with_plumbing_23)*((INDEX('DHW Mix'!$AT$7:$BD$30,Homes_calc!$B218-2006,Homes_calc!AP$35+1)))</f>
        <v>0</v>
      </c>
      <c r="AQ218" s="21" cm="1">
        <f t="array" ref="AQ218">AQ191*(Houses_with_elec_23/Houses_with_plumbing_23)*((INDEX('DHW Mix'!$AT$7:$BD$30,Homes_calc!$B218-2006,Homes_calc!AQ$35+1)))</f>
        <v>0</v>
      </c>
      <c r="AR218" s="21" cm="1">
        <f t="array" ref="AR218">AR191*(Houses_with_elec_23/Houses_with_plumbing_23)*((INDEX('DHW Mix'!$AT$7:$BD$30,Homes_calc!$B218-2006,Homes_calc!AR$35+1)))</f>
        <v>0</v>
      </c>
      <c r="AS218" s="21" cm="1">
        <f t="array" ref="AS218">AS191*(Houses_with_elec_23/Houses_with_plumbing_23)*((INDEX('DHW Mix'!$AT$7:$BD$30,Homes_calc!$B218-2006,Homes_calc!AS$35+1)))</f>
        <v>0</v>
      </c>
      <c r="AT218" s="21" cm="1">
        <f t="array" ref="AT218">AT191*(Houses_with_elec_23/Houses_with_plumbing_23)*((INDEX('DHW Mix'!$AT$7:$BD$30,Homes_calc!$B218-2006,Homes_calc!AT$35+1)))</f>
        <v>0</v>
      </c>
      <c r="AU218" s="21" cm="1">
        <f t="array" ref="AU218">AU191*(Houses_with_elec_23/Houses_with_plumbing_23)*((INDEX('DHW Mix'!$AT$7:$BD$30,Homes_calc!$B218-2006,Homes_calc!AU$35+1)))</f>
        <v>0</v>
      </c>
      <c r="AV218" s="21" cm="1">
        <f t="array" ref="AV218">AV191*(Houses_with_elec_23/Houses_with_plumbing_23)*((INDEX('DHW Mix'!$AT$7:$BD$30,Homes_calc!$B218-2006,Homes_calc!AV$35+1)))</f>
        <v>0</v>
      </c>
      <c r="AW218" s="21" cm="1">
        <f t="array" ref="AW218">AW191*(Houses_with_elec_23/Houses_with_plumbing_23)*((INDEX('DHW Mix'!$AT$7:$BD$30,Homes_calc!$B218-2006,Homes_calc!AW$35+1)))</f>
        <v>0</v>
      </c>
      <c r="AX218" s="21" cm="1">
        <f t="array" ref="AX218">AX191*(Houses_with_elec_23/Houses_with_plumbing_23)*((INDEX('DHW Mix'!$AT$7:$BD$30,Homes_calc!$B218-2006,Homes_calc!AX$35+1)))</f>
        <v>0</v>
      </c>
      <c r="AY218" s="21" cm="1">
        <f t="array" ref="AY218">AY191*(Houses_with_elec_23/Houses_with_plumbing_23)*((INDEX('DHW Mix'!$AT$7:$BD$30,Homes_calc!$B218-2006,Homes_calc!AY$35+1)))</f>
        <v>0</v>
      </c>
      <c r="AZ218" s="21" cm="1">
        <f t="array" ref="AZ218">AZ191*(Houses_with_elec_23/Houses_with_plumbing_23)*((INDEX('DHW Mix'!$AT$7:$BD$30,Homes_calc!$B218-2006,Homes_calc!AZ$35+1)))</f>
        <v>0</v>
      </c>
      <c r="BA218" s="21" cm="1">
        <f t="array" ref="BA218">BA191*(Houses_with_elec_23/Houses_with_plumbing_23)*((INDEX('DHW Mix'!$AT$7:$BD$30,Homes_calc!$B218-2006,Homes_calc!BA$35+1)))</f>
        <v>0</v>
      </c>
      <c r="BB218" s="21">
        <f t="shared" si="191"/>
        <v>0</v>
      </c>
      <c r="BC218" s="21"/>
    </row>
    <row r="219" spans="1:55">
      <c r="A219" s="456"/>
      <c r="B219" s="226">
        <v>2024</v>
      </c>
      <c r="C219" s="21" cm="1">
        <f t="array" ref="C219">C192*(Houses_with_elec_24/Houses_with_plumbing_24)*((INDEX('DHW Mix'!$AT$7:$BD$30,Homes_calc!$B219-2006,Homes_calc!C$35+1)))</f>
        <v>0</v>
      </c>
      <c r="D219" s="21" cm="1">
        <f t="array" ref="D219">D192*(Houses_with_elec_24/Houses_with_plumbing_24)*((INDEX('DHW Mix'!$AT$7:$BD$30,Homes_calc!$B219-2006,Homes_calc!D$35+1)))</f>
        <v>0</v>
      </c>
      <c r="E219" s="21" cm="1">
        <f t="array" ref="E219">E192*(Houses_with_elec_24/Houses_with_plumbing_24)*((INDEX('DHW Mix'!$AT$7:$BD$30,Homes_calc!$B219-2006,Homes_calc!E$35+1)))</f>
        <v>0</v>
      </c>
      <c r="F219" s="21" cm="1">
        <f t="array" ref="F219">F192*(Houses_with_elec_24/Houses_with_plumbing_24)*((INDEX('DHW Mix'!$AT$7:$BD$30,Homes_calc!$B219-2006,Homes_calc!F$35+1)))</f>
        <v>0</v>
      </c>
      <c r="G219" s="21" cm="1">
        <f t="array" ref="G219">G192*(Houses_with_elec_24/Houses_with_plumbing_24)*((INDEX('DHW Mix'!$AT$7:$BD$30,Homes_calc!$B219-2006,Homes_calc!G$35+1)))</f>
        <v>0</v>
      </c>
      <c r="H219" s="21" cm="1">
        <f t="array" ref="H219">H192*(Houses_with_elec_24/Houses_with_plumbing_24)*((INDEX('DHW Mix'!$AT$7:$BD$30,Homes_calc!$B219-2006,Homes_calc!H$35+1)))</f>
        <v>0</v>
      </c>
      <c r="I219" s="21" cm="1">
        <f t="array" ref="I219">I192*(Houses_with_elec_24/Houses_with_plumbing_24)*((INDEX('DHW Mix'!$AT$7:$BD$30,Homes_calc!$B219-2006,Homes_calc!I$35+1)))</f>
        <v>0</v>
      </c>
      <c r="J219" s="21" cm="1">
        <f t="array" ref="J219">J192*(Houses_with_elec_24/Houses_with_plumbing_24)*((INDEX('DHW Mix'!$AT$7:$BD$30,Homes_calc!$B219-2006,Homes_calc!J$35+1)))</f>
        <v>0</v>
      </c>
      <c r="K219" s="21" cm="1">
        <f t="array" ref="K219">K192*(Houses_with_elec_24/Houses_with_plumbing_24)*((INDEX('DHW Mix'!$AT$7:$BD$30,Homes_calc!$B219-2006,Homes_calc!K$35+1)))</f>
        <v>0</v>
      </c>
      <c r="L219" s="21" cm="1">
        <f t="array" ref="L219">L192*(Houses_with_elec_24/Houses_with_plumbing_24)*((INDEX('DHW Mix'!$AT$7:$BD$30,Homes_calc!$B219-2006,Homes_calc!L$35+1)))</f>
        <v>0</v>
      </c>
      <c r="M219" s="21" cm="1">
        <f t="array" ref="M219">M192*(Houses_with_elec_24/Houses_with_plumbing_24)*((INDEX('DHW Mix'!$AT$7:$BD$30,Homes_calc!$B219-2006,Homes_calc!M$35+1)))</f>
        <v>0</v>
      </c>
      <c r="N219" s="21" cm="1">
        <f t="array" ref="N219">N192*(Houses_with_elec_24/Houses_with_plumbing_24)*((INDEX('DHW Mix'!$AT$7:$BD$30,Homes_calc!$B219-2006,Homes_calc!N$35+1)))</f>
        <v>0</v>
      </c>
      <c r="O219" s="21" cm="1">
        <f t="array" ref="O219">O192*(Houses_with_elec_24/Houses_with_plumbing_24)*((INDEX('DHW Mix'!$AT$7:$BD$30,Homes_calc!$B219-2006,Homes_calc!O$35+1)))</f>
        <v>0</v>
      </c>
      <c r="P219" s="21" cm="1">
        <f t="array" ref="P219">P192*(Houses_with_elec_24/Houses_with_plumbing_24)*((INDEX('DHW Mix'!$AT$7:$BD$30,Homes_calc!$B219-2006,Homes_calc!P$35+1)))</f>
        <v>0</v>
      </c>
      <c r="Q219" s="21" cm="1">
        <f t="array" ref="Q219">Q192*(Houses_with_elec_24/Houses_with_plumbing_24)*((INDEX('DHW Mix'!$AT$7:$BD$30,Homes_calc!$B219-2006,Homes_calc!Q$35+1)))</f>
        <v>0</v>
      </c>
      <c r="R219" s="21" cm="1">
        <f t="array" ref="R219">R192*(Houses_with_elec_24/Houses_with_plumbing_24)*((INDEX('DHW Mix'!$AT$7:$BD$30,Homes_calc!$B219-2006,Homes_calc!R$35+1)))</f>
        <v>0</v>
      </c>
      <c r="S219" s="21" cm="1">
        <f t="array" ref="S219">S192*(Houses_with_elec_24/Houses_with_plumbing_24)*((INDEX('DHW Mix'!$AT$7:$BD$30,Homes_calc!$B219-2006,Homes_calc!S$35+1)))</f>
        <v>0</v>
      </c>
      <c r="T219" s="21" cm="1">
        <f t="array" ref="T219">T192*(Houses_with_elec_24/Houses_with_plumbing_24)*((INDEX('DHW Mix'!$AT$7:$BD$30,Homes_calc!$B219-2006,Homes_calc!T$35+1)))</f>
        <v>0</v>
      </c>
      <c r="U219" s="21" cm="1">
        <f t="array" ref="U219">U192*(Houses_with_elec_24/Houses_with_plumbing_24)*((INDEX('DHW Mix'!$AT$7:$BD$30,Homes_calc!$B219-2006,Homes_calc!U$35+1)))</f>
        <v>0</v>
      </c>
      <c r="V219" s="21" cm="1">
        <f t="array" ref="V219">V192*(Houses_with_elec_24/Houses_with_plumbing_24)*((INDEX('DHW Mix'!$AT$7:$BD$30,Homes_calc!$B219-2006,Homes_calc!V$35+1)))</f>
        <v>0</v>
      </c>
      <c r="W219" s="21" cm="1">
        <f t="array" ref="W219">W192*(Houses_with_elec_24/Houses_with_plumbing_24)*((INDEX('DHW Mix'!$AT$7:$BD$30,Homes_calc!$B219-2006,Homes_calc!W$35+1)))</f>
        <v>0</v>
      </c>
      <c r="X219" s="21" cm="1">
        <f t="array" ref="X219">X192*(Houses_with_elec_24/Houses_with_plumbing_24)*((INDEX('DHW Mix'!$AT$7:$BD$30,Homes_calc!$B219-2006,Homes_calc!X$35+1)))</f>
        <v>0</v>
      </c>
      <c r="Y219" s="21" cm="1">
        <f t="array" ref="Y219">Y192*(Houses_with_elec_24/Houses_with_plumbing_24)*((INDEX('DHW Mix'!$AT$7:$BD$30,Homes_calc!$B219-2006,Homes_calc!Y$35+1)))</f>
        <v>0</v>
      </c>
      <c r="Z219" s="21" cm="1">
        <f t="array" ref="Z219">Z192*(Houses_with_elec_24/Houses_with_plumbing_24)*((INDEX('DHW Mix'!$AT$7:$BD$30,Homes_calc!$B219-2006,Homes_calc!Z$35+1)))</f>
        <v>0</v>
      </c>
      <c r="AA219" s="21" cm="1">
        <f t="array" ref="AA219">AA192*(Houses_with_elec_24/Houses_with_plumbing_24)*((INDEX('DHW Mix'!$AT$7:$BD$30,Homes_calc!$B219-2006,Homes_calc!AA$35+1)))</f>
        <v>0</v>
      </c>
      <c r="AB219" s="21" cm="1">
        <f t="array" ref="AB219">AB192*(Houses_with_elec_24/Houses_with_plumbing_24)*((INDEX('DHW Mix'!$AT$7:$BD$30,Homes_calc!$B219-2006,Homes_calc!AB$35+1)))</f>
        <v>0</v>
      </c>
      <c r="AC219" s="21" cm="1">
        <f t="array" ref="AC219">AC192*(Houses_with_elec_24/Houses_with_plumbing_24)*((INDEX('DHW Mix'!$AT$7:$BD$30,Homes_calc!$B219-2006,Homes_calc!AC$35+1)))</f>
        <v>0</v>
      </c>
      <c r="AD219" s="21" cm="1">
        <f t="array" ref="AD219">AD192*(Houses_with_elec_24/Houses_with_plumbing_24)*((INDEX('DHW Mix'!$AT$7:$BD$30,Homes_calc!$B219-2006,Homes_calc!AD$35+1)))</f>
        <v>0</v>
      </c>
      <c r="AE219" s="21" cm="1">
        <f t="array" ref="AE219">AE192*(Houses_with_elec_24/Houses_with_plumbing_24)*((INDEX('DHW Mix'!$AT$7:$BD$30,Homes_calc!$B219-2006,Homes_calc!AE$35+1)))</f>
        <v>0</v>
      </c>
      <c r="AF219" s="21" cm="1">
        <f t="array" ref="AF219">AF192*(Houses_with_elec_24/Houses_with_plumbing_24)*((INDEX('DHW Mix'!$AT$7:$BD$30,Homes_calc!$B219-2006,Homes_calc!AF$35+1)))</f>
        <v>0</v>
      </c>
      <c r="AG219" s="21" cm="1">
        <f t="array" ref="AG219">AG192*(Houses_with_elec_24/Houses_with_plumbing_24)*((INDEX('DHW Mix'!$AT$7:$BD$30,Homes_calc!$B219-2006,Homes_calc!AG$35+1)))</f>
        <v>0</v>
      </c>
      <c r="AH219" s="21" cm="1">
        <f t="array" ref="AH219">AH192*(Houses_with_elec_24/Houses_with_plumbing_24)*((INDEX('DHW Mix'!$AT$7:$BD$30,Homes_calc!$B219-2006,Homes_calc!AH$35+1)))</f>
        <v>0</v>
      </c>
      <c r="AI219" s="21" cm="1">
        <f t="array" ref="AI219">AI192*(Houses_with_elec_24/Houses_with_plumbing_24)*((INDEX('DHW Mix'!$AT$7:$BD$30,Homes_calc!$B219-2006,Homes_calc!AI$35+1)))</f>
        <v>0</v>
      </c>
      <c r="AJ219" s="21" cm="1">
        <f t="array" ref="AJ219">AJ192*(Houses_with_elec_24/Houses_with_plumbing_24)*((INDEX('DHW Mix'!$AT$7:$BD$30,Homes_calc!$B219-2006,Homes_calc!AJ$35+1)))</f>
        <v>0</v>
      </c>
      <c r="AK219" s="21" cm="1">
        <f t="array" ref="AK219">AK192*(Houses_with_elec_24/Houses_with_plumbing_24)*((INDEX('DHW Mix'!$AT$7:$BD$30,Homes_calc!$B219-2006,Homes_calc!AK$35+1)))</f>
        <v>0</v>
      </c>
      <c r="AL219" s="21" cm="1">
        <f t="array" ref="AL219">AL192*(Houses_with_elec_24/Houses_with_plumbing_24)*((INDEX('DHW Mix'!$AT$7:$BD$30,Homes_calc!$B219-2006,Homes_calc!AL$35+1)))</f>
        <v>0</v>
      </c>
      <c r="AM219" s="21" cm="1">
        <f t="array" ref="AM219">AM192*(Houses_with_elec_24/Houses_with_plumbing_24)*((INDEX('DHW Mix'!$AT$7:$BD$30,Homes_calc!$B219-2006,Homes_calc!AM$35+1)))</f>
        <v>0</v>
      </c>
      <c r="AN219" s="21" cm="1">
        <f t="array" ref="AN219">AN192*(Houses_with_elec_24/Houses_with_plumbing_24)*((INDEX('DHW Mix'!$AT$7:$BD$30,Homes_calc!$B219-2006,Homes_calc!AN$35+1)))</f>
        <v>0</v>
      </c>
      <c r="AO219" s="21" cm="1">
        <f t="array" ref="AO219">AO192*(Houses_with_elec_24/Houses_with_plumbing_24)*((INDEX('DHW Mix'!$AT$7:$BD$30,Homes_calc!$B219-2006,Homes_calc!AO$35+1)))</f>
        <v>0</v>
      </c>
      <c r="AP219" s="21" cm="1">
        <f t="array" ref="AP219">AP192*(Houses_with_elec_24/Houses_with_plumbing_24)*((INDEX('DHW Mix'!$AT$7:$BD$30,Homes_calc!$B219-2006,Homes_calc!AP$35+1)))</f>
        <v>0</v>
      </c>
      <c r="AQ219" s="21" cm="1">
        <f t="array" ref="AQ219">AQ192*(Houses_with_elec_24/Houses_with_plumbing_24)*((INDEX('DHW Mix'!$AT$7:$BD$30,Homes_calc!$B219-2006,Homes_calc!AQ$35+1)))</f>
        <v>0</v>
      </c>
      <c r="AR219" s="21" cm="1">
        <f t="array" ref="AR219">AR192*(Houses_with_elec_24/Houses_with_plumbing_24)*((INDEX('DHW Mix'!$AT$7:$BD$30,Homes_calc!$B219-2006,Homes_calc!AR$35+1)))</f>
        <v>0</v>
      </c>
      <c r="AS219" s="21" cm="1">
        <f t="array" ref="AS219">AS192*(Houses_with_elec_24/Houses_with_plumbing_24)*((INDEX('DHW Mix'!$AT$7:$BD$30,Homes_calc!$B219-2006,Homes_calc!AS$35+1)))</f>
        <v>0</v>
      </c>
      <c r="AT219" s="21" cm="1">
        <f t="array" ref="AT219">AT192*(Houses_with_elec_24/Houses_with_plumbing_24)*((INDEX('DHW Mix'!$AT$7:$BD$30,Homes_calc!$B219-2006,Homes_calc!AT$35+1)))</f>
        <v>0</v>
      </c>
      <c r="AU219" s="21" cm="1">
        <f t="array" ref="AU219">AU192*(Houses_with_elec_24/Houses_with_plumbing_24)*((INDEX('DHW Mix'!$AT$7:$BD$30,Homes_calc!$B219-2006,Homes_calc!AU$35+1)))</f>
        <v>0</v>
      </c>
      <c r="AV219" s="21" cm="1">
        <f t="array" ref="AV219">AV192*(Houses_with_elec_24/Houses_with_plumbing_24)*((INDEX('DHW Mix'!$AT$7:$BD$30,Homes_calc!$B219-2006,Homes_calc!AV$35+1)))</f>
        <v>0</v>
      </c>
      <c r="AW219" s="21" cm="1">
        <f t="array" ref="AW219">AW192*(Houses_with_elec_24/Houses_with_plumbing_24)*((INDEX('DHW Mix'!$AT$7:$BD$30,Homes_calc!$B219-2006,Homes_calc!AW$35+1)))</f>
        <v>0</v>
      </c>
      <c r="AX219" s="21" cm="1">
        <f t="array" ref="AX219">AX192*(Houses_with_elec_24/Houses_with_plumbing_24)*((INDEX('DHW Mix'!$AT$7:$BD$30,Homes_calc!$B219-2006,Homes_calc!AX$35+1)))</f>
        <v>0</v>
      </c>
      <c r="AY219" s="21" cm="1">
        <f t="array" ref="AY219">AY192*(Houses_with_elec_24/Houses_with_plumbing_24)*((INDEX('DHW Mix'!$AT$7:$BD$30,Homes_calc!$B219-2006,Homes_calc!AY$35+1)))</f>
        <v>0</v>
      </c>
      <c r="AZ219" s="21" cm="1">
        <f t="array" ref="AZ219">AZ192*(Houses_with_elec_24/Houses_with_plumbing_24)*((INDEX('DHW Mix'!$AT$7:$BD$30,Homes_calc!$B219-2006,Homes_calc!AZ$35+1)))</f>
        <v>0</v>
      </c>
      <c r="BA219" s="21" cm="1">
        <f t="array" ref="BA219">BA192*(Houses_with_elec_24/Houses_with_plumbing_24)*((INDEX('DHW Mix'!$AT$7:$BD$30,Homes_calc!$B219-2006,Homes_calc!BA$35+1)))</f>
        <v>0</v>
      </c>
      <c r="BB219" s="21">
        <f t="shared" si="191"/>
        <v>0</v>
      </c>
      <c r="BC219" s="21"/>
    </row>
    <row r="220" spans="1:55">
      <c r="A220" s="456"/>
      <c r="B220" s="228">
        <v>2025</v>
      </c>
      <c r="C220" s="323" t="e" cm="1">
        <f t="array" ref="C220">C193*(Houses_with_elec_25/Houses_with_plumbing_25)*((INDEX('DHW Mix'!$AT$7:$BD$30,Homes_calc!$B220-2006,Homes_calc!C$35+1)))</f>
        <v>#DIV/0!</v>
      </c>
      <c r="D220" s="323" t="e" cm="1">
        <f t="array" ref="D220">D193*(Houses_with_elec_25/Houses_with_plumbing_25)*((INDEX('DHW Mix'!$AT$7:$BD$30,Homes_calc!$B220-2006,Homes_calc!D$35+1)))</f>
        <v>#DIV/0!</v>
      </c>
      <c r="E220" s="323" t="e" cm="1">
        <f t="array" ref="E220">E193*(Houses_with_elec_25/Houses_with_plumbing_25)*((INDEX('DHW Mix'!$AT$7:$BD$30,Homes_calc!$B220-2006,Homes_calc!E$35+1)))</f>
        <v>#DIV/0!</v>
      </c>
      <c r="F220" s="323" t="e" cm="1">
        <f t="array" ref="F220">F193*(Houses_with_elec_25/Houses_with_plumbing_25)*((INDEX('DHW Mix'!$AT$7:$BD$30,Homes_calc!$B220-2006,Homes_calc!F$35+1)))</f>
        <v>#DIV/0!</v>
      </c>
      <c r="G220" s="323" t="e" cm="1">
        <f t="array" ref="G220">G193*(Houses_with_elec_25/Houses_with_plumbing_25)*((INDEX('DHW Mix'!$AT$7:$BD$30,Homes_calc!$B220-2006,Homes_calc!G$35+1)))</f>
        <v>#DIV/0!</v>
      </c>
      <c r="H220" s="323" t="e" cm="1">
        <f t="array" ref="H220">H193*(Houses_with_elec_25/Houses_with_plumbing_25)*((INDEX('DHW Mix'!$AT$7:$BD$30,Homes_calc!$B220-2006,Homes_calc!H$35+1)))</f>
        <v>#DIV/0!</v>
      </c>
      <c r="I220" s="323" t="e" cm="1">
        <f t="array" ref="I220">I193*(Houses_with_elec_25/Houses_with_plumbing_25)*((INDEX('DHW Mix'!$AT$7:$BD$30,Homes_calc!$B220-2006,Homes_calc!I$35+1)))</f>
        <v>#DIV/0!</v>
      </c>
      <c r="J220" s="323" t="e" cm="1">
        <f t="array" ref="J220">J193*(Houses_with_elec_25/Houses_with_plumbing_25)*((INDEX('DHW Mix'!$AT$7:$BD$30,Homes_calc!$B220-2006,Homes_calc!J$35+1)))</f>
        <v>#DIV/0!</v>
      </c>
      <c r="K220" s="323" t="e" cm="1">
        <f t="array" ref="K220">K193*(Houses_with_elec_25/Houses_with_plumbing_25)*((INDEX('DHW Mix'!$AT$7:$BD$30,Homes_calc!$B220-2006,Homes_calc!K$35+1)))</f>
        <v>#DIV/0!</v>
      </c>
      <c r="L220" s="323" t="e" cm="1">
        <f t="array" ref="L220">L193*(Houses_with_elec_25/Houses_with_plumbing_25)*((INDEX('DHW Mix'!$AT$7:$BD$30,Homes_calc!$B220-2006,Homes_calc!L$35+1)))</f>
        <v>#DIV/0!</v>
      </c>
      <c r="M220" s="323" t="e" cm="1">
        <f t="array" ref="M220">M193*(Houses_with_elec_25/Houses_with_plumbing_25)*((INDEX('DHW Mix'!$AT$7:$BD$30,Homes_calc!$B220-2006,Homes_calc!M$35+1)))</f>
        <v>#DIV/0!</v>
      </c>
      <c r="N220" s="323" t="e" cm="1">
        <f t="array" ref="N220">N193*(Houses_with_elec_25/Houses_with_plumbing_25)*((INDEX('DHW Mix'!$AT$7:$BD$30,Homes_calc!$B220-2006,Homes_calc!N$35+1)))</f>
        <v>#DIV/0!</v>
      </c>
      <c r="O220" s="323" t="e" cm="1">
        <f t="array" ref="O220">O193*(Houses_with_elec_25/Houses_with_plumbing_25)*((INDEX('DHW Mix'!$AT$7:$BD$30,Homes_calc!$B220-2006,Homes_calc!O$35+1)))</f>
        <v>#DIV/0!</v>
      </c>
      <c r="P220" s="323" t="e" cm="1">
        <f t="array" ref="P220">P193*(Houses_with_elec_25/Houses_with_plumbing_25)*((INDEX('DHW Mix'!$AT$7:$BD$30,Homes_calc!$B220-2006,Homes_calc!P$35+1)))</f>
        <v>#DIV/0!</v>
      </c>
      <c r="Q220" s="323" t="e" cm="1">
        <f t="array" ref="Q220">Q193*(Houses_with_elec_25/Houses_with_plumbing_25)*((INDEX('DHW Mix'!$AT$7:$BD$30,Homes_calc!$B220-2006,Homes_calc!Q$35+1)))</f>
        <v>#DIV/0!</v>
      </c>
      <c r="R220" s="323" t="e" cm="1">
        <f t="array" ref="R220">R193*(Houses_with_elec_25/Houses_with_plumbing_25)*((INDEX('DHW Mix'!$AT$7:$BD$30,Homes_calc!$B220-2006,Homes_calc!R$35+1)))</f>
        <v>#DIV/0!</v>
      </c>
      <c r="S220" s="323" t="e" cm="1">
        <f t="array" ref="S220">S193*(Houses_with_elec_25/Houses_with_plumbing_25)*((INDEX('DHW Mix'!$AT$7:$BD$30,Homes_calc!$B220-2006,Homes_calc!S$35+1)))</f>
        <v>#DIV/0!</v>
      </c>
      <c r="T220" s="323" t="e" cm="1">
        <f t="array" ref="T220">T193*(Houses_with_elec_25/Houses_with_plumbing_25)*((INDEX('DHW Mix'!$AT$7:$BD$30,Homes_calc!$B220-2006,Homes_calc!T$35+1)))</f>
        <v>#DIV/0!</v>
      </c>
      <c r="U220" s="323" t="e" cm="1">
        <f t="array" ref="U220">U193*(Houses_with_elec_25/Houses_with_plumbing_25)*((INDEX('DHW Mix'!$AT$7:$BD$30,Homes_calc!$B220-2006,Homes_calc!U$35+1)))</f>
        <v>#DIV/0!</v>
      </c>
      <c r="V220" s="323" t="e" cm="1">
        <f t="array" ref="V220">V193*(Houses_with_elec_25/Houses_with_plumbing_25)*((INDEX('DHW Mix'!$AT$7:$BD$30,Homes_calc!$B220-2006,Homes_calc!V$35+1)))</f>
        <v>#DIV/0!</v>
      </c>
      <c r="W220" s="323" t="e" cm="1">
        <f t="array" ref="W220">W193*(Houses_with_elec_25/Houses_with_plumbing_25)*((INDEX('DHW Mix'!$AT$7:$BD$30,Homes_calc!$B220-2006,Homes_calc!W$35+1)))</f>
        <v>#DIV/0!</v>
      </c>
      <c r="X220" s="323" t="e" cm="1">
        <f t="array" ref="X220">X193*(Houses_with_elec_25/Houses_with_plumbing_25)*((INDEX('DHW Mix'!$AT$7:$BD$30,Homes_calc!$B220-2006,Homes_calc!X$35+1)))</f>
        <v>#DIV/0!</v>
      </c>
      <c r="Y220" s="323" t="e" cm="1">
        <f t="array" ref="Y220">Y193*(Houses_with_elec_25/Houses_with_plumbing_25)*((INDEX('DHW Mix'!$AT$7:$BD$30,Homes_calc!$B220-2006,Homes_calc!Y$35+1)))</f>
        <v>#DIV/0!</v>
      </c>
      <c r="Z220" s="323" t="e" cm="1">
        <f t="array" ref="Z220">Z193*(Houses_with_elec_25/Houses_with_plumbing_25)*((INDEX('DHW Mix'!$AT$7:$BD$30,Homes_calc!$B220-2006,Homes_calc!Z$35+1)))</f>
        <v>#DIV/0!</v>
      </c>
      <c r="AA220" s="323" t="e" cm="1">
        <f t="array" ref="AA220">AA193*(Houses_with_elec_25/Houses_with_plumbing_25)*((INDEX('DHW Mix'!$AT$7:$BD$30,Homes_calc!$B220-2006,Homes_calc!AA$35+1)))</f>
        <v>#DIV/0!</v>
      </c>
      <c r="AB220" s="323" t="e" cm="1">
        <f t="array" ref="AB220">AB193*(Houses_with_elec_25/Houses_with_plumbing_25)*((INDEX('DHW Mix'!$AT$7:$BD$30,Homes_calc!$B220-2006,Homes_calc!AB$35+1)))</f>
        <v>#DIV/0!</v>
      </c>
      <c r="AC220" s="323" t="e" cm="1">
        <f t="array" ref="AC220">AC193*(Houses_with_elec_25/Houses_with_plumbing_25)*((INDEX('DHW Mix'!$AT$7:$BD$30,Homes_calc!$B220-2006,Homes_calc!AC$35+1)))</f>
        <v>#DIV/0!</v>
      </c>
      <c r="AD220" s="323" t="e" cm="1">
        <f t="array" ref="AD220">AD193*(Houses_with_elec_25/Houses_with_plumbing_25)*((INDEX('DHW Mix'!$AT$7:$BD$30,Homes_calc!$B220-2006,Homes_calc!AD$35+1)))</f>
        <v>#DIV/0!</v>
      </c>
      <c r="AE220" s="323" t="e" cm="1">
        <f t="array" ref="AE220">AE193*(Houses_with_elec_25/Houses_with_plumbing_25)*((INDEX('DHW Mix'!$AT$7:$BD$30,Homes_calc!$B220-2006,Homes_calc!AE$35+1)))</f>
        <v>#DIV/0!</v>
      </c>
      <c r="AF220" s="323" t="e" cm="1">
        <f t="array" ref="AF220">AF193*(Houses_with_elec_25/Houses_with_plumbing_25)*((INDEX('DHW Mix'!$AT$7:$BD$30,Homes_calc!$B220-2006,Homes_calc!AF$35+1)))</f>
        <v>#DIV/0!</v>
      </c>
      <c r="AG220" s="323" t="e" cm="1">
        <f t="array" ref="AG220">AG193*(Houses_with_elec_25/Houses_with_plumbing_25)*((INDEX('DHW Mix'!$AT$7:$BD$30,Homes_calc!$B220-2006,Homes_calc!AG$35+1)))</f>
        <v>#DIV/0!</v>
      </c>
      <c r="AH220" s="323" t="e" cm="1">
        <f t="array" ref="AH220">AH193*(Houses_with_elec_25/Houses_with_plumbing_25)*((INDEX('DHW Mix'!$AT$7:$BD$30,Homes_calc!$B220-2006,Homes_calc!AH$35+1)))</f>
        <v>#DIV/0!</v>
      </c>
      <c r="AI220" s="323" t="e" cm="1">
        <f t="array" ref="AI220">AI193*(Houses_with_elec_25/Houses_with_plumbing_25)*((INDEX('DHW Mix'!$AT$7:$BD$30,Homes_calc!$B220-2006,Homes_calc!AI$35+1)))</f>
        <v>#DIV/0!</v>
      </c>
      <c r="AJ220" s="323" t="e" cm="1">
        <f t="array" ref="AJ220">AJ193*(Houses_with_elec_25/Houses_with_plumbing_25)*((INDEX('DHW Mix'!$AT$7:$BD$30,Homes_calc!$B220-2006,Homes_calc!AJ$35+1)))</f>
        <v>#DIV/0!</v>
      </c>
      <c r="AK220" s="323" t="e" cm="1">
        <f t="array" ref="AK220">AK193*(Houses_with_elec_25/Houses_with_plumbing_25)*((INDEX('DHW Mix'!$AT$7:$BD$30,Homes_calc!$B220-2006,Homes_calc!AK$35+1)))</f>
        <v>#DIV/0!</v>
      </c>
      <c r="AL220" s="323" t="e" cm="1">
        <f t="array" ref="AL220">AL193*(Houses_with_elec_25/Houses_with_plumbing_25)*((INDEX('DHW Mix'!$AT$7:$BD$30,Homes_calc!$B220-2006,Homes_calc!AL$35+1)))</f>
        <v>#DIV/0!</v>
      </c>
      <c r="AM220" s="323" t="e" cm="1">
        <f t="array" ref="AM220">AM193*(Houses_with_elec_25/Houses_with_plumbing_25)*((INDEX('DHW Mix'!$AT$7:$BD$30,Homes_calc!$B220-2006,Homes_calc!AM$35+1)))</f>
        <v>#DIV/0!</v>
      </c>
      <c r="AN220" s="323" t="e" cm="1">
        <f t="array" ref="AN220">AN193*(Houses_with_elec_25/Houses_with_plumbing_25)*((INDEX('DHW Mix'!$AT$7:$BD$30,Homes_calc!$B220-2006,Homes_calc!AN$35+1)))</f>
        <v>#DIV/0!</v>
      </c>
      <c r="AO220" s="323" t="e" cm="1">
        <f t="array" ref="AO220">AO193*(Houses_with_elec_25/Houses_with_plumbing_25)*((INDEX('DHW Mix'!$AT$7:$BD$30,Homes_calc!$B220-2006,Homes_calc!AO$35+1)))</f>
        <v>#DIV/0!</v>
      </c>
      <c r="AP220" s="323" t="e" cm="1">
        <f t="array" ref="AP220">AP193*(Houses_with_elec_25/Houses_with_plumbing_25)*((INDEX('DHW Mix'!$AT$7:$BD$30,Homes_calc!$B220-2006,Homes_calc!AP$35+1)))</f>
        <v>#DIV/0!</v>
      </c>
      <c r="AQ220" s="323" t="e" cm="1">
        <f t="array" ref="AQ220">AQ193*(Houses_with_elec_25/Houses_with_plumbing_25)*((INDEX('DHW Mix'!$AT$7:$BD$30,Homes_calc!$B220-2006,Homes_calc!AQ$35+1)))</f>
        <v>#DIV/0!</v>
      </c>
      <c r="AR220" s="323" t="e" cm="1">
        <f t="array" ref="AR220">AR193*(Houses_with_elec_25/Houses_with_plumbing_25)*((INDEX('DHW Mix'!$AT$7:$BD$30,Homes_calc!$B220-2006,Homes_calc!AR$35+1)))</f>
        <v>#DIV/0!</v>
      </c>
      <c r="AS220" s="323" t="e" cm="1">
        <f t="array" ref="AS220">AS193*(Houses_with_elec_25/Houses_with_plumbing_25)*((INDEX('DHW Mix'!$AT$7:$BD$30,Homes_calc!$B220-2006,Homes_calc!AS$35+1)))</f>
        <v>#DIV/0!</v>
      </c>
      <c r="AT220" s="323" t="e" cm="1">
        <f t="array" ref="AT220">AT193*(Houses_with_elec_25/Houses_with_plumbing_25)*((INDEX('DHW Mix'!$AT$7:$BD$30,Homes_calc!$B220-2006,Homes_calc!AT$35+1)))</f>
        <v>#DIV/0!</v>
      </c>
      <c r="AU220" s="323" t="e" cm="1">
        <f t="array" ref="AU220">AU193*(Houses_with_elec_25/Houses_with_plumbing_25)*((INDEX('DHW Mix'!$AT$7:$BD$30,Homes_calc!$B220-2006,Homes_calc!AU$35+1)))</f>
        <v>#DIV/0!</v>
      </c>
      <c r="AV220" s="323" t="e" cm="1">
        <f t="array" ref="AV220">AV193*(Houses_with_elec_25/Houses_with_plumbing_25)*((INDEX('DHW Mix'!$AT$7:$BD$30,Homes_calc!$B220-2006,Homes_calc!AV$35+1)))</f>
        <v>#DIV/0!</v>
      </c>
      <c r="AW220" s="323" t="e" cm="1">
        <f t="array" ref="AW220">AW193*(Houses_with_elec_25/Houses_with_plumbing_25)*((INDEX('DHW Mix'!$AT$7:$BD$30,Homes_calc!$B220-2006,Homes_calc!AW$35+1)))</f>
        <v>#DIV/0!</v>
      </c>
      <c r="AX220" s="323" t="e" cm="1">
        <f t="array" ref="AX220">AX193*(Houses_with_elec_25/Houses_with_plumbing_25)*((INDEX('DHW Mix'!$AT$7:$BD$30,Homes_calc!$B220-2006,Homes_calc!AX$35+1)))</f>
        <v>#DIV/0!</v>
      </c>
      <c r="AY220" s="323" t="e" cm="1">
        <f t="array" ref="AY220">AY193*(Houses_with_elec_25/Houses_with_plumbing_25)*((INDEX('DHW Mix'!$AT$7:$BD$30,Homes_calc!$B220-2006,Homes_calc!AY$35+1)))</f>
        <v>#DIV/0!</v>
      </c>
      <c r="AZ220" s="323" t="e" cm="1">
        <f t="array" ref="AZ220">AZ193*(Houses_with_elec_25/Houses_with_plumbing_25)*((INDEX('DHW Mix'!$AT$7:$BD$30,Homes_calc!$B220-2006,Homes_calc!AZ$35+1)))</f>
        <v>#DIV/0!</v>
      </c>
      <c r="BA220" s="323" t="e" cm="1">
        <f t="array" ref="BA220">BA193*(Houses_with_elec_25/Houses_with_plumbing_25)*((INDEX('DHW Mix'!$AT$7:$BD$30,Homes_calc!$B220-2006,Homes_calc!BA$35+1)))</f>
        <v>#DIV/0!</v>
      </c>
      <c r="BB220" s="21" t="e">
        <f t="shared" si="191"/>
        <v>#DIV/0!</v>
      </c>
      <c r="BC220" s="21"/>
    </row>
    <row r="221" spans="1:55">
      <c r="A221" s="456"/>
      <c r="B221" s="226">
        <v>2026</v>
      </c>
      <c r="C221" s="323" t="e" cm="1">
        <f t="array" ref="C221">C194*(Houses_with_elec_26/Houses_with_plumbing_26)*((INDEX('DHW Mix'!$AT$7:$BD$30,Homes_calc!$B221-2006,Homes_calc!C$35+1)))</f>
        <v>#DIV/0!</v>
      </c>
      <c r="D221" s="323" t="e" cm="1">
        <f t="array" ref="D221">D194*(Houses_with_elec_26/Houses_with_plumbing_26)*((INDEX('DHW Mix'!$AT$7:$BD$30,Homes_calc!$B221-2006,Homes_calc!D$35+1)))</f>
        <v>#DIV/0!</v>
      </c>
      <c r="E221" s="323" t="e" cm="1">
        <f t="array" ref="E221">E194*(Houses_with_elec_26/Houses_with_plumbing_26)*((INDEX('DHW Mix'!$AT$7:$BD$30,Homes_calc!$B221-2006,Homes_calc!E$35+1)))</f>
        <v>#DIV/0!</v>
      </c>
      <c r="F221" s="323" t="e" cm="1">
        <f t="array" ref="F221">F194*(Houses_with_elec_26/Houses_with_plumbing_26)*((INDEX('DHW Mix'!$AT$7:$BD$30,Homes_calc!$B221-2006,Homes_calc!F$35+1)))</f>
        <v>#DIV/0!</v>
      </c>
      <c r="G221" s="323" t="e" cm="1">
        <f t="array" ref="G221">G194*(Houses_with_elec_26/Houses_with_plumbing_26)*((INDEX('DHW Mix'!$AT$7:$BD$30,Homes_calc!$B221-2006,Homes_calc!G$35+1)))</f>
        <v>#DIV/0!</v>
      </c>
      <c r="H221" s="323" t="e" cm="1">
        <f t="array" ref="H221">H194*(Houses_with_elec_26/Houses_with_plumbing_26)*((INDEX('DHW Mix'!$AT$7:$BD$30,Homes_calc!$B221-2006,Homes_calc!H$35+1)))</f>
        <v>#DIV/0!</v>
      </c>
      <c r="I221" s="323" t="e" cm="1">
        <f t="array" ref="I221">I194*(Houses_with_elec_26/Houses_with_plumbing_26)*((INDEX('DHW Mix'!$AT$7:$BD$30,Homes_calc!$B221-2006,Homes_calc!I$35+1)))</f>
        <v>#DIV/0!</v>
      </c>
      <c r="J221" s="323" t="e" cm="1">
        <f t="array" ref="J221">J194*(Houses_with_elec_26/Houses_with_plumbing_26)*((INDEX('DHW Mix'!$AT$7:$BD$30,Homes_calc!$B221-2006,Homes_calc!J$35+1)))</f>
        <v>#DIV/0!</v>
      </c>
      <c r="K221" s="323" t="e" cm="1">
        <f t="array" ref="K221">K194*(Houses_with_elec_26/Houses_with_plumbing_26)*((INDEX('DHW Mix'!$AT$7:$BD$30,Homes_calc!$B221-2006,Homes_calc!K$35+1)))</f>
        <v>#DIV/0!</v>
      </c>
      <c r="L221" s="323" t="e" cm="1">
        <f t="array" ref="L221">L194*(Houses_with_elec_26/Houses_with_plumbing_26)*((INDEX('DHW Mix'!$AT$7:$BD$30,Homes_calc!$B221-2006,Homes_calc!L$35+1)))</f>
        <v>#DIV/0!</v>
      </c>
      <c r="M221" s="323" t="e" cm="1">
        <f t="array" ref="M221">M194*(Houses_with_elec_26/Houses_with_plumbing_26)*((INDEX('DHW Mix'!$AT$7:$BD$30,Homes_calc!$B221-2006,Homes_calc!M$35+1)))</f>
        <v>#DIV/0!</v>
      </c>
      <c r="N221" s="323" t="e" cm="1">
        <f t="array" ref="N221">N194*(Houses_with_elec_26/Houses_with_plumbing_26)*((INDEX('DHW Mix'!$AT$7:$BD$30,Homes_calc!$B221-2006,Homes_calc!N$35+1)))</f>
        <v>#DIV/0!</v>
      </c>
      <c r="O221" s="323" t="e" cm="1">
        <f t="array" ref="O221">O194*(Houses_with_elec_26/Houses_with_plumbing_26)*((INDEX('DHW Mix'!$AT$7:$BD$30,Homes_calc!$B221-2006,Homes_calc!O$35+1)))</f>
        <v>#DIV/0!</v>
      </c>
      <c r="P221" s="323" t="e" cm="1">
        <f t="array" ref="P221">P194*(Houses_with_elec_26/Houses_with_plumbing_26)*((INDEX('DHW Mix'!$AT$7:$BD$30,Homes_calc!$B221-2006,Homes_calc!P$35+1)))</f>
        <v>#DIV/0!</v>
      </c>
      <c r="Q221" s="323" t="e" cm="1">
        <f t="array" ref="Q221">Q194*(Houses_with_elec_26/Houses_with_plumbing_26)*((INDEX('DHW Mix'!$AT$7:$BD$30,Homes_calc!$B221-2006,Homes_calc!Q$35+1)))</f>
        <v>#DIV/0!</v>
      </c>
      <c r="R221" s="323" t="e" cm="1">
        <f t="array" ref="R221">R194*(Houses_with_elec_26/Houses_with_plumbing_26)*((INDEX('DHW Mix'!$AT$7:$BD$30,Homes_calc!$B221-2006,Homes_calc!R$35+1)))</f>
        <v>#DIV/0!</v>
      </c>
      <c r="S221" s="323" t="e" cm="1">
        <f t="array" ref="S221">S194*(Houses_with_elec_26/Houses_with_plumbing_26)*((INDEX('DHW Mix'!$AT$7:$BD$30,Homes_calc!$B221-2006,Homes_calc!S$35+1)))</f>
        <v>#DIV/0!</v>
      </c>
      <c r="T221" s="323" t="e" cm="1">
        <f t="array" ref="T221">T194*(Houses_with_elec_26/Houses_with_plumbing_26)*((INDEX('DHW Mix'!$AT$7:$BD$30,Homes_calc!$B221-2006,Homes_calc!T$35+1)))</f>
        <v>#DIV/0!</v>
      </c>
      <c r="U221" s="323" t="e" cm="1">
        <f t="array" ref="U221">U194*(Houses_with_elec_26/Houses_with_plumbing_26)*((INDEX('DHW Mix'!$AT$7:$BD$30,Homes_calc!$B221-2006,Homes_calc!U$35+1)))</f>
        <v>#DIV/0!</v>
      </c>
      <c r="V221" s="323" t="e" cm="1">
        <f t="array" ref="V221">V194*(Houses_with_elec_26/Houses_with_plumbing_26)*((INDEX('DHW Mix'!$AT$7:$BD$30,Homes_calc!$B221-2006,Homes_calc!V$35+1)))</f>
        <v>#DIV/0!</v>
      </c>
      <c r="W221" s="323" t="e" cm="1">
        <f t="array" ref="W221">W194*(Houses_with_elec_26/Houses_with_plumbing_26)*((INDEX('DHW Mix'!$AT$7:$BD$30,Homes_calc!$B221-2006,Homes_calc!W$35+1)))</f>
        <v>#DIV/0!</v>
      </c>
      <c r="X221" s="323" t="e" cm="1">
        <f t="array" ref="X221">X194*(Houses_with_elec_26/Houses_with_plumbing_26)*((INDEX('DHW Mix'!$AT$7:$BD$30,Homes_calc!$B221-2006,Homes_calc!X$35+1)))</f>
        <v>#DIV/0!</v>
      </c>
      <c r="Y221" s="323" t="e" cm="1">
        <f t="array" ref="Y221">Y194*(Houses_with_elec_26/Houses_with_plumbing_26)*((INDEX('DHW Mix'!$AT$7:$BD$30,Homes_calc!$B221-2006,Homes_calc!Y$35+1)))</f>
        <v>#DIV/0!</v>
      </c>
      <c r="Z221" s="323" t="e" cm="1">
        <f t="array" ref="Z221">Z194*(Houses_with_elec_26/Houses_with_plumbing_26)*((INDEX('DHW Mix'!$AT$7:$BD$30,Homes_calc!$B221-2006,Homes_calc!Z$35+1)))</f>
        <v>#DIV/0!</v>
      </c>
      <c r="AA221" s="323" t="e" cm="1">
        <f t="array" ref="AA221">AA194*(Houses_with_elec_26/Houses_with_plumbing_26)*((INDEX('DHW Mix'!$AT$7:$BD$30,Homes_calc!$B221-2006,Homes_calc!AA$35+1)))</f>
        <v>#DIV/0!</v>
      </c>
      <c r="AB221" s="323" t="e" cm="1">
        <f t="array" ref="AB221">AB194*(Houses_with_elec_26/Houses_with_plumbing_26)*((INDEX('DHW Mix'!$AT$7:$BD$30,Homes_calc!$B221-2006,Homes_calc!AB$35+1)))</f>
        <v>#DIV/0!</v>
      </c>
      <c r="AC221" s="323" t="e" cm="1">
        <f t="array" ref="AC221">AC194*(Houses_with_elec_26/Houses_with_plumbing_26)*((INDEX('DHW Mix'!$AT$7:$BD$30,Homes_calc!$B221-2006,Homes_calc!AC$35+1)))</f>
        <v>#DIV/0!</v>
      </c>
      <c r="AD221" s="323" t="e" cm="1">
        <f t="array" ref="AD221">AD194*(Houses_with_elec_26/Houses_with_plumbing_26)*((INDEX('DHW Mix'!$AT$7:$BD$30,Homes_calc!$B221-2006,Homes_calc!AD$35+1)))</f>
        <v>#DIV/0!</v>
      </c>
      <c r="AE221" s="323" t="e" cm="1">
        <f t="array" ref="AE221">AE194*(Houses_with_elec_26/Houses_with_plumbing_26)*((INDEX('DHW Mix'!$AT$7:$BD$30,Homes_calc!$B221-2006,Homes_calc!AE$35+1)))</f>
        <v>#DIV/0!</v>
      </c>
      <c r="AF221" s="323" t="e" cm="1">
        <f t="array" ref="AF221">AF194*(Houses_with_elec_26/Houses_with_plumbing_26)*((INDEX('DHW Mix'!$AT$7:$BD$30,Homes_calc!$B221-2006,Homes_calc!AF$35+1)))</f>
        <v>#DIV/0!</v>
      </c>
      <c r="AG221" s="323" t="e" cm="1">
        <f t="array" ref="AG221">AG194*(Houses_with_elec_26/Houses_with_plumbing_26)*((INDEX('DHW Mix'!$AT$7:$BD$30,Homes_calc!$B221-2006,Homes_calc!AG$35+1)))</f>
        <v>#DIV/0!</v>
      </c>
      <c r="AH221" s="323" t="e" cm="1">
        <f t="array" ref="AH221">AH194*(Houses_with_elec_26/Houses_with_plumbing_26)*((INDEX('DHW Mix'!$AT$7:$BD$30,Homes_calc!$B221-2006,Homes_calc!AH$35+1)))</f>
        <v>#DIV/0!</v>
      </c>
      <c r="AI221" s="323" t="e" cm="1">
        <f t="array" ref="AI221">AI194*(Houses_with_elec_26/Houses_with_plumbing_26)*((INDEX('DHW Mix'!$AT$7:$BD$30,Homes_calc!$B221-2006,Homes_calc!AI$35+1)))</f>
        <v>#DIV/0!</v>
      </c>
      <c r="AJ221" s="323" t="e" cm="1">
        <f t="array" ref="AJ221">AJ194*(Houses_with_elec_26/Houses_with_plumbing_26)*((INDEX('DHW Mix'!$AT$7:$BD$30,Homes_calc!$B221-2006,Homes_calc!AJ$35+1)))</f>
        <v>#DIV/0!</v>
      </c>
      <c r="AK221" s="323" t="e" cm="1">
        <f t="array" ref="AK221">AK194*(Houses_with_elec_26/Houses_with_plumbing_26)*((INDEX('DHW Mix'!$AT$7:$BD$30,Homes_calc!$B221-2006,Homes_calc!AK$35+1)))</f>
        <v>#DIV/0!</v>
      </c>
      <c r="AL221" s="323" t="e" cm="1">
        <f t="array" ref="AL221">AL194*(Houses_with_elec_26/Houses_with_plumbing_26)*((INDEX('DHW Mix'!$AT$7:$BD$30,Homes_calc!$B221-2006,Homes_calc!AL$35+1)))</f>
        <v>#DIV/0!</v>
      </c>
      <c r="AM221" s="323" t="e" cm="1">
        <f t="array" ref="AM221">AM194*(Houses_with_elec_26/Houses_with_plumbing_26)*((INDEX('DHW Mix'!$AT$7:$BD$30,Homes_calc!$B221-2006,Homes_calc!AM$35+1)))</f>
        <v>#DIV/0!</v>
      </c>
      <c r="AN221" s="323" t="e" cm="1">
        <f t="array" ref="AN221">AN194*(Houses_with_elec_26/Houses_with_plumbing_26)*((INDEX('DHW Mix'!$AT$7:$BD$30,Homes_calc!$B221-2006,Homes_calc!AN$35+1)))</f>
        <v>#DIV/0!</v>
      </c>
      <c r="AO221" s="323" t="e" cm="1">
        <f t="array" ref="AO221">AO194*(Houses_with_elec_26/Houses_with_plumbing_26)*((INDEX('DHW Mix'!$AT$7:$BD$30,Homes_calc!$B221-2006,Homes_calc!AO$35+1)))</f>
        <v>#DIV/0!</v>
      </c>
      <c r="AP221" s="323" t="e" cm="1">
        <f t="array" ref="AP221">AP194*(Houses_with_elec_26/Houses_with_plumbing_26)*((INDEX('DHW Mix'!$AT$7:$BD$30,Homes_calc!$B221-2006,Homes_calc!AP$35+1)))</f>
        <v>#DIV/0!</v>
      </c>
      <c r="AQ221" s="323" t="e" cm="1">
        <f t="array" ref="AQ221">AQ194*(Houses_with_elec_26/Houses_with_plumbing_26)*((INDEX('DHW Mix'!$AT$7:$BD$30,Homes_calc!$B221-2006,Homes_calc!AQ$35+1)))</f>
        <v>#DIV/0!</v>
      </c>
      <c r="AR221" s="323" t="e" cm="1">
        <f t="array" ref="AR221">AR194*(Houses_with_elec_26/Houses_with_plumbing_26)*((INDEX('DHW Mix'!$AT$7:$BD$30,Homes_calc!$B221-2006,Homes_calc!AR$35+1)))</f>
        <v>#DIV/0!</v>
      </c>
      <c r="AS221" s="323" t="e" cm="1">
        <f t="array" ref="AS221">AS194*(Houses_with_elec_26/Houses_with_plumbing_26)*((INDEX('DHW Mix'!$AT$7:$BD$30,Homes_calc!$B221-2006,Homes_calc!AS$35+1)))</f>
        <v>#DIV/0!</v>
      </c>
      <c r="AT221" s="323" t="e" cm="1">
        <f t="array" ref="AT221">AT194*(Houses_with_elec_26/Houses_with_plumbing_26)*((INDEX('DHW Mix'!$AT$7:$BD$30,Homes_calc!$B221-2006,Homes_calc!AT$35+1)))</f>
        <v>#DIV/0!</v>
      </c>
      <c r="AU221" s="323" t="e" cm="1">
        <f t="array" ref="AU221">AU194*(Houses_with_elec_26/Houses_with_plumbing_26)*((INDEX('DHW Mix'!$AT$7:$BD$30,Homes_calc!$B221-2006,Homes_calc!AU$35+1)))</f>
        <v>#DIV/0!</v>
      </c>
      <c r="AV221" s="323" t="e" cm="1">
        <f t="array" ref="AV221">AV194*(Houses_with_elec_26/Houses_with_plumbing_26)*((INDEX('DHW Mix'!$AT$7:$BD$30,Homes_calc!$B221-2006,Homes_calc!AV$35+1)))</f>
        <v>#DIV/0!</v>
      </c>
      <c r="AW221" s="323" t="e" cm="1">
        <f t="array" ref="AW221">AW194*(Houses_with_elec_26/Houses_with_plumbing_26)*((INDEX('DHW Mix'!$AT$7:$BD$30,Homes_calc!$B221-2006,Homes_calc!AW$35+1)))</f>
        <v>#DIV/0!</v>
      </c>
      <c r="AX221" s="323" t="e" cm="1">
        <f t="array" ref="AX221">AX194*(Houses_with_elec_26/Houses_with_plumbing_26)*((INDEX('DHW Mix'!$AT$7:$BD$30,Homes_calc!$B221-2006,Homes_calc!AX$35+1)))</f>
        <v>#DIV/0!</v>
      </c>
      <c r="AY221" s="323" t="e" cm="1">
        <f t="array" ref="AY221">AY194*(Houses_with_elec_26/Houses_with_plumbing_26)*((INDEX('DHW Mix'!$AT$7:$BD$30,Homes_calc!$B221-2006,Homes_calc!AY$35+1)))</f>
        <v>#DIV/0!</v>
      </c>
      <c r="AZ221" s="323" t="e" cm="1">
        <f t="array" ref="AZ221">AZ194*(Houses_with_elec_26/Houses_with_plumbing_26)*((INDEX('DHW Mix'!$AT$7:$BD$30,Homes_calc!$B221-2006,Homes_calc!AZ$35+1)))</f>
        <v>#DIV/0!</v>
      </c>
      <c r="BA221" s="323" t="e" cm="1">
        <f t="array" ref="BA221">BA194*(Houses_with_elec_26/Houses_with_plumbing_26)*((INDEX('DHW Mix'!$AT$7:$BD$30,Homes_calc!$B221-2006,Homes_calc!BA$35+1)))</f>
        <v>#DIV/0!</v>
      </c>
      <c r="BB221" s="21" t="e">
        <f t="shared" si="191"/>
        <v>#DIV/0!</v>
      </c>
      <c r="BC221" s="21"/>
    </row>
    <row r="222" spans="1:55">
      <c r="A222" s="456"/>
      <c r="B222" s="228">
        <v>2027</v>
      </c>
      <c r="C222" s="323" t="e" cm="1">
        <f t="array" ref="C222">C195*(Houses_with_elec_27/Houses_with_plumbing_27)*((INDEX('DHW Mix'!$AT$7:$BD$30,Homes_calc!$B222-2006,Homes_calc!C$35+1)))</f>
        <v>#DIV/0!</v>
      </c>
      <c r="D222" s="323" t="e" cm="1">
        <f t="array" ref="D222">D195*(Houses_with_elec_27/Houses_with_plumbing_27)*((INDEX('DHW Mix'!$AT$7:$BD$30,Homes_calc!$B222-2006,Homes_calc!D$35+1)))</f>
        <v>#DIV/0!</v>
      </c>
      <c r="E222" s="323" t="e" cm="1">
        <f t="array" ref="E222">E195*(Houses_with_elec_27/Houses_with_plumbing_27)*((INDEX('DHW Mix'!$AT$7:$BD$30,Homes_calc!$B222-2006,Homes_calc!E$35+1)))</f>
        <v>#DIV/0!</v>
      </c>
      <c r="F222" s="323" t="e" cm="1">
        <f t="array" ref="F222">F195*(Houses_with_elec_27/Houses_with_plumbing_27)*((INDEX('DHW Mix'!$AT$7:$BD$30,Homes_calc!$B222-2006,Homes_calc!F$35+1)))</f>
        <v>#DIV/0!</v>
      </c>
      <c r="G222" s="323" t="e" cm="1">
        <f t="array" ref="G222">G195*(Houses_with_elec_27/Houses_with_plumbing_27)*((INDEX('DHW Mix'!$AT$7:$BD$30,Homes_calc!$B222-2006,Homes_calc!G$35+1)))</f>
        <v>#DIV/0!</v>
      </c>
      <c r="H222" s="323" t="e" cm="1">
        <f t="array" ref="H222">H195*(Houses_with_elec_27/Houses_with_plumbing_27)*((INDEX('DHW Mix'!$AT$7:$BD$30,Homes_calc!$B222-2006,Homes_calc!H$35+1)))</f>
        <v>#DIV/0!</v>
      </c>
      <c r="I222" s="323" t="e" cm="1">
        <f t="array" ref="I222">I195*(Houses_with_elec_27/Houses_with_plumbing_27)*((INDEX('DHW Mix'!$AT$7:$BD$30,Homes_calc!$B222-2006,Homes_calc!I$35+1)))</f>
        <v>#DIV/0!</v>
      </c>
      <c r="J222" s="323" t="e" cm="1">
        <f t="array" ref="J222">J195*(Houses_with_elec_27/Houses_with_plumbing_27)*((INDEX('DHW Mix'!$AT$7:$BD$30,Homes_calc!$B222-2006,Homes_calc!J$35+1)))</f>
        <v>#DIV/0!</v>
      </c>
      <c r="K222" s="323" t="e" cm="1">
        <f t="array" ref="K222">K195*(Houses_with_elec_27/Houses_with_plumbing_27)*((INDEX('DHW Mix'!$AT$7:$BD$30,Homes_calc!$B222-2006,Homes_calc!K$35+1)))</f>
        <v>#DIV/0!</v>
      </c>
      <c r="L222" s="323" t="e" cm="1">
        <f t="array" ref="L222">L195*(Houses_with_elec_27/Houses_with_plumbing_27)*((INDEX('DHW Mix'!$AT$7:$BD$30,Homes_calc!$B222-2006,Homes_calc!L$35+1)))</f>
        <v>#DIV/0!</v>
      </c>
      <c r="M222" s="323" t="e" cm="1">
        <f t="array" ref="M222">M195*(Houses_with_elec_27/Houses_with_plumbing_27)*((INDEX('DHW Mix'!$AT$7:$BD$30,Homes_calc!$B222-2006,Homes_calc!M$35+1)))</f>
        <v>#DIV/0!</v>
      </c>
      <c r="N222" s="323" t="e" cm="1">
        <f t="array" ref="N222">N195*(Houses_with_elec_27/Houses_with_plumbing_27)*((INDEX('DHW Mix'!$AT$7:$BD$30,Homes_calc!$B222-2006,Homes_calc!N$35+1)))</f>
        <v>#DIV/0!</v>
      </c>
      <c r="O222" s="323" t="e" cm="1">
        <f t="array" ref="O222">O195*(Houses_with_elec_27/Houses_with_plumbing_27)*((INDEX('DHW Mix'!$AT$7:$BD$30,Homes_calc!$B222-2006,Homes_calc!O$35+1)))</f>
        <v>#DIV/0!</v>
      </c>
      <c r="P222" s="323" t="e" cm="1">
        <f t="array" ref="P222">P195*(Houses_with_elec_27/Houses_with_plumbing_27)*((INDEX('DHW Mix'!$AT$7:$BD$30,Homes_calc!$B222-2006,Homes_calc!P$35+1)))</f>
        <v>#DIV/0!</v>
      </c>
      <c r="Q222" s="323" t="e" cm="1">
        <f t="array" ref="Q222">Q195*(Houses_with_elec_27/Houses_with_plumbing_27)*((INDEX('DHW Mix'!$AT$7:$BD$30,Homes_calc!$B222-2006,Homes_calc!Q$35+1)))</f>
        <v>#DIV/0!</v>
      </c>
      <c r="R222" s="323" t="e" cm="1">
        <f t="array" ref="R222">R195*(Houses_with_elec_27/Houses_with_plumbing_27)*((INDEX('DHW Mix'!$AT$7:$BD$30,Homes_calc!$B222-2006,Homes_calc!R$35+1)))</f>
        <v>#DIV/0!</v>
      </c>
      <c r="S222" s="323" t="e" cm="1">
        <f t="array" ref="S222">S195*(Houses_with_elec_27/Houses_with_plumbing_27)*((INDEX('DHW Mix'!$AT$7:$BD$30,Homes_calc!$B222-2006,Homes_calc!S$35+1)))</f>
        <v>#DIV/0!</v>
      </c>
      <c r="T222" s="323" t="e" cm="1">
        <f t="array" ref="T222">T195*(Houses_with_elec_27/Houses_with_plumbing_27)*((INDEX('DHW Mix'!$AT$7:$BD$30,Homes_calc!$B222-2006,Homes_calc!T$35+1)))</f>
        <v>#DIV/0!</v>
      </c>
      <c r="U222" s="323" t="e" cm="1">
        <f t="array" ref="U222">U195*(Houses_with_elec_27/Houses_with_plumbing_27)*((INDEX('DHW Mix'!$AT$7:$BD$30,Homes_calc!$B222-2006,Homes_calc!U$35+1)))</f>
        <v>#DIV/0!</v>
      </c>
      <c r="V222" s="323" t="e" cm="1">
        <f t="array" ref="V222">V195*(Houses_with_elec_27/Houses_with_plumbing_27)*((INDEX('DHW Mix'!$AT$7:$BD$30,Homes_calc!$B222-2006,Homes_calc!V$35+1)))</f>
        <v>#DIV/0!</v>
      </c>
      <c r="W222" s="323" t="e" cm="1">
        <f t="array" ref="W222">W195*(Houses_with_elec_27/Houses_with_plumbing_27)*((INDEX('DHW Mix'!$AT$7:$BD$30,Homes_calc!$B222-2006,Homes_calc!W$35+1)))</f>
        <v>#DIV/0!</v>
      </c>
      <c r="X222" s="323" t="e" cm="1">
        <f t="array" ref="X222">X195*(Houses_with_elec_27/Houses_with_plumbing_27)*((INDEX('DHW Mix'!$AT$7:$BD$30,Homes_calc!$B222-2006,Homes_calc!X$35+1)))</f>
        <v>#DIV/0!</v>
      </c>
      <c r="Y222" s="323" t="e" cm="1">
        <f t="array" ref="Y222">Y195*(Houses_with_elec_27/Houses_with_plumbing_27)*((INDEX('DHW Mix'!$AT$7:$BD$30,Homes_calc!$B222-2006,Homes_calc!Y$35+1)))</f>
        <v>#DIV/0!</v>
      </c>
      <c r="Z222" s="323" t="e" cm="1">
        <f t="array" ref="Z222">Z195*(Houses_with_elec_27/Houses_with_plumbing_27)*((INDEX('DHW Mix'!$AT$7:$BD$30,Homes_calc!$B222-2006,Homes_calc!Z$35+1)))</f>
        <v>#DIV/0!</v>
      </c>
      <c r="AA222" s="323" t="e" cm="1">
        <f t="array" ref="AA222">AA195*(Houses_with_elec_27/Houses_with_plumbing_27)*((INDEX('DHW Mix'!$AT$7:$BD$30,Homes_calc!$B222-2006,Homes_calc!AA$35+1)))</f>
        <v>#DIV/0!</v>
      </c>
      <c r="AB222" s="323" t="e" cm="1">
        <f t="array" ref="AB222">AB195*(Houses_with_elec_27/Houses_with_plumbing_27)*((INDEX('DHW Mix'!$AT$7:$BD$30,Homes_calc!$B222-2006,Homes_calc!AB$35+1)))</f>
        <v>#DIV/0!</v>
      </c>
      <c r="AC222" s="323" t="e" cm="1">
        <f t="array" ref="AC222">AC195*(Houses_with_elec_27/Houses_with_plumbing_27)*((INDEX('DHW Mix'!$AT$7:$BD$30,Homes_calc!$B222-2006,Homes_calc!AC$35+1)))</f>
        <v>#DIV/0!</v>
      </c>
      <c r="AD222" s="323" t="e" cm="1">
        <f t="array" ref="AD222">AD195*(Houses_with_elec_27/Houses_with_plumbing_27)*((INDEX('DHW Mix'!$AT$7:$BD$30,Homes_calc!$B222-2006,Homes_calc!AD$35+1)))</f>
        <v>#DIV/0!</v>
      </c>
      <c r="AE222" s="323" t="e" cm="1">
        <f t="array" ref="AE222">AE195*(Houses_with_elec_27/Houses_with_plumbing_27)*((INDEX('DHW Mix'!$AT$7:$BD$30,Homes_calc!$B222-2006,Homes_calc!AE$35+1)))</f>
        <v>#DIV/0!</v>
      </c>
      <c r="AF222" s="323" t="e" cm="1">
        <f t="array" ref="AF222">AF195*(Houses_with_elec_27/Houses_with_plumbing_27)*((INDEX('DHW Mix'!$AT$7:$BD$30,Homes_calc!$B222-2006,Homes_calc!AF$35+1)))</f>
        <v>#DIV/0!</v>
      </c>
      <c r="AG222" s="323" t="e" cm="1">
        <f t="array" ref="AG222">AG195*(Houses_with_elec_27/Houses_with_plumbing_27)*((INDEX('DHW Mix'!$AT$7:$BD$30,Homes_calc!$B222-2006,Homes_calc!AG$35+1)))</f>
        <v>#DIV/0!</v>
      </c>
      <c r="AH222" s="323" t="e" cm="1">
        <f t="array" ref="AH222">AH195*(Houses_with_elec_27/Houses_with_plumbing_27)*((INDEX('DHW Mix'!$AT$7:$BD$30,Homes_calc!$B222-2006,Homes_calc!AH$35+1)))</f>
        <v>#DIV/0!</v>
      </c>
      <c r="AI222" s="323" t="e" cm="1">
        <f t="array" ref="AI222">AI195*(Houses_with_elec_27/Houses_with_plumbing_27)*((INDEX('DHW Mix'!$AT$7:$BD$30,Homes_calc!$B222-2006,Homes_calc!AI$35+1)))</f>
        <v>#DIV/0!</v>
      </c>
      <c r="AJ222" s="323" t="e" cm="1">
        <f t="array" ref="AJ222">AJ195*(Houses_with_elec_27/Houses_with_plumbing_27)*((INDEX('DHW Mix'!$AT$7:$BD$30,Homes_calc!$B222-2006,Homes_calc!AJ$35+1)))</f>
        <v>#DIV/0!</v>
      </c>
      <c r="AK222" s="323" t="e" cm="1">
        <f t="array" ref="AK222">AK195*(Houses_with_elec_27/Houses_with_plumbing_27)*((INDEX('DHW Mix'!$AT$7:$BD$30,Homes_calc!$B222-2006,Homes_calc!AK$35+1)))</f>
        <v>#DIV/0!</v>
      </c>
      <c r="AL222" s="323" t="e" cm="1">
        <f t="array" ref="AL222">AL195*(Houses_with_elec_27/Houses_with_plumbing_27)*((INDEX('DHW Mix'!$AT$7:$BD$30,Homes_calc!$B222-2006,Homes_calc!AL$35+1)))</f>
        <v>#DIV/0!</v>
      </c>
      <c r="AM222" s="323" t="e" cm="1">
        <f t="array" ref="AM222">AM195*(Houses_with_elec_27/Houses_with_plumbing_27)*((INDEX('DHW Mix'!$AT$7:$BD$30,Homes_calc!$B222-2006,Homes_calc!AM$35+1)))</f>
        <v>#DIV/0!</v>
      </c>
      <c r="AN222" s="323" t="e" cm="1">
        <f t="array" ref="AN222">AN195*(Houses_with_elec_27/Houses_with_plumbing_27)*((INDEX('DHW Mix'!$AT$7:$BD$30,Homes_calc!$B222-2006,Homes_calc!AN$35+1)))</f>
        <v>#DIV/0!</v>
      </c>
      <c r="AO222" s="323" t="e" cm="1">
        <f t="array" ref="AO222">AO195*(Houses_with_elec_27/Houses_with_plumbing_27)*((INDEX('DHW Mix'!$AT$7:$BD$30,Homes_calc!$B222-2006,Homes_calc!AO$35+1)))</f>
        <v>#DIV/0!</v>
      </c>
      <c r="AP222" s="323" t="e" cm="1">
        <f t="array" ref="AP222">AP195*(Houses_with_elec_27/Houses_with_plumbing_27)*((INDEX('DHW Mix'!$AT$7:$BD$30,Homes_calc!$B222-2006,Homes_calc!AP$35+1)))</f>
        <v>#DIV/0!</v>
      </c>
      <c r="AQ222" s="323" t="e" cm="1">
        <f t="array" ref="AQ222">AQ195*(Houses_with_elec_27/Houses_with_plumbing_27)*((INDEX('DHW Mix'!$AT$7:$BD$30,Homes_calc!$B222-2006,Homes_calc!AQ$35+1)))</f>
        <v>#DIV/0!</v>
      </c>
      <c r="AR222" s="323" t="e" cm="1">
        <f t="array" ref="AR222">AR195*(Houses_with_elec_27/Houses_with_plumbing_27)*((INDEX('DHW Mix'!$AT$7:$BD$30,Homes_calc!$B222-2006,Homes_calc!AR$35+1)))</f>
        <v>#DIV/0!</v>
      </c>
      <c r="AS222" s="323" t="e" cm="1">
        <f t="array" ref="AS222">AS195*(Houses_with_elec_27/Houses_with_plumbing_27)*((INDEX('DHW Mix'!$AT$7:$BD$30,Homes_calc!$B222-2006,Homes_calc!AS$35+1)))</f>
        <v>#DIV/0!</v>
      </c>
      <c r="AT222" s="323" t="e" cm="1">
        <f t="array" ref="AT222">AT195*(Houses_with_elec_27/Houses_with_plumbing_27)*((INDEX('DHW Mix'!$AT$7:$BD$30,Homes_calc!$B222-2006,Homes_calc!AT$35+1)))</f>
        <v>#DIV/0!</v>
      </c>
      <c r="AU222" s="323" t="e" cm="1">
        <f t="array" ref="AU222">AU195*(Houses_with_elec_27/Houses_with_plumbing_27)*((INDEX('DHW Mix'!$AT$7:$BD$30,Homes_calc!$B222-2006,Homes_calc!AU$35+1)))</f>
        <v>#DIV/0!</v>
      </c>
      <c r="AV222" s="323" t="e" cm="1">
        <f t="array" ref="AV222">AV195*(Houses_with_elec_27/Houses_with_plumbing_27)*((INDEX('DHW Mix'!$AT$7:$BD$30,Homes_calc!$B222-2006,Homes_calc!AV$35+1)))</f>
        <v>#DIV/0!</v>
      </c>
      <c r="AW222" s="323" t="e" cm="1">
        <f t="array" ref="AW222">AW195*(Houses_with_elec_27/Houses_with_plumbing_27)*((INDEX('DHW Mix'!$AT$7:$BD$30,Homes_calc!$B222-2006,Homes_calc!AW$35+1)))</f>
        <v>#DIV/0!</v>
      </c>
      <c r="AX222" s="323" t="e" cm="1">
        <f t="array" ref="AX222">AX195*(Houses_with_elec_27/Houses_with_plumbing_27)*((INDEX('DHW Mix'!$AT$7:$BD$30,Homes_calc!$B222-2006,Homes_calc!AX$35+1)))</f>
        <v>#DIV/0!</v>
      </c>
      <c r="AY222" s="323" t="e" cm="1">
        <f t="array" ref="AY222">AY195*(Houses_with_elec_27/Houses_with_plumbing_27)*((INDEX('DHW Mix'!$AT$7:$BD$30,Homes_calc!$B222-2006,Homes_calc!AY$35+1)))</f>
        <v>#DIV/0!</v>
      </c>
      <c r="AZ222" s="323" t="e" cm="1">
        <f t="array" ref="AZ222">AZ195*(Houses_with_elec_27/Houses_with_plumbing_27)*((INDEX('DHW Mix'!$AT$7:$BD$30,Homes_calc!$B222-2006,Homes_calc!AZ$35+1)))</f>
        <v>#DIV/0!</v>
      </c>
      <c r="BA222" s="323" t="e" cm="1">
        <f t="array" ref="BA222">BA195*(Houses_with_elec_27/Houses_with_plumbing_27)*((INDEX('DHW Mix'!$AT$7:$BD$30,Homes_calc!$B222-2006,Homes_calc!BA$35+1)))</f>
        <v>#DIV/0!</v>
      </c>
      <c r="BB222" s="21" t="e">
        <f t="shared" si="191"/>
        <v>#DIV/0!</v>
      </c>
      <c r="BC222" s="21"/>
    </row>
    <row r="223" spans="1:55">
      <c r="A223" s="456"/>
      <c r="B223" s="226">
        <v>2028</v>
      </c>
      <c r="C223" s="323" t="e" cm="1">
        <f t="array" ref="C223">C196*(Houses_with_elec_28/Houses_with_plumbing_28)*((INDEX('DHW Mix'!$AT$7:$BD$30,Homes_calc!$B223-2006,Homes_calc!C$35+1)))</f>
        <v>#DIV/0!</v>
      </c>
      <c r="D223" s="323" t="e" cm="1">
        <f t="array" ref="D223">D196*(Houses_with_elec_28/Houses_with_plumbing_28)*((INDEX('DHW Mix'!$AT$7:$BD$30,Homes_calc!$B223-2006,Homes_calc!D$35+1)))</f>
        <v>#DIV/0!</v>
      </c>
      <c r="E223" s="323" t="e" cm="1">
        <f t="array" ref="E223">E196*(Houses_with_elec_28/Houses_with_plumbing_28)*((INDEX('DHW Mix'!$AT$7:$BD$30,Homes_calc!$B223-2006,Homes_calc!E$35+1)))</f>
        <v>#DIV/0!</v>
      </c>
      <c r="F223" s="323" t="e" cm="1">
        <f t="array" ref="F223">F196*(Houses_with_elec_28/Houses_with_plumbing_28)*((INDEX('DHW Mix'!$AT$7:$BD$30,Homes_calc!$B223-2006,Homes_calc!F$35+1)))</f>
        <v>#DIV/0!</v>
      </c>
      <c r="G223" s="323" t="e" cm="1">
        <f t="array" ref="G223">G196*(Houses_with_elec_28/Houses_with_plumbing_28)*((INDEX('DHW Mix'!$AT$7:$BD$30,Homes_calc!$B223-2006,Homes_calc!G$35+1)))</f>
        <v>#DIV/0!</v>
      </c>
      <c r="H223" s="323" t="e" cm="1">
        <f t="array" ref="H223">H196*(Houses_with_elec_28/Houses_with_plumbing_28)*((INDEX('DHW Mix'!$AT$7:$BD$30,Homes_calc!$B223-2006,Homes_calc!H$35+1)))</f>
        <v>#DIV/0!</v>
      </c>
      <c r="I223" s="323" t="e" cm="1">
        <f t="array" ref="I223">I196*(Houses_with_elec_28/Houses_with_plumbing_28)*((INDEX('DHW Mix'!$AT$7:$BD$30,Homes_calc!$B223-2006,Homes_calc!I$35+1)))</f>
        <v>#DIV/0!</v>
      </c>
      <c r="J223" s="323" t="e" cm="1">
        <f t="array" ref="J223">J196*(Houses_with_elec_28/Houses_with_plumbing_28)*((INDEX('DHW Mix'!$AT$7:$BD$30,Homes_calc!$B223-2006,Homes_calc!J$35+1)))</f>
        <v>#DIV/0!</v>
      </c>
      <c r="K223" s="323" t="e" cm="1">
        <f t="array" ref="K223">K196*(Houses_with_elec_28/Houses_with_plumbing_28)*((INDEX('DHW Mix'!$AT$7:$BD$30,Homes_calc!$B223-2006,Homes_calc!K$35+1)))</f>
        <v>#DIV/0!</v>
      </c>
      <c r="L223" s="323" t="e" cm="1">
        <f t="array" ref="L223">L196*(Houses_with_elec_28/Houses_with_plumbing_28)*((INDEX('DHW Mix'!$AT$7:$BD$30,Homes_calc!$B223-2006,Homes_calc!L$35+1)))</f>
        <v>#DIV/0!</v>
      </c>
      <c r="M223" s="323" t="e" cm="1">
        <f t="array" ref="M223">M196*(Houses_with_elec_28/Houses_with_plumbing_28)*((INDEX('DHW Mix'!$AT$7:$BD$30,Homes_calc!$B223-2006,Homes_calc!M$35+1)))</f>
        <v>#DIV/0!</v>
      </c>
      <c r="N223" s="323" t="e" cm="1">
        <f t="array" ref="N223">N196*(Houses_with_elec_28/Houses_with_plumbing_28)*((INDEX('DHW Mix'!$AT$7:$BD$30,Homes_calc!$B223-2006,Homes_calc!N$35+1)))</f>
        <v>#DIV/0!</v>
      </c>
      <c r="O223" s="323" t="e" cm="1">
        <f t="array" ref="O223">O196*(Houses_with_elec_28/Houses_with_plumbing_28)*((INDEX('DHW Mix'!$AT$7:$BD$30,Homes_calc!$B223-2006,Homes_calc!O$35+1)))</f>
        <v>#DIV/0!</v>
      </c>
      <c r="P223" s="323" t="e" cm="1">
        <f t="array" ref="P223">P196*(Houses_with_elec_28/Houses_with_plumbing_28)*((INDEX('DHW Mix'!$AT$7:$BD$30,Homes_calc!$B223-2006,Homes_calc!P$35+1)))</f>
        <v>#DIV/0!</v>
      </c>
      <c r="Q223" s="323" t="e" cm="1">
        <f t="array" ref="Q223">Q196*(Houses_with_elec_28/Houses_with_plumbing_28)*((INDEX('DHW Mix'!$AT$7:$BD$30,Homes_calc!$B223-2006,Homes_calc!Q$35+1)))</f>
        <v>#DIV/0!</v>
      </c>
      <c r="R223" s="323" t="e" cm="1">
        <f t="array" ref="R223">R196*(Houses_with_elec_28/Houses_with_plumbing_28)*((INDEX('DHW Mix'!$AT$7:$BD$30,Homes_calc!$B223-2006,Homes_calc!R$35+1)))</f>
        <v>#DIV/0!</v>
      </c>
      <c r="S223" s="323" t="e" cm="1">
        <f t="array" ref="S223">S196*(Houses_with_elec_28/Houses_with_plumbing_28)*((INDEX('DHW Mix'!$AT$7:$BD$30,Homes_calc!$B223-2006,Homes_calc!S$35+1)))</f>
        <v>#DIV/0!</v>
      </c>
      <c r="T223" s="323" t="e" cm="1">
        <f t="array" ref="T223">T196*(Houses_with_elec_28/Houses_with_plumbing_28)*((INDEX('DHW Mix'!$AT$7:$BD$30,Homes_calc!$B223-2006,Homes_calc!T$35+1)))</f>
        <v>#DIV/0!</v>
      </c>
      <c r="U223" s="323" t="e" cm="1">
        <f t="array" ref="U223">U196*(Houses_with_elec_28/Houses_with_plumbing_28)*((INDEX('DHW Mix'!$AT$7:$BD$30,Homes_calc!$B223-2006,Homes_calc!U$35+1)))</f>
        <v>#DIV/0!</v>
      </c>
      <c r="V223" s="323" t="e" cm="1">
        <f t="array" ref="V223">V196*(Houses_with_elec_28/Houses_with_plumbing_28)*((INDEX('DHW Mix'!$AT$7:$BD$30,Homes_calc!$B223-2006,Homes_calc!V$35+1)))</f>
        <v>#DIV/0!</v>
      </c>
      <c r="W223" s="323" t="e" cm="1">
        <f t="array" ref="W223">W196*(Houses_with_elec_28/Houses_with_plumbing_28)*((INDEX('DHW Mix'!$AT$7:$BD$30,Homes_calc!$B223-2006,Homes_calc!W$35+1)))</f>
        <v>#DIV/0!</v>
      </c>
      <c r="X223" s="323" t="e" cm="1">
        <f t="array" ref="X223">X196*(Houses_with_elec_28/Houses_with_plumbing_28)*((INDEX('DHW Mix'!$AT$7:$BD$30,Homes_calc!$B223-2006,Homes_calc!X$35+1)))</f>
        <v>#DIV/0!</v>
      </c>
      <c r="Y223" s="323" t="e" cm="1">
        <f t="array" ref="Y223">Y196*(Houses_with_elec_28/Houses_with_plumbing_28)*((INDEX('DHW Mix'!$AT$7:$BD$30,Homes_calc!$B223-2006,Homes_calc!Y$35+1)))</f>
        <v>#DIV/0!</v>
      </c>
      <c r="Z223" s="323" t="e" cm="1">
        <f t="array" ref="Z223">Z196*(Houses_with_elec_28/Houses_with_plumbing_28)*((INDEX('DHW Mix'!$AT$7:$BD$30,Homes_calc!$B223-2006,Homes_calc!Z$35+1)))</f>
        <v>#DIV/0!</v>
      </c>
      <c r="AA223" s="323" t="e" cm="1">
        <f t="array" ref="AA223">AA196*(Houses_with_elec_28/Houses_with_plumbing_28)*((INDEX('DHW Mix'!$AT$7:$BD$30,Homes_calc!$B223-2006,Homes_calc!AA$35+1)))</f>
        <v>#DIV/0!</v>
      </c>
      <c r="AB223" s="323" t="e" cm="1">
        <f t="array" ref="AB223">AB196*(Houses_with_elec_28/Houses_with_plumbing_28)*((INDEX('DHW Mix'!$AT$7:$BD$30,Homes_calc!$B223-2006,Homes_calc!AB$35+1)))</f>
        <v>#DIV/0!</v>
      </c>
      <c r="AC223" s="323" t="e" cm="1">
        <f t="array" ref="AC223">AC196*(Houses_with_elec_28/Houses_with_plumbing_28)*((INDEX('DHW Mix'!$AT$7:$BD$30,Homes_calc!$B223-2006,Homes_calc!AC$35+1)))</f>
        <v>#DIV/0!</v>
      </c>
      <c r="AD223" s="323" t="e" cm="1">
        <f t="array" ref="AD223">AD196*(Houses_with_elec_28/Houses_with_plumbing_28)*((INDEX('DHW Mix'!$AT$7:$BD$30,Homes_calc!$B223-2006,Homes_calc!AD$35+1)))</f>
        <v>#DIV/0!</v>
      </c>
      <c r="AE223" s="323" t="e" cm="1">
        <f t="array" ref="AE223">AE196*(Houses_with_elec_28/Houses_with_plumbing_28)*((INDEX('DHW Mix'!$AT$7:$BD$30,Homes_calc!$B223-2006,Homes_calc!AE$35+1)))</f>
        <v>#DIV/0!</v>
      </c>
      <c r="AF223" s="323" t="e" cm="1">
        <f t="array" ref="AF223">AF196*(Houses_with_elec_28/Houses_with_plumbing_28)*((INDEX('DHW Mix'!$AT$7:$BD$30,Homes_calc!$B223-2006,Homes_calc!AF$35+1)))</f>
        <v>#DIV/0!</v>
      </c>
      <c r="AG223" s="323" t="e" cm="1">
        <f t="array" ref="AG223">AG196*(Houses_with_elec_28/Houses_with_plumbing_28)*((INDEX('DHW Mix'!$AT$7:$BD$30,Homes_calc!$B223-2006,Homes_calc!AG$35+1)))</f>
        <v>#DIV/0!</v>
      </c>
      <c r="AH223" s="323" t="e" cm="1">
        <f t="array" ref="AH223">AH196*(Houses_with_elec_28/Houses_with_plumbing_28)*((INDEX('DHW Mix'!$AT$7:$BD$30,Homes_calc!$B223-2006,Homes_calc!AH$35+1)))</f>
        <v>#DIV/0!</v>
      </c>
      <c r="AI223" s="323" t="e" cm="1">
        <f t="array" ref="AI223">AI196*(Houses_with_elec_28/Houses_with_plumbing_28)*((INDEX('DHW Mix'!$AT$7:$BD$30,Homes_calc!$B223-2006,Homes_calc!AI$35+1)))</f>
        <v>#DIV/0!</v>
      </c>
      <c r="AJ223" s="323" t="e" cm="1">
        <f t="array" ref="AJ223">AJ196*(Houses_with_elec_28/Houses_with_plumbing_28)*((INDEX('DHW Mix'!$AT$7:$BD$30,Homes_calc!$B223-2006,Homes_calc!AJ$35+1)))</f>
        <v>#DIV/0!</v>
      </c>
      <c r="AK223" s="323" t="e" cm="1">
        <f t="array" ref="AK223">AK196*(Houses_with_elec_28/Houses_with_plumbing_28)*((INDEX('DHW Mix'!$AT$7:$BD$30,Homes_calc!$B223-2006,Homes_calc!AK$35+1)))</f>
        <v>#DIV/0!</v>
      </c>
      <c r="AL223" s="323" t="e" cm="1">
        <f t="array" ref="AL223">AL196*(Houses_with_elec_28/Houses_with_plumbing_28)*((INDEX('DHW Mix'!$AT$7:$BD$30,Homes_calc!$B223-2006,Homes_calc!AL$35+1)))</f>
        <v>#DIV/0!</v>
      </c>
      <c r="AM223" s="323" t="e" cm="1">
        <f t="array" ref="AM223">AM196*(Houses_with_elec_28/Houses_with_plumbing_28)*((INDEX('DHW Mix'!$AT$7:$BD$30,Homes_calc!$B223-2006,Homes_calc!AM$35+1)))</f>
        <v>#DIV/0!</v>
      </c>
      <c r="AN223" s="323" t="e" cm="1">
        <f t="array" ref="AN223">AN196*(Houses_with_elec_28/Houses_with_plumbing_28)*((INDEX('DHW Mix'!$AT$7:$BD$30,Homes_calc!$B223-2006,Homes_calc!AN$35+1)))</f>
        <v>#DIV/0!</v>
      </c>
      <c r="AO223" s="323" t="e" cm="1">
        <f t="array" ref="AO223">AO196*(Houses_with_elec_28/Houses_with_plumbing_28)*((INDEX('DHW Mix'!$AT$7:$BD$30,Homes_calc!$B223-2006,Homes_calc!AO$35+1)))</f>
        <v>#DIV/0!</v>
      </c>
      <c r="AP223" s="323" t="e" cm="1">
        <f t="array" ref="AP223">AP196*(Houses_with_elec_28/Houses_with_plumbing_28)*((INDEX('DHW Mix'!$AT$7:$BD$30,Homes_calc!$B223-2006,Homes_calc!AP$35+1)))</f>
        <v>#DIV/0!</v>
      </c>
      <c r="AQ223" s="323" t="e" cm="1">
        <f t="array" ref="AQ223">AQ196*(Houses_with_elec_28/Houses_with_plumbing_28)*((INDEX('DHW Mix'!$AT$7:$BD$30,Homes_calc!$B223-2006,Homes_calc!AQ$35+1)))</f>
        <v>#DIV/0!</v>
      </c>
      <c r="AR223" s="323" t="e" cm="1">
        <f t="array" ref="AR223">AR196*(Houses_with_elec_28/Houses_with_plumbing_28)*((INDEX('DHW Mix'!$AT$7:$BD$30,Homes_calc!$B223-2006,Homes_calc!AR$35+1)))</f>
        <v>#DIV/0!</v>
      </c>
      <c r="AS223" s="323" t="e" cm="1">
        <f t="array" ref="AS223">AS196*(Houses_with_elec_28/Houses_with_plumbing_28)*((INDEX('DHW Mix'!$AT$7:$BD$30,Homes_calc!$B223-2006,Homes_calc!AS$35+1)))</f>
        <v>#DIV/0!</v>
      </c>
      <c r="AT223" s="323" t="e" cm="1">
        <f t="array" ref="AT223">AT196*(Houses_with_elec_28/Houses_with_plumbing_28)*((INDEX('DHW Mix'!$AT$7:$BD$30,Homes_calc!$B223-2006,Homes_calc!AT$35+1)))</f>
        <v>#DIV/0!</v>
      </c>
      <c r="AU223" s="323" t="e" cm="1">
        <f t="array" ref="AU223">AU196*(Houses_with_elec_28/Houses_with_plumbing_28)*((INDEX('DHW Mix'!$AT$7:$BD$30,Homes_calc!$B223-2006,Homes_calc!AU$35+1)))</f>
        <v>#DIV/0!</v>
      </c>
      <c r="AV223" s="323" t="e" cm="1">
        <f t="array" ref="AV223">AV196*(Houses_with_elec_28/Houses_with_plumbing_28)*((INDEX('DHW Mix'!$AT$7:$BD$30,Homes_calc!$B223-2006,Homes_calc!AV$35+1)))</f>
        <v>#DIV/0!</v>
      </c>
      <c r="AW223" s="323" t="e" cm="1">
        <f t="array" ref="AW223">AW196*(Houses_with_elec_28/Houses_with_plumbing_28)*((INDEX('DHW Mix'!$AT$7:$BD$30,Homes_calc!$B223-2006,Homes_calc!AW$35+1)))</f>
        <v>#DIV/0!</v>
      </c>
      <c r="AX223" s="323" t="e" cm="1">
        <f t="array" ref="AX223">AX196*(Houses_with_elec_28/Houses_with_plumbing_28)*((INDEX('DHW Mix'!$AT$7:$BD$30,Homes_calc!$B223-2006,Homes_calc!AX$35+1)))</f>
        <v>#DIV/0!</v>
      </c>
      <c r="AY223" s="323" t="e" cm="1">
        <f t="array" ref="AY223">AY196*(Houses_with_elec_28/Houses_with_plumbing_28)*((INDEX('DHW Mix'!$AT$7:$BD$30,Homes_calc!$B223-2006,Homes_calc!AY$35+1)))</f>
        <v>#DIV/0!</v>
      </c>
      <c r="AZ223" s="323" t="e" cm="1">
        <f t="array" ref="AZ223">AZ196*(Houses_with_elec_28/Houses_with_plumbing_28)*((INDEX('DHW Mix'!$AT$7:$BD$30,Homes_calc!$B223-2006,Homes_calc!AZ$35+1)))</f>
        <v>#DIV/0!</v>
      </c>
      <c r="BA223" s="323" t="e" cm="1">
        <f t="array" ref="BA223">BA196*(Houses_with_elec_28/Houses_with_plumbing_28)*((INDEX('DHW Mix'!$AT$7:$BD$30,Homes_calc!$B223-2006,Homes_calc!BA$35+1)))</f>
        <v>#DIV/0!</v>
      </c>
      <c r="BB223" s="21" t="e">
        <f t="shared" si="191"/>
        <v>#DIV/0!</v>
      </c>
      <c r="BC223" s="21"/>
    </row>
    <row r="224" spans="1:55">
      <c r="A224" s="456"/>
      <c r="B224" s="228">
        <v>2029</v>
      </c>
      <c r="C224" s="323" t="e" cm="1">
        <f t="array" ref="C224">C197*(Houses_with_elec_29/Houses_with_plumbing_29)*((INDEX('DHW Mix'!$AT$7:$BD$30,Homes_calc!$B224-2006,Homes_calc!C$35+1)))</f>
        <v>#DIV/0!</v>
      </c>
      <c r="D224" s="323" t="e" cm="1">
        <f t="array" ref="D224">D197*(Houses_with_elec_29/Houses_with_plumbing_29)*((INDEX('DHW Mix'!$AT$7:$BD$30,Homes_calc!$B224-2006,Homes_calc!D$35+1)))</f>
        <v>#DIV/0!</v>
      </c>
      <c r="E224" s="323" t="e" cm="1">
        <f t="array" ref="E224">E197*(Houses_with_elec_29/Houses_with_plumbing_29)*((INDEX('DHW Mix'!$AT$7:$BD$30,Homes_calc!$B224-2006,Homes_calc!E$35+1)))</f>
        <v>#DIV/0!</v>
      </c>
      <c r="F224" s="323" t="e" cm="1">
        <f t="array" ref="F224">F197*(Houses_with_elec_29/Houses_with_plumbing_29)*((INDEX('DHW Mix'!$AT$7:$BD$30,Homes_calc!$B224-2006,Homes_calc!F$35+1)))</f>
        <v>#DIV/0!</v>
      </c>
      <c r="G224" s="323" t="e" cm="1">
        <f t="array" ref="G224">G197*(Houses_with_elec_29/Houses_with_plumbing_29)*((INDEX('DHW Mix'!$AT$7:$BD$30,Homes_calc!$B224-2006,Homes_calc!G$35+1)))</f>
        <v>#DIV/0!</v>
      </c>
      <c r="H224" s="323" t="e" cm="1">
        <f t="array" ref="H224">H197*(Houses_with_elec_29/Houses_with_plumbing_29)*((INDEX('DHW Mix'!$AT$7:$BD$30,Homes_calc!$B224-2006,Homes_calc!H$35+1)))</f>
        <v>#DIV/0!</v>
      </c>
      <c r="I224" s="323" t="e" cm="1">
        <f t="array" ref="I224">I197*(Houses_with_elec_29/Houses_with_plumbing_29)*((INDEX('DHW Mix'!$AT$7:$BD$30,Homes_calc!$B224-2006,Homes_calc!I$35+1)))</f>
        <v>#DIV/0!</v>
      </c>
      <c r="J224" s="323" t="e" cm="1">
        <f t="array" ref="J224">J197*(Houses_with_elec_29/Houses_with_plumbing_29)*((INDEX('DHW Mix'!$AT$7:$BD$30,Homes_calc!$B224-2006,Homes_calc!J$35+1)))</f>
        <v>#DIV/0!</v>
      </c>
      <c r="K224" s="323" t="e" cm="1">
        <f t="array" ref="K224">K197*(Houses_with_elec_29/Houses_with_plumbing_29)*((INDEX('DHW Mix'!$AT$7:$BD$30,Homes_calc!$B224-2006,Homes_calc!K$35+1)))</f>
        <v>#DIV/0!</v>
      </c>
      <c r="L224" s="323" t="e" cm="1">
        <f t="array" ref="L224">L197*(Houses_with_elec_29/Houses_with_plumbing_29)*((INDEX('DHW Mix'!$AT$7:$BD$30,Homes_calc!$B224-2006,Homes_calc!L$35+1)))</f>
        <v>#DIV/0!</v>
      </c>
      <c r="M224" s="323" t="e" cm="1">
        <f t="array" ref="M224">M197*(Houses_with_elec_29/Houses_with_plumbing_29)*((INDEX('DHW Mix'!$AT$7:$BD$30,Homes_calc!$B224-2006,Homes_calc!M$35+1)))</f>
        <v>#DIV/0!</v>
      </c>
      <c r="N224" s="323" t="e" cm="1">
        <f t="array" ref="N224">N197*(Houses_with_elec_29/Houses_with_plumbing_29)*((INDEX('DHW Mix'!$AT$7:$BD$30,Homes_calc!$B224-2006,Homes_calc!N$35+1)))</f>
        <v>#DIV/0!</v>
      </c>
      <c r="O224" s="323" t="e" cm="1">
        <f t="array" ref="O224">O197*(Houses_with_elec_29/Houses_with_plumbing_29)*((INDEX('DHW Mix'!$AT$7:$BD$30,Homes_calc!$B224-2006,Homes_calc!O$35+1)))</f>
        <v>#DIV/0!</v>
      </c>
      <c r="P224" s="323" t="e" cm="1">
        <f t="array" ref="P224">P197*(Houses_with_elec_29/Houses_with_plumbing_29)*((INDEX('DHW Mix'!$AT$7:$BD$30,Homes_calc!$B224-2006,Homes_calc!P$35+1)))</f>
        <v>#DIV/0!</v>
      </c>
      <c r="Q224" s="323" t="e" cm="1">
        <f t="array" ref="Q224">Q197*(Houses_with_elec_29/Houses_with_plumbing_29)*((INDEX('DHW Mix'!$AT$7:$BD$30,Homes_calc!$B224-2006,Homes_calc!Q$35+1)))</f>
        <v>#DIV/0!</v>
      </c>
      <c r="R224" s="323" t="e" cm="1">
        <f t="array" ref="R224">R197*(Houses_with_elec_29/Houses_with_plumbing_29)*((INDEX('DHW Mix'!$AT$7:$BD$30,Homes_calc!$B224-2006,Homes_calc!R$35+1)))</f>
        <v>#DIV/0!</v>
      </c>
      <c r="S224" s="323" t="e" cm="1">
        <f t="array" ref="S224">S197*(Houses_with_elec_29/Houses_with_plumbing_29)*((INDEX('DHW Mix'!$AT$7:$BD$30,Homes_calc!$B224-2006,Homes_calc!S$35+1)))</f>
        <v>#DIV/0!</v>
      </c>
      <c r="T224" s="323" t="e" cm="1">
        <f t="array" ref="T224">T197*(Houses_with_elec_29/Houses_with_plumbing_29)*((INDEX('DHW Mix'!$AT$7:$BD$30,Homes_calc!$B224-2006,Homes_calc!T$35+1)))</f>
        <v>#DIV/0!</v>
      </c>
      <c r="U224" s="323" t="e" cm="1">
        <f t="array" ref="U224">U197*(Houses_with_elec_29/Houses_with_plumbing_29)*((INDEX('DHW Mix'!$AT$7:$BD$30,Homes_calc!$B224-2006,Homes_calc!U$35+1)))</f>
        <v>#DIV/0!</v>
      </c>
      <c r="V224" s="323" t="e" cm="1">
        <f t="array" ref="V224">V197*(Houses_with_elec_29/Houses_with_plumbing_29)*((INDEX('DHW Mix'!$AT$7:$BD$30,Homes_calc!$B224-2006,Homes_calc!V$35+1)))</f>
        <v>#DIV/0!</v>
      </c>
      <c r="W224" s="323" t="e" cm="1">
        <f t="array" ref="W224">W197*(Houses_with_elec_29/Houses_with_plumbing_29)*((INDEX('DHW Mix'!$AT$7:$BD$30,Homes_calc!$B224-2006,Homes_calc!W$35+1)))</f>
        <v>#DIV/0!</v>
      </c>
      <c r="X224" s="323" t="e" cm="1">
        <f t="array" ref="X224">X197*(Houses_with_elec_29/Houses_with_plumbing_29)*((INDEX('DHW Mix'!$AT$7:$BD$30,Homes_calc!$B224-2006,Homes_calc!X$35+1)))</f>
        <v>#DIV/0!</v>
      </c>
      <c r="Y224" s="323" t="e" cm="1">
        <f t="array" ref="Y224">Y197*(Houses_with_elec_29/Houses_with_plumbing_29)*((INDEX('DHW Mix'!$AT$7:$BD$30,Homes_calc!$B224-2006,Homes_calc!Y$35+1)))</f>
        <v>#DIV/0!</v>
      </c>
      <c r="Z224" s="323" t="e" cm="1">
        <f t="array" ref="Z224">Z197*(Houses_with_elec_29/Houses_with_plumbing_29)*((INDEX('DHW Mix'!$AT$7:$BD$30,Homes_calc!$B224-2006,Homes_calc!Z$35+1)))</f>
        <v>#DIV/0!</v>
      </c>
      <c r="AA224" s="323" t="e" cm="1">
        <f t="array" ref="AA224">AA197*(Houses_with_elec_29/Houses_with_plumbing_29)*((INDEX('DHW Mix'!$AT$7:$BD$30,Homes_calc!$B224-2006,Homes_calc!AA$35+1)))</f>
        <v>#DIV/0!</v>
      </c>
      <c r="AB224" s="323" t="e" cm="1">
        <f t="array" ref="AB224">AB197*(Houses_with_elec_29/Houses_with_plumbing_29)*((INDEX('DHW Mix'!$AT$7:$BD$30,Homes_calc!$B224-2006,Homes_calc!AB$35+1)))</f>
        <v>#DIV/0!</v>
      </c>
      <c r="AC224" s="323" t="e" cm="1">
        <f t="array" ref="AC224">AC197*(Houses_with_elec_29/Houses_with_plumbing_29)*((INDEX('DHW Mix'!$AT$7:$BD$30,Homes_calc!$B224-2006,Homes_calc!AC$35+1)))</f>
        <v>#DIV/0!</v>
      </c>
      <c r="AD224" s="323" t="e" cm="1">
        <f t="array" ref="AD224">AD197*(Houses_with_elec_29/Houses_with_plumbing_29)*((INDEX('DHW Mix'!$AT$7:$BD$30,Homes_calc!$B224-2006,Homes_calc!AD$35+1)))</f>
        <v>#DIV/0!</v>
      </c>
      <c r="AE224" s="323" t="e" cm="1">
        <f t="array" ref="AE224">AE197*(Houses_with_elec_29/Houses_with_plumbing_29)*((INDEX('DHW Mix'!$AT$7:$BD$30,Homes_calc!$B224-2006,Homes_calc!AE$35+1)))</f>
        <v>#DIV/0!</v>
      </c>
      <c r="AF224" s="323" t="e" cm="1">
        <f t="array" ref="AF224">AF197*(Houses_with_elec_29/Houses_with_plumbing_29)*((INDEX('DHW Mix'!$AT$7:$BD$30,Homes_calc!$B224-2006,Homes_calc!AF$35+1)))</f>
        <v>#DIV/0!</v>
      </c>
      <c r="AG224" s="323" t="e" cm="1">
        <f t="array" ref="AG224">AG197*(Houses_with_elec_29/Houses_with_plumbing_29)*((INDEX('DHW Mix'!$AT$7:$BD$30,Homes_calc!$B224-2006,Homes_calc!AG$35+1)))</f>
        <v>#DIV/0!</v>
      </c>
      <c r="AH224" s="323" t="e" cm="1">
        <f t="array" ref="AH224">AH197*(Houses_with_elec_29/Houses_with_plumbing_29)*((INDEX('DHW Mix'!$AT$7:$BD$30,Homes_calc!$B224-2006,Homes_calc!AH$35+1)))</f>
        <v>#DIV/0!</v>
      </c>
      <c r="AI224" s="323" t="e" cm="1">
        <f t="array" ref="AI224">AI197*(Houses_with_elec_29/Houses_with_plumbing_29)*((INDEX('DHW Mix'!$AT$7:$BD$30,Homes_calc!$B224-2006,Homes_calc!AI$35+1)))</f>
        <v>#DIV/0!</v>
      </c>
      <c r="AJ224" s="323" t="e" cm="1">
        <f t="array" ref="AJ224">AJ197*(Houses_with_elec_29/Houses_with_plumbing_29)*((INDEX('DHW Mix'!$AT$7:$BD$30,Homes_calc!$B224-2006,Homes_calc!AJ$35+1)))</f>
        <v>#DIV/0!</v>
      </c>
      <c r="AK224" s="323" t="e" cm="1">
        <f t="array" ref="AK224">AK197*(Houses_with_elec_29/Houses_with_plumbing_29)*((INDEX('DHW Mix'!$AT$7:$BD$30,Homes_calc!$B224-2006,Homes_calc!AK$35+1)))</f>
        <v>#DIV/0!</v>
      </c>
      <c r="AL224" s="323" t="e" cm="1">
        <f t="array" ref="AL224">AL197*(Houses_with_elec_29/Houses_with_plumbing_29)*((INDEX('DHW Mix'!$AT$7:$BD$30,Homes_calc!$B224-2006,Homes_calc!AL$35+1)))</f>
        <v>#DIV/0!</v>
      </c>
      <c r="AM224" s="323" t="e" cm="1">
        <f t="array" ref="AM224">AM197*(Houses_with_elec_29/Houses_with_plumbing_29)*((INDEX('DHW Mix'!$AT$7:$BD$30,Homes_calc!$B224-2006,Homes_calc!AM$35+1)))</f>
        <v>#DIV/0!</v>
      </c>
      <c r="AN224" s="323" t="e" cm="1">
        <f t="array" ref="AN224">AN197*(Houses_with_elec_29/Houses_with_plumbing_29)*((INDEX('DHW Mix'!$AT$7:$BD$30,Homes_calc!$B224-2006,Homes_calc!AN$35+1)))</f>
        <v>#DIV/0!</v>
      </c>
      <c r="AO224" s="323" t="e" cm="1">
        <f t="array" ref="AO224">AO197*(Houses_with_elec_29/Houses_with_plumbing_29)*((INDEX('DHW Mix'!$AT$7:$BD$30,Homes_calc!$B224-2006,Homes_calc!AO$35+1)))</f>
        <v>#DIV/0!</v>
      </c>
      <c r="AP224" s="323" t="e" cm="1">
        <f t="array" ref="AP224">AP197*(Houses_with_elec_29/Houses_with_plumbing_29)*((INDEX('DHW Mix'!$AT$7:$BD$30,Homes_calc!$B224-2006,Homes_calc!AP$35+1)))</f>
        <v>#DIV/0!</v>
      </c>
      <c r="AQ224" s="323" t="e" cm="1">
        <f t="array" ref="AQ224">AQ197*(Houses_with_elec_29/Houses_with_plumbing_29)*((INDEX('DHW Mix'!$AT$7:$BD$30,Homes_calc!$B224-2006,Homes_calc!AQ$35+1)))</f>
        <v>#DIV/0!</v>
      </c>
      <c r="AR224" s="323" t="e" cm="1">
        <f t="array" ref="AR224">AR197*(Houses_with_elec_29/Houses_with_plumbing_29)*((INDEX('DHW Mix'!$AT$7:$BD$30,Homes_calc!$B224-2006,Homes_calc!AR$35+1)))</f>
        <v>#DIV/0!</v>
      </c>
      <c r="AS224" s="323" t="e" cm="1">
        <f t="array" ref="AS224">AS197*(Houses_with_elec_29/Houses_with_plumbing_29)*((INDEX('DHW Mix'!$AT$7:$BD$30,Homes_calc!$B224-2006,Homes_calc!AS$35+1)))</f>
        <v>#DIV/0!</v>
      </c>
      <c r="AT224" s="323" t="e" cm="1">
        <f t="array" ref="AT224">AT197*(Houses_with_elec_29/Houses_with_plumbing_29)*((INDEX('DHW Mix'!$AT$7:$BD$30,Homes_calc!$B224-2006,Homes_calc!AT$35+1)))</f>
        <v>#DIV/0!</v>
      </c>
      <c r="AU224" s="323" t="e" cm="1">
        <f t="array" ref="AU224">AU197*(Houses_with_elec_29/Houses_with_plumbing_29)*((INDEX('DHW Mix'!$AT$7:$BD$30,Homes_calc!$B224-2006,Homes_calc!AU$35+1)))</f>
        <v>#DIV/0!</v>
      </c>
      <c r="AV224" s="323" t="e" cm="1">
        <f t="array" ref="AV224">AV197*(Houses_with_elec_29/Houses_with_plumbing_29)*((INDEX('DHW Mix'!$AT$7:$BD$30,Homes_calc!$B224-2006,Homes_calc!AV$35+1)))</f>
        <v>#DIV/0!</v>
      </c>
      <c r="AW224" s="323" t="e" cm="1">
        <f t="array" ref="AW224">AW197*(Houses_with_elec_29/Houses_with_plumbing_29)*((INDEX('DHW Mix'!$AT$7:$BD$30,Homes_calc!$B224-2006,Homes_calc!AW$35+1)))</f>
        <v>#DIV/0!</v>
      </c>
      <c r="AX224" s="323" t="e" cm="1">
        <f t="array" ref="AX224">AX197*(Houses_with_elec_29/Houses_with_plumbing_29)*((INDEX('DHW Mix'!$AT$7:$BD$30,Homes_calc!$B224-2006,Homes_calc!AX$35+1)))</f>
        <v>#DIV/0!</v>
      </c>
      <c r="AY224" s="323" t="e" cm="1">
        <f t="array" ref="AY224">AY197*(Houses_with_elec_29/Houses_with_plumbing_29)*((INDEX('DHW Mix'!$AT$7:$BD$30,Homes_calc!$B224-2006,Homes_calc!AY$35+1)))</f>
        <v>#DIV/0!</v>
      </c>
      <c r="AZ224" s="323" t="e" cm="1">
        <f t="array" ref="AZ224">AZ197*(Houses_with_elec_29/Houses_with_plumbing_29)*((INDEX('DHW Mix'!$AT$7:$BD$30,Homes_calc!$B224-2006,Homes_calc!AZ$35+1)))</f>
        <v>#DIV/0!</v>
      </c>
      <c r="BA224" s="323" t="e" cm="1">
        <f t="array" ref="BA224">BA197*(Houses_with_elec_29/Houses_with_plumbing_29)*((INDEX('DHW Mix'!$AT$7:$BD$30,Homes_calc!$B224-2006,Homes_calc!BA$35+1)))</f>
        <v>#DIV/0!</v>
      </c>
      <c r="BB224" s="21" t="e">
        <f t="shared" si="191"/>
        <v>#DIV/0!</v>
      </c>
      <c r="BC224" s="21"/>
    </row>
    <row r="225" spans="1:55">
      <c r="A225" s="456"/>
      <c r="B225" s="226">
        <v>2030</v>
      </c>
      <c r="C225" s="323" t="e" cm="1">
        <f t="array" ref="C225">C198*(Houses_with_elec_30/Houses_with_plumbing_30)*((INDEX('DHW Mix'!$AT$7:$BD$30,Homes_calc!$B225-2006,Homes_calc!C$35+1)))</f>
        <v>#DIV/0!</v>
      </c>
      <c r="D225" s="323" t="e" cm="1">
        <f t="array" ref="D225">D198*(Houses_with_elec_30/Houses_with_plumbing_30)*((INDEX('DHW Mix'!$AT$7:$BD$30,Homes_calc!$B225-2006,Homes_calc!D$35+1)))</f>
        <v>#DIV/0!</v>
      </c>
      <c r="E225" s="323" t="e" cm="1">
        <f t="array" ref="E225">E198*(Houses_with_elec_30/Houses_with_plumbing_30)*((INDEX('DHW Mix'!$AT$7:$BD$30,Homes_calc!$B225-2006,Homes_calc!E$35+1)))</f>
        <v>#DIV/0!</v>
      </c>
      <c r="F225" s="323" t="e" cm="1">
        <f t="array" ref="F225">F198*(Houses_with_elec_30/Houses_with_plumbing_30)*((INDEX('DHW Mix'!$AT$7:$BD$30,Homes_calc!$B225-2006,Homes_calc!F$35+1)))</f>
        <v>#DIV/0!</v>
      </c>
      <c r="G225" s="323" t="e" cm="1">
        <f t="array" ref="G225">G198*(Houses_with_elec_30/Houses_with_plumbing_30)*((INDEX('DHW Mix'!$AT$7:$BD$30,Homes_calc!$B225-2006,Homes_calc!G$35+1)))</f>
        <v>#DIV/0!</v>
      </c>
      <c r="H225" s="323" t="e" cm="1">
        <f t="array" ref="H225">H198*(Houses_with_elec_30/Houses_with_plumbing_30)*((INDEX('DHW Mix'!$AT$7:$BD$30,Homes_calc!$B225-2006,Homes_calc!H$35+1)))</f>
        <v>#DIV/0!</v>
      </c>
      <c r="I225" s="323" t="e" cm="1">
        <f t="array" ref="I225">I198*(Houses_with_elec_30/Houses_with_plumbing_30)*((INDEX('DHW Mix'!$AT$7:$BD$30,Homes_calc!$B225-2006,Homes_calc!I$35+1)))</f>
        <v>#DIV/0!</v>
      </c>
      <c r="J225" s="323" t="e" cm="1">
        <f t="array" ref="J225">J198*(Houses_with_elec_30/Houses_with_plumbing_30)*((INDEX('DHW Mix'!$AT$7:$BD$30,Homes_calc!$B225-2006,Homes_calc!J$35+1)))</f>
        <v>#DIV/0!</v>
      </c>
      <c r="K225" s="323" t="e" cm="1">
        <f t="array" ref="K225">K198*(Houses_with_elec_30/Houses_with_plumbing_30)*((INDEX('DHW Mix'!$AT$7:$BD$30,Homes_calc!$B225-2006,Homes_calc!K$35+1)))</f>
        <v>#DIV/0!</v>
      </c>
      <c r="L225" s="323" t="e" cm="1">
        <f t="array" ref="L225">L198*(Houses_with_elec_30/Houses_with_plumbing_30)*((INDEX('DHW Mix'!$AT$7:$BD$30,Homes_calc!$B225-2006,Homes_calc!L$35+1)))</f>
        <v>#DIV/0!</v>
      </c>
      <c r="M225" s="323" t="e" cm="1">
        <f t="array" ref="M225">M198*(Houses_with_elec_30/Houses_with_plumbing_30)*((INDEX('DHW Mix'!$AT$7:$BD$30,Homes_calc!$B225-2006,Homes_calc!M$35+1)))</f>
        <v>#DIV/0!</v>
      </c>
      <c r="N225" s="323" t="e" cm="1">
        <f t="array" ref="N225">N198*(Houses_with_elec_30/Houses_with_plumbing_30)*((INDEX('DHW Mix'!$AT$7:$BD$30,Homes_calc!$B225-2006,Homes_calc!N$35+1)))</f>
        <v>#DIV/0!</v>
      </c>
      <c r="O225" s="323" t="e" cm="1">
        <f t="array" ref="O225">O198*(Houses_with_elec_30/Houses_with_plumbing_30)*((INDEX('DHW Mix'!$AT$7:$BD$30,Homes_calc!$B225-2006,Homes_calc!O$35+1)))</f>
        <v>#DIV/0!</v>
      </c>
      <c r="P225" s="323" t="e" cm="1">
        <f t="array" ref="P225">P198*(Houses_with_elec_30/Houses_with_plumbing_30)*((INDEX('DHW Mix'!$AT$7:$BD$30,Homes_calc!$B225-2006,Homes_calc!P$35+1)))</f>
        <v>#DIV/0!</v>
      </c>
      <c r="Q225" s="323" t="e" cm="1">
        <f t="array" ref="Q225">Q198*(Houses_with_elec_30/Houses_with_plumbing_30)*((INDEX('DHW Mix'!$AT$7:$BD$30,Homes_calc!$B225-2006,Homes_calc!Q$35+1)))</f>
        <v>#DIV/0!</v>
      </c>
      <c r="R225" s="323" t="e" cm="1">
        <f t="array" ref="R225">R198*(Houses_with_elec_30/Houses_with_plumbing_30)*((INDEX('DHW Mix'!$AT$7:$BD$30,Homes_calc!$B225-2006,Homes_calc!R$35+1)))</f>
        <v>#DIV/0!</v>
      </c>
      <c r="S225" s="323" t="e" cm="1">
        <f t="array" ref="S225">S198*(Houses_with_elec_30/Houses_with_plumbing_30)*((INDEX('DHW Mix'!$AT$7:$BD$30,Homes_calc!$B225-2006,Homes_calc!S$35+1)))</f>
        <v>#DIV/0!</v>
      </c>
      <c r="T225" s="323" t="e" cm="1">
        <f t="array" ref="T225">T198*(Houses_with_elec_30/Houses_with_plumbing_30)*((INDEX('DHW Mix'!$AT$7:$BD$30,Homes_calc!$B225-2006,Homes_calc!T$35+1)))</f>
        <v>#DIV/0!</v>
      </c>
      <c r="U225" s="323" t="e" cm="1">
        <f t="array" ref="U225">U198*(Houses_with_elec_30/Houses_with_plumbing_30)*((INDEX('DHW Mix'!$AT$7:$BD$30,Homes_calc!$B225-2006,Homes_calc!U$35+1)))</f>
        <v>#DIV/0!</v>
      </c>
      <c r="V225" s="323" t="e" cm="1">
        <f t="array" ref="V225">V198*(Houses_with_elec_30/Houses_with_plumbing_30)*((INDEX('DHW Mix'!$AT$7:$BD$30,Homes_calc!$B225-2006,Homes_calc!V$35+1)))</f>
        <v>#DIV/0!</v>
      </c>
      <c r="W225" s="323" t="e" cm="1">
        <f t="array" ref="W225">W198*(Houses_with_elec_30/Houses_with_plumbing_30)*((INDEX('DHW Mix'!$AT$7:$BD$30,Homes_calc!$B225-2006,Homes_calc!W$35+1)))</f>
        <v>#DIV/0!</v>
      </c>
      <c r="X225" s="323" t="e" cm="1">
        <f t="array" ref="X225">X198*(Houses_with_elec_30/Houses_with_plumbing_30)*((INDEX('DHW Mix'!$AT$7:$BD$30,Homes_calc!$B225-2006,Homes_calc!X$35+1)))</f>
        <v>#DIV/0!</v>
      </c>
      <c r="Y225" s="323" t="e" cm="1">
        <f t="array" ref="Y225">Y198*(Houses_with_elec_30/Houses_with_plumbing_30)*((INDEX('DHW Mix'!$AT$7:$BD$30,Homes_calc!$B225-2006,Homes_calc!Y$35+1)))</f>
        <v>#DIV/0!</v>
      </c>
      <c r="Z225" s="323" t="e" cm="1">
        <f t="array" ref="Z225">Z198*(Houses_with_elec_30/Houses_with_plumbing_30)*((INDEX('DHW Mix'!$AT$7:$BD$30,Homes_calc!$B225-2006,Homes_calc!Z$35+1)))</f>
        <v>#DIV/0!</v>
      </c>
      <c r="AA225" s="323" t="e" cm="1">
        <f t="array" ref="AA225">AA198*(Houses_with_elec_30/Houses_with_plumbing_30)*((INDEX('DHW Mix'!$AT$7:$BD$30,Homes_calc!$B225-2006,Homes_calc!AA$35+1)))</f>
        <v>#DIV/0!</v>
      </c>
      <c r="AB225" s="323" t="e" cm="1">
        <f t="array" ref="AB225">AB198*(Houses_with_elec_30/Houses_with_plumbing_30)*((INDEX('DHW Mix'!$AT$7:$BD$30,Homes_calc!$B225-2006,Homes_calc!AB$35+1)))</f>
        <v>#DIV/0!</v>
      </c>
      <c r="AC225" s="323" t="e" cm="1">
        <f t="array" ref="AC225">AC198*(Houses_with_elec_30/Houses_with_plumbing_30)*((INDEX('DHW Mix'!$AT$7:$BD$30,Homes_calc!$B225-2006,Homes_calc!AC$35+1)))</f>
        <v>#DIV/0!</v>
      </c>
      <c r="AD225" s="323" t="e" cm="1">
        <f t="array" ref="AD225">AD198*(Houses_with_elec_30/Houses_with_plumbing_30)*((INDEX('DHW Mix'!$AT$7:$BD$30,Homes_calc!$B225-2006,Homes_calc!AD$35+1)))</f>
        <v>#DIV/0!</v>
      </c>
      <c r="AE225" s="323" t="e" cm="1">
        <f t="array" ref="AE225">AE198*(Houses_with_elec_30/Houses_with_plumbing_30)*((INDEX('DHW Mix'!$AT$7:$BD$30,Homes_calc!$B225-2006,Homes_calc!AE$35+1)))</f>
        <v>#DIV/0!</v>
      </c>
      <c r="AF225" s="323" t="e" cm="1">
        <f t="array" ref="AF225">AF198*(Houses_with_elec_30/Houses_with_plumbing_30)*((INDEX('DHW Mix'!$AT$7:$BD$30,Homes_calc!$B225-2006,Homes_calc!AF$35+1)))</f>
        <v>#DIV/0!</v>
      </c>
      <c r="AG225" s="323" t="e" cm="1">
        <f t="array" ref="AG225">AG198*(Houses_with_elec_30/Houses_with_plumbing_30)*((INDEX('DHW Mix'!$AT$7:$BD$30,Homes_calc!$B225-2006,Homes_calc!AG$35+1)))</f>
        <v>#DIV/0!</v>
      </c>
      <c r="AH225" s="323" t="e" cm="1">
        <f t="array" ref="AH225">AH198*(Houses_with_elec_30/Houses_with_plumbing_30)*((INDEX('DHW Mix'!$AT$7:$BD$30,Homes_calc!$B225-2006,Homes_calc!AH$35+1)))</f>
        <v>#DIV/0!</v>
      </c>
      <c r="AI225" s="323" t="e" cm="1">
        <f t="array" ref="AI225">AI198*(Houses_with_elec_30/Houses_with_plumbing_30)*((INDEX('DHW Mix'!$AT$7:$BD$30,Homes_calc!$B225-2006,Homes_calc!AI$35+1)))</f>
        <v>#DIV/0!</v>
      </c>
      <c r="AJ225" s="323" t="e" cm="1">
        <f t="array" ref="AJ225">AJ198*(Houses_with_elec_30/Houses_with_plumbing_30)*((INDEX('DHW Mix'!$AT$7:$BD$30,Homes_calc!$B225-2006,Homes_calc!AJ$35+1)))</f>
        <v>#DIV/0!</v>
      </c>
      <c r="AK225" s="323" t="e" cm="1">
        <f t="array" ref="AK225">AK198*(Houses_with_elec_30/Houses_with_plumbing_30)*((INDEX('DHW Mix'!$AT$7:$BD$30,Homes_calc!$B225-2006,Homes_calc!AK$35+1)))</f>
        <v>#DIV/0!</v>
      </c>
      <c r="AL225" s="323" t="e" cm="1">
        <f t="array" ref="AL225">AL198*(Houses_with_elec_30/Houses_with_plumbing_30)*((INDEX('DHW Mix'!$AT$7:$BD$30,Homes_calc!$B225-2006,Homes_calc!AL$35+1)))</f>
        <v>#DIV/0!</v>
      </c>
      <c r="AM225" s="323" t="e" cm="1">
        <f t="array" ref="AM225">AM198*(Houses_with_elec_30/Houses_with_plumbing_30)*((INDEX('DHW Mix'!$AT$7:$BD$30,Homes_calc!$B225-2006,Homes_calc!AM$35+1)))</f>
        <v>#DIV/0!</v>
      </c>
      <c r="AN225" s="323" t="e" cm="1">
        <f t="array" ref="AN225">AN198*(Houses_with_elec_30/Houses_with_plumbing_30)*((INDEX('DHW Mix'!$AT$7:$BD$30,Homes_calc!$B225-2006,Homes_calc!AN$35+1)))</f>
        <v>#DIV/0!</v>
      </c>
      <c r="AO225" s="323" t="e" cm="1">
        <f t="array" ref="AO225">AO198*(Houses_with_elec_30/Houses_with_plumbing_30)*((INDEX('DHW Mix'!$AT$7:$BD$30,Homes_calc!$B225-2006,Homes_calc!AO$35+1)))</f>
        <v>#DIV/0!</v>
      </c>
      <c r="AP225" s="323" t="e" cm="1">
        <f t="array" ref="AP225">AP198*(Houses_with_elec_30/Houses_with_plumbing_30)*((INDEX('DHW Mix'!$AT$7:$BD$30,Homes_calc!$B225-2006,Homes_calc!AP$35+1)))</f>
        <v>#DIV/0!</v>
      </c>
      <c r="AQ225" s="323" t="e" cm="1">
        <f t="array" ref="AQ225">AQ198*(Houses_with_elec_30/Houses_with_plumbing_30)*((INDEX('DHW Mix'!$AT$7:$BD$30,Homes_calc!$B225-2006,Homes_calc!AQ$35+1)))</f>
        <v>#DIV/0!</v>
      </c>
      <c r="AR225" s="323" t="e" cm="1">
        <f t="array" ref="AR225">AR198*(Houses_with_elec_30/Houses_with_plumbing_30)*((INDEX('DHW Mix'!$AT$7:$BD$30,Homes_calc!$B225-2006,Homes_calc!AR$35+1)))</f>
        <v>#DIV/0!</v>
      </c>
      <c r="AS225" s="323" t="e" cm="1">
        <f t="array" ref="AS225">AS198*(Houses_with_elec_30/Houses_with_plumbing_30)*((INDEX('DHW Mix'!$AT$7:$BD$30,Homes_calc!$B225-2006,Homes_calc!AS$35+1)))</f>
        <v>#DIV/0!</v>
      </c>
      <c r="AT225" s="323" t="e" cm="1">
        <f t="array" ref="AT225">AT198*(Houses_with_elec_30/Houses_with_plumbing_30)*((INDEX('DHW Mix'!$AT$7:$BD$30,Homes_calc!$B225-2006,Homes_calc!AT$35+1)))</f>
        <v>#DIV/0!</v>
      </c>
      <c r="AU225" s="323" t="e" cm="1">
        <f t="array" ref="AU225">AU198*(Houses_with_elec_30/Houses_with_plumbing_30)*((INDEX('DHW Mix'!$AT$7:$BD$30,Homes_calc!$B225-2006,Homes_calc!AU$35+1)))</f>
        <v>#DIV/0!</v>
      </c>
      <c r="AV225" s="323" t="e" cm="1">
        <f t="array" ref="AV225">AV198*(Houses_with_elec_30/Houses_with_plumbing_30)*((INDEX('DHW Mix'!$AT$7:$BD$30,Homes_calc!$B225-2006,Homes_calc!AV$35+1)))</f>
        <v>#DIV/0!</v>
      </c>
      <c r="AW225" s="323" t="e" cm="1">
        <f t="array" ref="AW225">AW198*(Houses_with_elec_30/Houses_with_plumbing_30)*((INDEX('DHW Mix'!$AT$7:$BD$30,Homes_calc!$B225-2006,Homes_calc!AW$35+1)))</f>
        <v>#DIV/0!</v>
      </c>
      <c r="AX225" s="323" t="e" cm="1">
        <f t="array" ref="AX225">AX198*(Houses_with_elec_30/Houses_with_plumbing_30)*((INDEX('DHW Mix'!$AT$7:$BD$30,Homes_calc!$B225-2006,Homes_calc!AX$35+1)))</f>
        <v>#DIV/0!</v>
      </c>
      <c r="AY225" s="323" t="e" cm="1">
        <f t="array" ref="AY225">AY198*(Houses_with_elec_30/Houses_with_plumbing_30)*((INDEX('DHW Mix'!$AT$7:$BD$30,Homes_calc!$B225-2006,Homes_calc!AY$35+1)))</f>
        <v>#DIV/0!</v>
      </c>
      <c r="AZ225" s="323" t="e" cm="1">
        <f t="array" ref="AZ225">AZ198*(Houses_with_elec_30/Houses_with_plumbing_30)*((INDEX('DHW Mix'!$AT$7:$BD$30,Homes_calc!$B225-2006,Homes_calc!AZ$35+1)))</f>
        <v>#DIV/0!</v>
      </c>
      <c r="BA225" s="323" t="e" cm="1">
        <f t="array" ref="BA225">BA198*(Houses_with_elec_30/Houses_with_plumbing_30)*((INDEX('DHW Mix'!$AT$7:$BD$30,Homes_calc!$B225-2006,Homes_calc!BA$35+1)))</f>
        <v>#DIV/0!</v>
      </c>
      <c r="BB225" s="21" t="e">
        <f t="shared" si="191"/>
        <v>#DIV/0!</v>
      </c>
      <c r="BC225" s="21"/>
    </row>
    <row r="226" spans="1:55" s="63" customFormat="1"/>
    <row r="227" spans="1:55">
      <c r="A227" s="456" t="s">
        <v>235</v>
      </c>
      <c r="B227" s="226" t="s">
        <v>225</v>
      </c>
      <c r="C227" t="str">
        <f>C200</f>
        <v>AL</v>
      </c>
      <c r="D227" t="str">
        <f t="shared" ref="D227:BA227" si="192">D200</f>
        <v>AK</v>
      </c>
      <c r="E227" t="str">
        <f t="shared" si="192"/>
        <v>AZ</v>
      </c>
      <c r="F227" t="str">
        <f t="shared" si="192"/>
        <v>AR</v>
      </c>
      <c r="G227" t="str">
        <f t="shared" si="192"/>
        <v>CA</v>
      </c>
      <c r="H227" t="str">
        <f t="shared" si="192"/>
        <v>CO</v>
      </c>
      <c r="I227" t="str">
        <f t="shared" si="192"/>
        <v>CT</v>
      </c>
      <c r="J227" t="str">
        <f t="shared" si="192"/>
        <v>DE</v>
      </c>
      <c r="K227" t="str">
        <f t="shared" si="192"/>
        <v>DC</v>
      </c>
      <c r="L227" t="str">
        <f t="shared" si="192"/>
        <v>FL</v>
      </c>
      <c r="M227" t="str">
        <f t="shared" si="192"/>
        <v>GA</v>
      </c>
      <c r="N227" t="str">
        <f t="shared" si="192"/>
        <v>HI</v>
      </c>
      <c r="O227" t="str">
        <f t="shared" si="192"/>
        <v>ID</v>
      </c>
      <c r="P227" t="str">
        <f t="shared" si="192"/>
        <v>IL</v>
      </c>
      <c r="Q227" t="str">
        <f t="shared" si="192"/>
        <v>IN</v>
      </c>
      <c r="R227" t="str">
        <f t="shared" si="192"/>
        <v>IA</v>
      </c>
      <c r="S227" t="str">
        <f t="shared" si="192"/>
        <v>KS</v>
      </c>
      <c r="T227" t="str">
        <f t="shared" si="192"/>
        <v>KY</v>
      </c>
      <c r="U227" t="str">
        <f t="shared" si="192"/>
        <v>LA</v>
      </c>
      <c r="V227" t="str">
        <f t="shared" si="192"/>
        <v>ME</v>
      </c>
      <c r="W227" t="str">
        <f t="shared" si="192"/>
        <v>MD</v>
      </c>
      <c r="X227" t="str">
        <f t="shared" si="192"/>
        <v>MA</v>
      </c>
      <c r="Y227" t="str">
        <f t="shared" si="192"/>
        <v>MI</v>
      </c>
      <c r="Z227" t="str">
        <f t="shared" si="192"/>
        <v>MN</v>
      </c>
      <c r="AA227" t="str">
        <f t="shared" si="192"/>
        <v>MS</v>
      </c>
      <c r="AB227" t="str">
        <f t="shared" si="192"/>
        <v>MO</v>
      </c>
      <c r="AC227" t="str">
        <f t="shared" si="192"/>
        <v>MT</v>
      </c>
      <c r="AD227" t="str">
        <f t="shared" si="192"/>
        <v>NE</v>
      </c>
      <c r="AE227" t="str">
        <f t="shared" si="192"/>
        <v>NV</v>
      </c>
      <c r="AF227" t="str">
        <f t="shared" si="192"/>
        <v>NH</v>
      </c>
      <c r="AG227" t="str">
        <f t="shared" si="192"/>
        <v>NJ</v>
      </c>
      <c r="AH227" t="str">
        <f t="shared" si="192"/>
        <v>NM</v>
      </c>
      <c r="AI227" t="str">
        <f t="shared" si="192"/>
        <v>NY</v>
      </c>
      <c r="AJ227" t="str">
        <f t="shared" si="192"/>
        <v>NC</v>
      </c>
      <c r="AK227" t="str">
        <f t="shared" si="192"/>
        <v>ND</v>
      </c>
      <c r="AL227" t="str">
        <f t="shared" si="192"/>
        <v>OH</v>
      </c>
      <c r="AM227" t="str">
        <f t="shared" si="192"/>
        <v>OK</v>
      </c>
      <c r="AN227" t="str">
        <f t="shared" si="192"/>
        <v>OR</v>
      </c>
      <c r="AO227" t="str">
        <f t="shared" si="192"/>
        <v>PA</v>
      </c>
      <c r="AP227" t="str">
        <f t="shared" si="192"/>
        <v>RI</v>
      </c>
      <c r="AQ227" t="str">
        <f t="shared" si="192"/>
        <v>SC</v>
      </c>
      <c r="AR227" t="str">
        <f t="shared" si="192"/>
        <v>SD</v>
      </c>
      <c r="AS227" t="str">
        <f t="shared" si="192"/>
        <v>TN</v>
      </c>
      <c r="AT227" t="str">
        <f t="shared" si="192"/>
        <v>TX</v>
      </c>
      <c r="AU227" t="str">
        <f t="shared" si="192"/>
        <v>UT</v>
      </c>
      <c r="AV227" t="str">
        <f t="shared" si="192"/>
        <v>VT</v>
      </c>
      <c r="AW227" t="str">
        <f t="shared" si="192"/>
        <v>VA</v>
      </c>
      <c r="AX227" t="str">
        <f t="shared" si="192"/>
        <v>WA</v>
      </c>
      <c r="AY227" t="str">
        <f t="shared" si="192"/>
        <v>WV</v>
      </c>
      <c r="AZ227" t="str">
        <f t="shared" si="192"/>
        <v>WI</v>
      </c>
      <c r="BA227" t="str">
        <f t="shared" si="192"/>
        <v>WY</v>
      </c>
      <c r="BB227" t="s">
        <v>96</v>
      </c>
    </row>
    <row r="228" spans="1:55">
      <c r="A228" s="456"/>
      <c r="B228" s="226" t="s">
        <v>11</v>
      </c>
      <c r="C228" s="338"/>
    </row>
    <row r="229" spans="1:55">
      <c r="A229" s="456"/>
      <c r="B229" s="228">
        <v>2007</v>
      </c>
      <c r="C229" s="21" cm="1">
        <f t="array" ref="C229">C175*(Houses_with_gas_07/Houses_with_plumbing_07)*(INDEX('DHW Mix'!$AI$7:$AS$30,Homes_calc!$B229-2006,Homes_calc!C$35+1))</f>
        <v>0</v>
      </c>
      <c r="D229" s="21" cm="1">
        <f t="array" ref="D229">D175*(Houses_with_gas_07/Houses_with_plumbing_07)*(INDEX('DHW Mix'!$AI$7:$AS$30,Homes_calc!$B229-2006,Homes_calc!D$35+1))</f>
        <v>0</v>
      </c>
      <c r="E229" s="21" cm="1">
        <f t="array" ref="E229">E175*(Houses_with_gas_07/Houses_with_plumbing_07)*(INDEX('DHW Mix'!$AI$7:$AS$30,Homes_calc!$B229-2006,Homes_calc!E$35+1))</f>
        <v>0</v>
      </c>
      <c r="F229" s="21" cm="1">
        <f t="array" ref="F229">F175*(Houses_with_gas_07/Houses_with_plumbing_07)*(INDEX('DHW Mix'!$AI$7:$AS$30,Homes_calc!$B229-2006,Homes_calc!F$35+1))</f>
        <v>0</v>
      </c>
      <c r="G229" s="21" cm="1">
        <f t="array" ref="G229">G175*(Houses_with_gas_07/Houses_with_plumbing_07)*(INDEX('DHW Mix'!$AI$7:$AS$30,Homes_calc!$B229-2006,Homes_calc!G$35+1))</f>
        <v>0</v>
      </c>
      <c r="H229" s="21" cm="1">
        <f t="array" ref="H229">H175*(Houses_with_gas_07/Houses_with_plumbing_07)*(INDEX('DHW Mix'!$AI$7:$AS$30,Homes_calc!$B229-2006,Homes_calc!H$35+1))</f>
        <v>0</v>
      </c>
      <c r="I229" s="21" cm="1">
        <f t="array" ref="I229">I175*(Houses_with_gas_07/Houses_with_plumbing_07)*(INDEX('DHW Mix'!$AI$7:$AS$30,Homes_calc!$B229-2006,Homes_calc!I$35+1))</f>
        <v>0</v>
      </c>
      <c r="J229" s="21" cm="1">
        <f t="array" ref="J229">J175*(Houses_with_gas_07/Houses_with_plumbing_07)*(INDEX('DHW Mix'!$AI$7:$AS$30,Homes_calc!$B229-2006,Homes_calc!J$35+1))</f>
        <v>0</v>
      </c>
      <c r="K229" s="21" cm="1">
        <f t="array" ref="K229">K175*(Houses_with_gas_07/Houses_with_plumbing_07)*(INDEX('DHW Mix'!$AI$7:$AS$30,Homes_calc!$B229-2006,Homes_calc!K$35+1))</f>
        <v>0</v>
      </c>
      <c r="L229" s="21" cm="1">
        <f t="array" ref="L229">L175*(Houses_with_gas_07/Houses_with_plumbing_07)*(INDEX('DHW Mix'!$AI$7:$AS$30,Homes_calc!$B229-2006,Homes_calc!L$35+1))</f>
        <v>0</v>
      </c>
      <c r="M229" s="21" cm="1">
        <f t="array" ref="M229">M175*(Houses_with_gas_07/Houses_with_plumbing_07)*(INDEX('DHW Mix'!$AI$7:$AS$30,Homes_calc!$B229-2006,Homes_calc!M$35+1))</f>
        <v>0</v>
      </c>
      <c r="N229" s="21" cm="1">
        <f t="array" ref="N229">N175*(Houses_with_gas_07/Houses_with_plumbing_07)*(INDEX('DHW Mix'!$AI$7:$AS$30,Homes_calc!$B229-2006,Homes_calc!N$35+1))</f>
        <v>0</v>
      </c>
      <c r="O229" s="21" cm="1">
        <f t="array" ref="O229">O175*(Houses_with_gas_07/Houses_with_plumbing_07)*(INDEX('DHW Mix'!$AI$7:$AS$30,Homes_calc!$B229-2006,Homes_calc!O$35+1))</f>
        <v>0</v>
      </c>
      <c r="P229" s="21" cm="1">
        <f t="array" ref="P229">P175*(Houses_with_gas_07/Houses_with_plumbing_07)*(INDEX('DHW Mix'!$AI$7:$AS$30,Homes_calc!$B229-2006,Homes_calc!P$35+1))</f>
        <v>0</v>
      </c>
      <c r="Q229" s="21" cm="1">
        <f t="array" ref="Q229">Q175*(Houses_with_gas_07/Houses_with_plumbing_07)*(INDEX('DHW Mix'!$AI$7:$AS$30,Homes_calc!$B229-2006,Homes_calc!Q$35+1))</f>
        <v>0</v>
      </c>
      <c r="R229" s="21" cm="1">
        <f t="array" ref="R229">R175*(Houses_with_gas_07/Houses_with_plumbing_07)*(INDEX('DHW Mix'!$AI$7:$AS$30,Homes_calc!$B229-2006,Homes_calc!R$35+1))</f>
        <v>0</v>
      </c>
      <c r="S229" s="21" cm="1">
        <f t="array" ref="S229">S175*(Houses_with_gas_07/Houses_with_plumbing_07)*(INDEX('DHW Mix'!$AI$7:$AS$30,Homes_calc!$B229-2006,Homes_calc!S$35+1))</f>
        <v>0</v>
      </c>
      <c r="T229" s="21" cm="1">
        <f t="array" ref="T229">T175*(Houses_with_gas_07/Houses_with_plumbing_07)*(INDEX('DHW Mix'!$AI$7:$AS$30,Homes_calc!$B229-2006,Homes_calc!T$35+1))</f>
        <v>0</v>
      </c>
      <c r="U229" s="21" cm="1">
        <f t="array" ref="U229">U175*(Houses_with_gas_07/Houses_with_plumbing_07)*(INDEX('DHW Mix'!$AI$7:$AS$30,Homes_calc!$B229-2006,Homes_calc!U$35+1))</f>
        <v>0</v>
      </c>
      <c r="V229" s="21" cm="1">
        <f t="array" ref="V229">V175*(Houses_with_gas_07/Houses_with_plumbing_07)*(INDEX('DHW Mix'!$AI$7:$AS$30,Homes_calc!$B229-2006,Homes_calc!V$35+1))</f>
        <v>0</v>
      </c>
      <c r="W229" s="21" cm="1">
        <f t="array" ref="W229">W175*(Houses_with_gas_07/Houses_with_plumbing_07)*(INDEX('DHW Mix'!$AI$7:$AS$30,Homes_calc!$B229-2006,Homes_calc!W$35+1))</f>
        <v>0</v>
      </c>
      <c r="X229" s="21" cm="1">
        <f t="array" ref="X229">X175*(Houses_with_gas_07/Houses_with_plumbing_07)*(INDEX('DHW Mix'!$AI$7:$AS$30,Homes_calc!$B229-2006,Homes_calc!X$35+1))</f>
        <v>0</v>
      </c>
      <c r="Y229" s="21" cm="1">
        <f t="array" ref="Y229">Y175*(Houses_with_gas_07/Houses_with_plumbing_07)*(INDEX('DHW Mix'!$AI$7:$AS$30,Homes_calc!$B229-2006,Homes_calc!Y$35+1))</f>
        <v>0</v>
      </c>
      <c r="Z229" s="21" cm="1">
        <f t="array" ref="Z229">Z175*(Houses_with_gas_07/Houses_with_plumbing_07)*(INDEX('DHW Mix'!$AI$7:$AS$30,Homes_calc!$B229-2006,Homes_calc!Z$35+1))</f>
        <v>0</v>
      </c>
      <c r="AA229" s="21" cm="1">
        <f t="array" ref="AA229">AA175*(Houses_with_gas_07/Houses_with_plumbing_07)*(INDEX('DHW Mix'!$AI$7:$AS$30,Homes_calc!$B229-2006,Homes_calc!AA$35+1))</f>
        <v>0</v>
      </c>
      <c r="AB229" s="21" cm="1">
        <f t="array" ref="AB229">AB175*(Houses_with_gas_07/Houses_with_plumbing_07)*(INDEX('DHW Mix'!$AI$7:$AS$30,Homes_calc!$B229-2006,Homes_calc!AB$35+1))</f>
        <v>0</v>
      </c>
      <c r="AC229" s="21" cm="1">
        <f t="array" ref="AC229">AC175*(Houses_with_gas_07/Houses_with_plumbing_07)*(INDEX('DHW Mix'!$AI$7:$AS$30,Homes_calc!$B229-2006,Homes_calc!AC$35+1))</f>
        <v>0</v>
      </c>
      <c r="AD229" s="21" cm="1">
        <f t="array" ref="AD229">AD175*(Houses_with_gas_07/Houses_with_plumbing_07)*(INDEX('DHW Mix'!$AI$7:$AS$30,Homes_calc!$B229-2006,Homes_calc!AD$35+1))</f>
        <v>0</v>
      </c>
      <c r="AE229" s="21" cm="1">
        <f t="array" ref="AE229">AE175*(Houses_with_gas_07/Houses_with_plumbing_07)*(INDEX('DHW Mix'!$AI$7:$AS$30,Homes_calc!$B229-2006,Homes_calc!AE$35+1))</f>
        <v>0</v>
      </c>
      <c r="AF229" s="21" cm="1">
        <f t="array" ref="AF229">AF175*(Houses_with_gas_07/Houses_with_plumbing_07)*(INDEX('DHW Mix'!$AI$7:$AS$30,Homes_calc!$B229-2006,Homes_calc!AF$35+1))</f>
        <v>0</v>
      </c>
      <c r="AG229" s="21" cm="1">
        <f t="array" ref="AG229">AG175*(Houses_with_gas_07/Houses_with_plumbing_07)*(INDEX('DHW Mix'!$AI$7:$AS$30,Homes_calc!$B229-2006,Homes_calc!AG$35+1))</f>
        <v>0</v>
      </c>
      <c r="AH229" s="21" cm="1">
        <f t="array" ref="AH229">AH175*(Houses_with_gas_07/Houses_with_plumbing_07)*(INDEX('DHW Mix'!$AI$7:$AS$30,Homes_calc!$B229-2006,Homes_calc!AH$35+1))</f>
        <v>0</v>
      </c>
      <c r="AI229" s="21" cm="1">
        <f t="array" ref="AI229">AI175*(Houses_with_gas_07/Houses_with_plumbing_07)*(INDEX('DHW Mix'!$AI$7:$AS$30,Homes_calc!$B229-2006,Homes_calc!AI$35+1))</f>
        <v>0</v>
      </c>
      <c r="AJ229" s="21" cm="1">
        <f t="array" ref="AJ229">AJ175*(Houses_with_gas_07/Houses_with_plumbing_07)*(INDEX('DHW Mix'!$AI$7:$AS$30,Homes_calc!$B229-2006,Homes_calc!AJ$35+1))</f>
        <v>0</v>
      </c>
      <c r="AK229" s="21" cm="1">
        <f t="array" ref="AK229">AK175*(Houses_with_gas_07/Houses_with_plumbing_07)*(INDEX('DHW Mix'!$AI$7:$AS$30,Homes_calc!$B229-2006,Homes_calc!AK$35+1))</f>
        <v>0</v>
      </c>
      <c r="AL229" s="21" cm="1">
        <f t="array" ref="AL229">AL175*(Houses_with_gas_07/Houses_with_plumbing_07)*(INDEX('DHW Mix'!$AI$7:$AS$30,Homes_calc!$B229-2006,Homes_calc!AL$35+1))</f>
        <v>0</v>
      </c>
      <c r="AM229" s="21" cm="1">
        <f t="array" ref="AM229">AM175*(Houses_with_gas_07/Houses_with_plumbing_07)*(INDEX('DHW Mix'!$AI$7:$AS$30,Homes_calc!$B229-2006,Homes_calc!AM$35+1))</f>
        <v>0</v>
      </c>
      <c r="AN229" s="21" cm="1">
        <f t="array" ref="AN229">AN175*(Houses_with_gas_07/Houses_with_plumbing_07)*(INDEX('DHW Mix'!$AI$7:$AS$30,Homes_calc!$B229-2006,Homes_calc!AN$35+1))</f>
        <v>0</v>
      </c>
      <c r="AO229" s="21" cm="1">
        <f t="array" ref="AO229">AO175*(Houses_with_gas_07/Houses_with_plumbing_07)*(INDEX('DHW Mix'!$AI$7:$AS$30,Homes_calc!$B229-2006,Homes_calc!AO$35+1))</f>
        <v>0</v>
      </c>
      <c r="AP229" s="21" cm="1">
        <f t="array" ref="AP229">AP175*(Houses_with_gas_07/Houses_with_plumbing_07)*(INDEX('DHW Mix'!$AI$7:$AS$30,Homes_calc!$B229-2006,Homes_calc!AP$35+1))</f>
        <v>0</v>
      </c>
      <c r="AQ229" s="21" cm="1">
        <f t="array" ref="AQ229">AQ175*(Houses_with_gas_07/Houses_with_plumbing_07)*(INDEX('DHW Mix'!$AI$7:$AS$30,Homes_calc!$B229-2006,Homes_calc!AQ$35+1))</f>
        <v>0</v>
      </c>
      <c r="AR229" s="21" cm="1">
        <f t="array" ref="AR229">AR175*(Houses_with_gas_07/Houses_with_plumbing_07)*(INDEX('DHW Mix'!$AI$7:$AS$30,Homes_calc!$B229-2006,Homes_calc!AR$35+1))</f>
        <v>0</v>
      </c>
      <c r="AS229" s="21" cm="1">
        <f t="array" ref="AS229">AS175*(Houses_with_gas_07/Houses_with_plumbing_07)*(INDEX('DHW Mix'!$AI$7:$AS$30,Homes_calc!$B229-2006,Homes_calc!AS$35+1))</f>
        <v>0</v>
      </c>
      <c r="AT229" s="21" cm="1">
        <f t="array" ref="AT229">AT175*(Houses_with_gas_07/Houses_with_plumbing_07)*(INDEX('DHW Mix'!$AI$7:$AS$30,Homes_calc!$B229-2006,Homes_calc!AT$35+1))</f>
        <v>0</v>
      </c>
      <c r="AU229" s="21" cm="1">
        <f t="array" ref="AU229">AU175*(Houses_with_gas_07/Houses_with_plumbing_07)*(INDEX('DHW Mix'!$AI$7:$AS$30,Homes_calc!$B229-2006,Homes_calc!AU$35+1))</f>
        <v>0</v>
      </c>
      <c r="AV229" s="21" cm="1">
        <f t="array" ref="AV229">AV175*(Houses_with_gas_07/Houses_with_plumbing_07)*(INDEX('DHW Mix'!$AI$7:$AS$30,Homes_calc!$B229-2006,Homes_calc!AV$35+1))</f>
        <v>0</v>
      </c>
      <c r="AW229" s="21" cm="1">
        <f t="array" ref="AW229">AW175*(Houses_with_gas_07/Houses_with_plumbing_07)*(INDEX('DHW Mix'!$AI$7:$AS$30,Homes_calc!$B229-2006,Homes_calc!AW$35+1))</f>
        <v>0</v>
      </c>
      <c r="AX229" s="21" cm="1">
        <f t="array" ref="AX229">AX175*(Houses_with_gas_07/Houses_with_plumbing_07)*(INDEX('DHW Mix'!$AI$7:$AS$30,Homes_calc!$B229-2006,Homes_calc!AX$35+1))</f>
        <v>0</v>
      </c>
      <c r="AY229" s="21" cm="1">
        <f t="array" ref="AY229">AY175*(Houses_with_gas_07/Houses_with_plumbing_07)*(INDEX('DHW Mix'!$AI$7:$AS$30,Homes_calc!$B229-2006,Homes_calc!AY$35+1))</f>
        <v>0</v>
      </c>
      <c r="AZ229" s="21" cm="1">
        <f t="array" ref="AZ229">AZ175*(Houses_with_gas_07/Houses_with_plumbing_07)*(INDEX('DHW Mix'!$AI$7:$AS$30,Homes_calc!$B229-2006,Homes_calc!AZ$35+1))</f>
        <v>0</v>
      </c>
      <c r="BA229" s="21" cm="1">
        <f t="array" ref="BA229">BA175*(Houses_with_gas_07/Houses_with_plumbing_07)*(INDEX('DHW Mix'!$AI$7:$AS$30,Homes_calc!$B229-2006,Homes_calc!BA$35+1))</f>
        <v>0</v>
      </c>
      <c r="BB229" s="21">
        <f t="shared" ref="BB229:BB252" si="193">SUM(C229:BA229)</f>
        <v>0</v>
      </c>
    </row>
    <row r="230" spans="1:55">
      <c r="A230" s="456"/>
      <c r="B230" s="226">
        <v>2008</v>
      </c>
      <c r="C230" s="21" cm="1">
        <f t="array" ref="C230">C176*(Houses_with_gas_08/Houses_with_plumbing_08)*(INDEX('DHW Mix'!$AI$7:$AS$30,Homes_calc!$B230-2006,Homes_calc!C$35+1))</f>
        <v>0</v>
      </c>
      <c r="D230" s="21" cm="1">
        <f t="array" ref="D230">D176*(Houses_with_gas_08/Houses_with_plumbing_08)*(INDEX('DHW Mix'!$AI$7:$AS$30,Homes_calc!$B230-2006,Homes_calc!D$35+1))</f>
        <v>0</v>
      </c>
      <c r="E230" s="21" cm="1">
        <f t="array" ref="E230">E176*(Houses_with_gas_08/Houses_with_plumbing_08)*(INDEX('DHW Mix'!$AI$7:$AS$30,Homes_calc!$B230-2006,Homes_calc!E$35+1))</f>
        <v>0</v>
      </c>
      <c r="F230" s="21" cm="1">
        <f t="array" ref="F230">F176*(Houses_with_gas_08/Houses_with_plumbing_08)*(INDEX('DHW Mix'!$AI$7:$AS$30,Homes_calc!$B230-2006,Homes_calc!F$35+1))</f>
        <v>0</v>
      </c>
      <c r="G230" s="21" cm="1">
        <f t="array" ref="G230">G176*(Houses_with_gas_08/Houses_with_plumbing_08)*(INDEX('DHW Mix'!$AI$7:$AS$30,Homes_calc!$B230-2006,Homes_calc!G$35+1))</f>
        <v>0</v>
      </c>
      <c r="H230" s="21" cm="1">
        <f t="array" ref="H230">H176*(Houses_with_gas_08/Houses_with_plumbing_08)*(INDEX('DHW Mix'!$AI$7:$AS$30,Homes_calc!$B230-2006,Homes_calc!H$35+1))</f>
        <v>0</v>
      </c>
      <c r="I230" s="21" cm="1">
        <f t="array" ref="I230">I176*(Houses_with_gas_08/Houses_with_plumbing_08)*(INDEX('DHW Mix'!$AI$7:$AS$30,Homes_calc!$B230-2006,Homes_calc!I$35+1))</f>
        <v>0</v>
      </c>
      <c r="J230" s="21" cm="1">
        <f t="array" ref="J230">J176*(Houses_with_gas_08/Houses_with_plumbing_08)*(INDEX('DHW Mix'!$AI$7:$AS$30,Homes_calc!$B230-2006,Homes_calc!J$35+1))</f>
        <v>0</v>
      </c>
      <c r="K230" s="21" cm="1">
        <f t="array" ref="K230">K176*(Houses_with_gas_08/Houses_with_plumbing_08)*(INDEX('DHW Mix'!$AI$7:$AS$30,Homes_calc!$B230-2006,Homes_calc!K$35+1))</f>
        <v>0</v>
      </c>
      <c r="L230" s="21" cm="1">
        <f t="array" ref="L230">L176*(Houses_with_gas_08/Houses_with_plumbing_08)*(INDEX('DHW Mix'!$AI$7:$AS$30,Homes_calc!$B230-2006,Homes_calc!L$35+1))</f>
        <v>0</v>
      </c>
      <c r="M230" s="21" cm="1">
        <f t="array" ref="M230">M176*(Houses_with_gas_08/Houses_with_plumbing_08)*(INDEX('DHW Mix'!$AI$7:$AS$30,Homes_calc!$B230-2006,Homes_calc!M$35+1))</f>
        <v>0</v>
      </c>
      <c r="N230" s="21" cm="1">
        <f t="array" ref="N230">N176*(Houses_with_gas_08/Houses_with_plumbing_08)*(INDEX('DHW Mix'!$AI$7:$AS$30,Homes_calc!$B230-2006,Homes_calc!N$35+1))</f>
        <v>0</v>
      </c>
      <c r="O230" s="21" cm="1">
        <f t="array" ref="O230">O176*(Houses_with_gas_08/Houses_with_plumbing_08)*(INDEX('DHW Mix'!$AI$7:$AS$30,Homes_calc!$B230-2006,Homes_calc!O$35+1))</f>
        <v>0</v>
      </c>
      <c r="P230" s="21" cm="1">
        <f t="array" ref="P230">P176*(Houses_with_gas_08/Houses_with_plumbing_08)*(INDEX('DHW Mix'!$AI$7:$AS$30,Homes_calc!$B230-2006,Homes_calc!P$35+1))</f>
        <v>0</v>
      </c>
      <c r="Q230" s="21" cm="1">
        <f t="array" ref="Q230">Q176*(Houses_with_gas_08/Houses_with_plumbing_08)*(INDEX('DHW Mix'!$AI$7:$AS$30,Homes_calc!$B230-2006,Homes_calc!Q$35+1))</f>
        <v>0</v>
      </c>
      <c r="R230" s="21" cm="1">
        <f t="array" ref="R230">R176*(Houses_with_gas_08/Houses_with_plumbing_08)*(INDEX('DHW Mix'!$AI$7:$AS$30,Homes_calc!$B230-2006,Homes_calc!R$35+1))</f>
        <v>0</v>
      </c>
      <c r="S230" s="21" cm="1">
        <f t="array" ref="S230">S176*(Houses_with_gas_08/Houses_with_plumbing_08)*(INDEX('DHW Mix'!$AI$7:$AS$30,Homes_calc!$B230-2006,Homes_calc!S$35+1))</f>
        <v>0</v>
      </c>
      <c r="T230" s="21" cm="1">
        <f t="array" ref="T230">T176*(Houses_with_gas_08/Houses_with_plumbing_08)*(INDEX('DHW Mix'!$AI$7:$AS$30,Homes_calc!$B230-2006,Homes_calc!T$35+1))</f>
        <v>0</v>
      </c>
      <c r="U230" s="21" cm="1">
        <f t="array" ref="U230">U176*(Houses_with_gas_08/Houses_with_plumbing_08)*(INDEX('DHW Mix'!$AI$7:$AS$30,Homes_calc!$B230-2006,Homes_calc!U$35+1))</f>
        <v>0</v>
      </c>
      <c r="V230" s="21" cm="1">
        <f t="array" ref="V230">V176*(Houses_with_gas_08/Houses_with_plumbing_08)*(INDEX('DHW Mix'!$AI$7:$AS$30,Homes_calc!$B230-2006,Homes_calc!V$35+1))</f>
        <v>0</v>
      </c>
      <c r="W230" s="21" cm="1">
        <f t="array" ref="W230">W176*(Houses_with_gas_08/Houses_with_plumbing_08)*(INDEX('DHW Mix'!$AI$7:$AS$30,Homes_calc!$B230-2006,Homes_calc!W$35+1))</f>
        <v>0</v>
      </c>
      <c r="X230" s="21" cm="1">
        <f t="array" ref="X230">X176*(Houses_with_gas_08/Houses_with_plumbing_08)*(INDEX('DHW Mix'!$AI$7:$AS$30,Homes_calc!$B230-2006,Homes_calc!X$35+1))</f>
        <v>0</v>
      </c>
      <c r="Y230" s="21" cm="1">
        <f t="array" ref="Y230">Y176*(Houses_with_gas_08/Houses_with_plumbing_08)*(INDEX('DHW Mix'!$AI$7:$AS$30,Homes_calc!$B230-2006,Homes_calc!Y$35+1))</f>
        <v>0</v>
      </c>
      <c r="Z230" s="21" cm="1">
        <f t="array" ref="Z230">Z176*(Houses_with_gas_08/Houses_with_plumbing_08)*(INDEX('DHW Mix'!$AI$7:$AS$30,Homes_calc!$B230-2006,Homes_calc!Z$35+1))</f>
        <v>0</v>
      </c>
      <c r="AA230" s="21" cm="1">
        <f t="array" ref="AA230">AA176*(Houses_with_gas_08/Houses_with_plumbing_08)*(INDEX('DHW Mix'!$AI$7:$AS$30,Homes_calc!$B230-2006,Homes_calc!AA$35+1))</f>
        <v>0</v>
      </c>
      <c r="AB230" s="21" cm="1">
        <f t="array" ref="AB230">AB176*(Houses_with_gas_08/Houses_with_plumbing_08)*(INDEX('DHW Mix'!$AI$7:$AS$30,Homes_calc!$B230-2006,Homes_calc!AB$35+1))</f>
        <v>0</v>
      </c>
      <c r="AC230" s="21" cm="1">
        <f t="array" ref="AC230">AC176*(Houses_with_gas_08/Houses_with_plumbing_08)*(INDEX('DHW Mix'!$AI$7:$AS$30,Homes_calc!$B230-2006,Homes_calc!AC$35+1))</f>
        <v>0</v>
      </c>
      <c r="AD230" s="21" cm="1">
        <f t="array" ref="AD230">AD176*(Houses_with_gas_08/Houses_with_plumbing_08)*(INDEX('DHW Mix'!$AI$7:$AS$30,Homes_calc!$B230-2006,Homes_calc!AD$35+1))</f>
        <v>0</v>
      </c>
      <c r="AE230" s="21" cm="1">
        <f t="array" ref="AE230">AE176*(Houses_with_gas_08/Houses_with_plumbing_08)*(INDEX('DHW Mix'!$AI$7:$AS$30,Homes_calc!$B230-2006,Homes_calc!AE$35+1))</f>
        <v>0</v>
      </c>
      <c r="AF230" s="21" cm="1">
        <f t="array" ref="AF230">AF176*(Houses_with_gas_08/Houses_with_plumbing_08)*(INDEX('DHW Mix'!$AI$7:$AS$30,Homes_calc!$B230-2006,Homes_calc!AF$35+1))</f>
        <v>0</v>
      </c>
      <c r="AG230" s="21" cm="1">
        <f t="array" ref="AG230">AG176*(Houses_with_gas_08/Houses_with_plumbing_08)*(INDEX('DHW Mix'!$AI$7:$AS$30,Homes_calc!$B230-2006,Homes_calc!AG$35+1))</f>
        <v>0</v>
      </c>
      <c r="AH230" s="21" cm="1">
        <f t="array" ref="AH230">AH176*(Houses_with_gas_08/Houses_with_plumbing_08)*(INDEX('DHW Mix'!$AI$7:$AS$30,Homes_calc!$B230-2006,Homes_calc!AH$35+1))</f>
        <v>0</v>
      </c>
      <c r="AI230" s="21" cm="1">
        <f t="array" ref="AI230">AI176*(Houses_with_gas_08/Houses_with_plumbing_08)*(INDEX('DHW Mix'!$AI$7:$AS$30,Homes_calc!$B230-2006,Homes_calc!AI$35+1))</f>
        <v>0</v>
      </c>
      <c r="AJ230" s="21" cm="1">
        <f t="array" ref="AJ230">AJ176*(Houses_with_gas_08/Houses_with_plumbing_08)*(INDEX('DHW Mix'!$AI$7:$AS$30,Homes_calc!$B230-2006,Homes_calc!AJ$35+1))</f>
        <v>0</v>
      </c>
      <c r="AK230" s="21" cm="1">
        <f t="array" ref="AK230">AK176*(Houses_with_gas_08/Houses_with_plumbing_08)*(INDEX('DHW Mix'!$AI$7:$AS$30,Homes_calc!$B230-2006,Homes_calc!AK$35+1))</f>
        <v>0</v>
      </c>
      <c r="AL230" s="21" cm="1">
        <f t="array" ref="AL230">AL176*(Houses_with_gas_08/Houses_with_plumbing_08)*(INDEX('DHW Mix'!$AI$7:$AS$30,Homes_calc!$B230-2006,Homes_calc!AL$35+1))</f>
        <v>0</v>
      </c>
      <c r="AM230" s="21" cm="1">
        <f t="array" ref="AM230">AM176*(Houses_with_gas_08/Houses_with_plumbing_08)*(INDEX('DHW Mix'!$AI$7:$AS$30,Homes_calc!$B230-2006,Homes_calc!AM$35+1))</f>
        <v>0</v>
      </c>
      <c r="AN230" s="21" cm="1">
        <f t="array" ref="AN230">AN176*(Houses_with_gas_08/Houses_with_plumbing_08)*(INDEX('DHW Mix'!$AI$7:$AS$30,Homes_calc!$B230-2006,Homes_calc!AN$35+1))</f>
        <v>0</v>
      </c>
      <c r="AO230" s="21" cm="1">
        <f t="array" ref="AO230">AO176*(Houses_with_gas_08/Houses_with_plumbing_08)*(INDEX('DHW Mix'!$AI$7:$AS$30,Homes_calc!$B230-2006,Homes_calc!AO$35+1))</f>
        <v>0</v>
      </c>
      <c r="AP230" s="21" cm="1">
        <f t="array" ref="AP230">AP176*(Houses_with_gas_08/Houses_with_plumbing_08)*(INDEX('DHW Mix'!$AI$7:$AS$30,Homes_calc!$B230-2006,Homes_calc!AP$35+1))</f>
        <v>0</v>
      </c>
      <c r="AQ230" s="21" cm="1">
        <f t="array" ref="AQ230">AQ176*(Houses_with_gas_08/Houses_with_plumbing_08)*(INDEX('DHW Mix'!$AI$7:$AS$30,Homes_calc!$B230-2006,Homes_calc!AQ$35+1))</f>
        <v>0</v>
      </c>
      <c r="AR230" s="21" cm="1">
        <f t="array" ref="AR230">AR176*(Houses_with_gas_08/Houses_with_plumbing_08)*(INDEX('DHW Mix'!$AI$7:$AS$30,Homes_calc!$B230-2006,Homes_calc!AR$35+1))</f>
        <v>0</v>
      </c>
      <c r="AS230" s="21" cm="1">
        <f t="array" ref="AS230">AS176*(Houses_with_gas_08/Houses_with_plumbing_08)*(INDEX('DHW Mix'!$AI$7:$AS$30,Homes_calc!$B230-2006,Homes_calc!AS$35+1))</f>
        <v>0</v>
      </c>
      <c r="AT230" s="21" cm="1">
        <f t="array" ref="AT230">AT176*(Houses_with_gas_08/Houses_with_plumbing_08)*(INDEX('DHW Mix'!$AI$7:$AS$30,Homes_calc!$B230-2006,Homes_calc!AT$35+1))</f>
        <v>0</v>
      </c>
      <c r="AU230" s="21" cm="1">
        <f t="array" ref="AU230">AU176*(Houses_with_gas_08/Houses_with_plumbing_08)*(INDEX('DHW Mix'!$AI$7:$AS$30,Homes_calc!$B230-2006,Homes_calc!AU$35+1))</f>
        <v>0</v>
      </c>
      <c r="AV230" s="21" cm="1">
        <f t="array" ref="AV230">AV176*(Houses_with_gas_08/Houses_with_plumbing_08)*(INDEX('DHW Mix'!$AI$7:$AS$30,Homes_calc!$B230-2006,Homes_calc!AV$35+1))</f>
        <v>0</v>
      </c>
      <c r="AW230" s="21" cm="1">
        <f t="array" ref="AW230">AW176*(Houses_with_gas_08/Houses_with_plumbing_08)*(INDEX('DHW Mix'!$AI$7:$AS$30,Homes_calc!$B230-2006,Homes_calc!AW$35+1))</f>
        <v>0</v>
      </c>
      <c r="AX230" s="21" cm="1">
        <f t="array" ref="AX230">AX176*(Houses_with_gas_08/Houses_with_plumbing_08)*(INDEX('DHW Mix'!$AI$7:$AS$30,Homes_calc!$B230-2006,Homes_calc!AX$35+1))</f>
        <v>0</v>
      </c>
      <c r="AY230" s="21" cm="1">
        <f t="array" ref="AY230">AY176*(Houses_with_gas_08/Houses_with_plumbing_08)*(INDEX('DHW Mix'!$AI$7:$AS$30,Homes_calc!$B230-2006,Homes_calc!AY$35+1))</f>
        <v>0</v>
      </c>
      <c r="AZ230" s="21" cm="1">
        <f t="array" ref="AZ230">AZ176*(Houses_with_gas_08/Houses_with_plumbing_08)*(INDEX('DHW Mix'!$AI$7:$AS$30,Homes_calc!$B230-2006,Homes_calc!AZ$35+1))</f>
        <v>0</v>
      </c>
      <c r="BA230" s="21" cm="1">
        <f t="array" ref="BA230">BA176*(Houses_with_gas_08/Houses_with_plumbing_08)*(INDEX('DHW Mix'!$AI$7:$AS$30,Homes_calc!$B230-2006,Homes_calc!BA$35+1))</f>
        <v>0</v>
      </c>
      <c r="BB230" s="21">
        <f t="shared" si="193"/>
        <v>0</v>
      </c>
    </row>
    <row r="231" spans="1:55">
      <c r="A231" s="456"/>
      <c r="B231" s="228">
        <v>2009</v>
      </c>
      <c r="C231" s="21" cm="1">
        <f t="array" ref="C231">C177*(Houses_with_gas_09/Houses_with_plumbing_09)*(INDEX('DHW Mix'!$AI$7:$AS$30,Homes_calc!$B231-2006,Homes_calc!C$35+1))</f>
        <v>0</v>
      </c>
      <c r="D231" s="21" cm="1">
        <f t="array" ref="D231">D177*(Houses_with_gas_09/Houses_with_plumbing_09)*(INDEX('DHW Mix'!$AI$7:$AS$30,Homes_calc!$B231-2006,Homes_calc!D$35+1))</f>
        <v>0</v>
      </c>
      <c r="E231" s="21" cm="1">
        <f t="array" ref="E231">E177*(Houses_with_gas_09/Houses_with_plumbing_09)*(INDEX('DHW Mix'!$AI$7:$AS$30,Homes_calc!$B231-2006,Homes_calc!E$35+1))</f>
        <v>0</v>
      </c>
      <c r="F231" s="21" cm="1">
        <f t="array" ref="F231">F177*(Houses_with_gas_09/Houses_with_plumbing_09)*(INDEX('DHW Mix'!$AI$7:$AS$30,Homes_calc!$B231-2006,Homes_calc!F$35+1))</f>
        <v>0</v>
      </c>
      <c r="G231" s="21" cm="1">
        <f t="array" ref="G231">G177*(Houses_with_gas_09/Houses_with_plumbing_09)*(INDEX('DHW Mix'!$AI$7:$AS$30,Homes_calc!$B231-2006,Homes_calc!G$35+1))</f>
        <v>0</v>
      </c>
      <c r="H231" s="21" cm="1">
        <f t="array" ref="H231">H177*(Houses_with_gas_09/Houses_with_plumbing_09)*(INDEX('DHW Mix'!$AI$7:$AS$30,Homes_calc!$B231-2006,Homes_calc!H$35+1))</f>
        <v>0</v>
      </c>
      <c r="I231" s="21" cm="1">
        <f t="array" ref="I231">I177*(Houses_with_gas_09/Houses_with_plumbing_09)*(INDEX('DHW Mix'!$AI$7:$AS$30,Homes_calc!$B231-2006,Homes_calc!I$35+1))</f>
        <v>0</v>
      </c>
      <c r="J231" s="21" cm="1">
        <f t="array" ref="J231">J177*(Houses_with_gas_09/Houses_with_plumbing_09)*(INDEX('DHW Mix'!$AI$7:$AS$30,Homes_calc!$B231-2006,Homes_calc!J$35+1))</f>
        <v>0</v>
      </c>
      <c r="K231" s="21" cm="1">
        <f t="array" ref="K231">K177*(Houses_with_gas_09/Houses_with_plumbing_09)*(INDEX('DHW Mix'!$AI$7:$AS$30,Homes_calc!$B231-2006,Homes_calc!K$35+1))</f>
        <v>0</v>
      </c>
      <c r="L231" s="21" cm="1">
        <f t="array" ref="L231">L177*(Houses_with_gas_09/Houses_with_plumbing_09)*(INDEX('DHW Mix'!$AI$7:$AS$30,Homes_calc!$B231-2006,Homes_calc!L$35+1))</f>
        <v>0</v>
      </c>
      <c r="M231" s="21" cm="1">
        <f t="array" ref="M231">M177*(Houses_with_gas_09/Houses_with_plumbing_09)*(INDEX('DHW Mix'!$AI$7:$AS$30,Homes_calc!$B231-2006,Homes_calc!M$35+1))</f>
        <v>0</v>
      </c>
      <c r="N231" s="21" cm="1">
        <f t="array" ref="N231">N177*(Houses_with_gas_09/Houses_with_plumbing_09)*(INDEX('DHW Mix'!$AI$7:$AS$30,Homes_calc!$B231-2006,Homes_calc!N$35+1))</f>
        <v>0</v>
      </c>
      <c r="O231" s="21" cm="1">
        <f t="array" ref="O231">O177*(Houses_with_gas_09/Houses_with_plumbing_09)*(INDEX('DHW Mix'!$AI$7:$AS$30,Homes_calc!$B231-2006,Homes_calc!O$35+1))</f>
        <v>0</v>
      </c>
      <c r="P231" s="21" cm="1">
        <f t="array" ref="P231">P177*(Houses_with_gas_09/Houses_with_plumbing_09)*(INDEX('DHW Mix'!$AI$7:$AS$30,Homes_calc!$B231-2006,Homes_calc!P$35+1))</f>
        <v>0</v>
      </c>
      <c r="Q231" s="21" cm="1">
        <f t="array" ref="Q231">Q177*(Houses_with_gas_09/Houses_with_plumbing_09)*(INDEX('DHW Mix'!$AI$7:$AS$30,Homes_calc!$B231-2006,Homes_calc!Q$35+1))</f>
        <v>0</v>
      </c>
      <c r="R231" s="21" cm="1">
        <f t="array" ref="R231">R177*(Houses_with_gas_09/Houses_with_plumbing_09)*(INDEX('DHW Mix'!$AI$7:$AS$30,Homes_calc!$B231-2006,Homes_calc!R$35+1))</f>
        <v>0</v>
      </c>
      <c r="S231" s="21" cm="1">
        <f t="array" ref="S231">S177*(Houses_with_gas_09/Houses_with_plumbing_09)*(INDEX('DHW Mix'!$AI$7:$AS$30,Homes_calc!$B231-2006,Homes_calc!S$35+1))</f>
        <v>0</v>
      </c>
      <c r="T231" s="21" cm="1">
        <f t="array" ref="T231">T177*(Houses_with_gas_09/Houses_with_plumbing_09)*(INDEX('DHW Mix'!$AI$7:$AS$30,Homes_calc!$B231-2006,Homes_calc!T$35+1))</f>
        <v>0</v>
      </c>
      <c r="U231" s="21" cm="1">
        <f t="array" ref="U231">U177*(Houses_with_gas_09/Houses_with_plumbing_09)*(INDEX('DHW Mix'!$AI$7:$AS$30,Homes_calc!$B231-2006,Homes_calc!U$35+1))</f>
        <v>0</v>
      </c>
      <c r="V231" s="21" cm="1">
        <f t="array" ref="V231">V177*(Houses_with_gas_09/Houses_with_plumbing_09)*(INDEX('DHW Mix'!$AI$7:$AS$30,Homes_calc!$B231-2006,Homes_calc!V$35+1))</f>
        <v>0</v>
      </c>
      <c r="W231" s="21" cm="1">
        <f t="array" ref="W231">W177*(Houses_with_gas_09/Houses_with_plumbing_09)*(INDEX('DHW Mix'!$AI$7:$AS$30,Homes_calc!$B231-2006,Homes_calc!W$35+1))</f>
        <v>0</v>
      </c>
      <c r="X231" s="21" cm="1">
        <f t="array" ref="X231">X177*(Houses_with_gas_09/Houses_with_plumbing_09)*(INDEX('DHW Mix'!$AI$7:$AS$30,Homes_calc!$B231-2006,Homes_calc!X$35+1))</f>
        <v>0</v>
      </c>
      <c r="Y231" s="21" cm="1">
        <f t="array" ref="Y231">Y177*(Houses_with_gas_09/Houses_with_plumbing_09)*(INDEX('DHW Mix'!$AI$7:$AS$30,Homes_calc!$B231-2006,Homes_calc!Y$35+1))</f>
        <v>0</v>
      </c>
      <c r="Z231" s="21" cm="1">
        <f t="array" ref="Z231">Z177*(Houses_with_gas_09/Houses_with_plumbing_09)*(INDEX('DHW Mix'!$AI$7:$AS$30,Homes_calc!$B231-2006,Homes_calc!Z$35+1))</f>
        <v>0</v>
      </c>
      <c r="AA231" s="21" cm="1">
        <f t="array" ref="AA231">AA177*(Houses_with_gas_09/Houses_with_plumbing_09)*(INDEX('DHW Mix'!$AI$7:$AS$30,Homes_calc!$B231-2006,Homes_calc!AA$35+1))</f>
        <v>0</v>
      </c>
      <c r="AB231" s="21" cm="1">
        <f t="array" ref="AB231">AB177*(Houses_with_gas_09/Houses_with_plumbing_09)*(INDEX('DHW Mix'!$AI$7:$AS$30,Homes_calc!$B231-2006,Homes_calc!AB$35+1))</f>
        <v>0</v>
      </c>
      <c r="AC231" s="21" cm="1">
        <f t="array" ref="AC231">AC177*(Houses_with_gas_09/Houses_with_plumbing_09)*(INDEX('DHW Mix'!$AI$7:$AS$30,Homes_calc!$B231-2006,Homes_calc!AC$35+1))</f>
        <v>0</v>
      </c>
      <c r="AD231" s="21" cm="1">
        <f t="array" ref="AD231">AD177*(Houses_with_gas_09/Houses_with_plumbing_09)*(INDEX('DHW Mix'!$AI$7:$AS$30,Homes_calc!$B231-2006,Homes_calc!AD$35+1))</f>
        <v>0</v>
      </c>
      <c r="AE231" s="21" cm="1">
        <f t="array" ref="AE231">AE177*(Houses_with_gas_09/Houses_with_plumbing_09)*(INDEX('DHW Mix'!$AI$7:$AS$30,Homes_calc!$B231-2006,Homes_calc!AE$35+1))</f>
        <v>0</v>
      </c>
      <c r="AF231" s="21" cm="1">
        <f t="array" ref="AF231">AF177*(Houses_with_gas_09/Houses_with_plumbing_09)*(INDEX('DHW Mix'!$AI$7:$AS$30,Homes_calc!$B231-2006,Homes_calc!AF$35+1))</f>
        <v>0</v>
      </c>
      <c r="AG231" s="21" cm="1">
        <f t="array" ref="AG231">AG177*(Houses_with_gas_09/Houses_with_plumbing_09)*(INDEX('DHW Mix'!$AI$7:$AS$30,Homes_calc!$B231-2006,Homes_calc!AG$35+1))</f>
        <v>0</v>
      </c>
      <c r="AH231" s="21" cm="1">
        <f t="array" ref="AH231">AH177*(Houses_with_gas_09/Houses_with_plumbing_09)*(INDEX('DHW Mix'!$AI$7:$AS$30,Homes_calc!$B231-2006,Homes_calc!AH$35+1))</f>
        <v>0</v>
      </c>
      <c r="AI231" s="21" cm="1">
        <f t="array" ref="AI231">AI177*(Houses_with_gas_09/Houses_with_plumbing_09)*(INDEX('DHW Mix'!$AI$7:$AS$30,Homes_calc!$B231-2006,Homes_calc!AI$35+1))</f>
        <v>0</v>
      </c>
      <c r="AJ231" s="21" cm="1">
        <f t="array" ref="AJ231">AJ177*(Houses_with_gas_09/Houses_with_plumbing_09)*(INDEX('DHW Mix'!$AI$7:$AS$30,Homes_calc!$B231-2006,Homes_calc!AJ$35+1))</f>
        <v>0</v>
      </c>
      <c r="AK231" s="21" cm="1">
        <f t="array" ref="AK231">AK177*(Houses_with_gas_09/Houses_with_plumbing_09)*(INDEX('DHW Mix'!$AI$7:$AS$30,Homes_calc!$B231-2006,Homes_calc!AK$35+1))</f>
        <v>0</v>
      </c>
      <c r="AL231" s="21" cm="1">
        <f t="array" ref="AL231">AL177*(Houses_with_gas_09/Houses_with_plumbing_09)*(INDEX('DHW Mix'!$AI$7:$AS$30,Homes_calc!$B231-2006,Homes_calc!AL$35+1))</f>
        <v>0</v>
      </c>
      <c r="AM231" s="21" cm="1">
        <f t="array" ref="AM231">AM177*(Houses_with_gas_09/Houses_with_plumbing_09)*(INDEX('DHW Mix'!$AI$7:$AS$30,Homes_calc!$B231-2006,Homes_calc!AM$35+1))</f>
        <v>0</v>
      </c>
      <c r="AN231" s="21" cm="1">
        <f t="array" ref="AN231">AN177*(Houses_with_gas_09/Houses_with_plumbing_09)*(INDEX('DHW Mix'!$AI$7:$AS$30,Homes_calc!$B231-2006,Homes_calc!AN$35+1))</f>
        <v>0</v>
      </c>
      <c r="AO231" s="21" cm="1">
        <f t="array" ref="AO231">AO177*(Houses_with_gas_09/Houses_with_plumbing_09)*(INDEX('DHW Mix'!$AI$7:$AS$30,Homes_calc!$B231-2006,Homes_calc!AO$35+1))</f>
        <v>0</v>
      </c>
      <c r="AP231" s="21" cm="1">
        <f t="array" ref="AP231">AP177*(Houses_with_gas_09/Houses_with_plumbing_09)*(INDEX('DHW Mix'!$AI$7:$AS$30,Homes_calc!$B231-2006,Homes_calc!AP$35+1))</f>
        <v>0</v>
      </c>
      <c r="AQ231" s="21" cm="1">
        <f t="array" ref="AQ231">AQ177*(Houses_with_gas_09/Houses_with_plumbing_09)*(INDEX('DHW Mix'!$AI$7:$AS$30,Homes_calc!$B231-2006,Homes_calc!AQ$35+1))</f>
        <v>0</v>
      </c>
      <c r="AR231" s="21" cm="1">
        <f t="array" ref="AR231">AR177*(Houses_with_gas_09/Houses_with_plumbing_09)*(INDEX('DHW Mix'!$AI$7:$AS$30,Homes_calc!$B231-2006,Homes_calc!AR$35+1))</f>
        <v>0</v>
      </c>
      <c r="AS231" s="21" cm="1">
        <f t="array" ref="AS231">AS177*(Houses_with_gas_09/Houses_with_plumbing_09)*(INDEX('DHW Mix'!$AI$7:$AS$30,Homes_calc!$B231-2006,Homes_calc!AS$35+1))</f>
        <v>0</v>
      </c>
      <c r="AT231" s="21" cm="1">
        <f t="array" ref="AT231">AT177*(Houses_with_gas_09/Houses_with_plumbing_09)*(INDEX('DHW Mix'!$AI$7:$AS$30,Homes_calc!$B231-2006,Homes_calc!AT$35+1))</f>
        <v>0</v>
      </c>
      <c r="AU231" s="21" cm="1">
        <f t="array" ref="AU231">AU177*(Houses_with_gas_09/Houses_with_plumbing_09)*(INDEX('DHW Mix'!$AI$7:$AS$30,Homes_calc!$B231-2006,Homes_calc!AU$35+1))</f>
        <v>0</v>
      </c>
      <c r="AV231" s="21" cm="1">
        <f t="array" ref="AV231">AV177*(Houses_with_gas_09/Houses_with_plumbing_09)*(INDEX('DHW Mix'!$AI$7:$AS$30,Homes_calc!$B231-2006,Homes_calc!AV$35+1))</f>
        <v>0</v>
      </c>
      <c r="AW231" s="21" cm="1">
        <f t="array" ref="AW231">AW177*(Houses_with_gas_09/Houses_with_plumbing_09)*(INDEX('DHW Mix'!$AI$7:$AS$30,Homes_calc!$B231-2006,Homes_calc!AW$35+1))</f>
        <v>0</v>
      </c>
      <c r="AX231" s="21" cm="1">
        <f t="array" ref="AX231">AX177*(Houses_with_gas_09/Houses_with_plumbing_09)*(INDEX('DHW Mix'!$AI$7:$AS$30,Homes_calc!$B231-2006,Homes_calc!AX$35+1))</f>
        <v>0</v>
      </c>
      <c r="AY231" s="21" cm="1">
        <f t="array" ref="AY231">AY177*(Houses_with_gas_09/Houses_with_plumbing_09)*(INDEX('DHW Mix'!$AI$7:$AS$30,Homes_calc!$B231-2006,Homes_calc!AY$35+1))</f>
        <v>0</v>
      </c>
      <c r="AZ231" s="21" cm="1">
        <f t="array" ref="AZ231">AZ177*(Houses_with_gas_09/Houses_with_plumbing_09)*(INDEX('DHW Mix'!$AI$7:$AS$30,Homes_calc!$B231-2006,Homes_calc!AZ$35+1))</f>
        <v>0</v>
      </c>
      <c r="BA231" s="21" cm="1">
        <f t="array" ref="BA231">BA177*(Houses_with_gas_09/Houses_with_plumbing_09)*(INDEX('DHW Mix'!$AI$7:$AS$30,Homes_calc!$B231-2006,Homes_calc!BA$35+1))</f>
        <v>0</v>
      </c>
      <c r="BB231" s="21">
        <f t="shared" si="193"/>
        <v>0</v>
      </c>
    </row>
    <row r="232" spans="1:55">
      <c r="A232" s="456"/>
      <c r="B232" s="226">
        <v>2010</v>
      </c>
      <c r="C232" s="21" cm="1">
        <f t="array" ref="C232">C178*(Houses_with_gas_10/Houses_with_plumbing_10)*(INDEX('DHW Mix'!$AI$7:$AS$30,Homes_calc!$B232-2006,Homes_calc!C$35+1))</f>
        <v>0</v>
      </c>
      <c r="D232" s="21" cm="1">
        <f t="array" ref="D232">D178*(Houses_with_gas_10/Houses_with_plumbing_10)*(INDEX('DHW Mix'!$AI$7:$AS$30,Homes_calc!$B232-2006,Homes_calc!D$35+1))</f>
        <v>0</v>
      </c>
      <c r="E232" s="21" cm="1">
        <f t="array" ref="E232">E178*(Houses_with_gas_10/Houses_with_plumbing_10)*(INDEX('DHW Mix'!$AI$7:$AS$30,Homes_calc!$B232-2006,Homes_calc!E$35+1))</f>
        <v>0</v>
      </c>
      <c r="F232" s="21" cm="1">
        <f t="array" ref="F232">F178*(Houses_with_gas_10/Houses_with_plumbing_10)*(INDEX('DHW Mix'!$AI$7:$AS$30,Homes_calc!$B232-2006,Homes_calc!F$35+1))</f>
        <v>0</v>
      </c>
      <c r="G232" s="21" cm="1">
        <f t="array" ref="G232">G178*(Houses_with_gas_10/Houses_with_plumbing_10)*(INDEX('DHW Mix'!$AI$7:$AS$30,Homes_calc!$B232-2006,Homes_calc!G$35+1))</f>
        <v>0</v>
      </c>
      <c r="H232" s="21" cm="1">
        <f t="array" ref="H232">H178*(Houses_with_gas_10/Houses_with_plumbing_10)*(INDEX('DHW Mix'!$AI$7:$AS$30,Homes_calc!$B232-2006,Homes_calc!H$35+1))</f>
        <v>0</v>
      </c>
      <c r="I232" s="21" cm="1">
        <f t="array" ref="I232">I178*(Houses_with_gas_10/Houses_with_plumbing_10)*(INDEX('DHW Mix'!$AI$7:$AS$30,Homes_calc!$B232-2006,Homes_calc!I$35+1))</f>
        <v>0</v>
      </c>
      <c r="J232" s="21" cm="1">
        <f t="array" ref="J232">J178*(Houses_with_gas_10/Houses_with_plumbing_10)*(INDEX('DHW Mix'!$AI$7:$AS$30,Homes_calc!$B232-2006,Homes_calc!J$35+1))</f>
        <v>0</v>
      </c>
      <c r="K232" s="21" cm="1">
        <f t="array" ref="K232">K178*(Houses_with_gas_10/Houses_with_plumbing_10)*(INDEX('DHW Mix'!$AI$7:$AS$30,Homes_calc!$B232-2006,Homes_calc!K$35+1))</f>
        <v>0</v>
      </c>
      <c r="L232" s="21" cm="1">
        <f t="array" ref="L232">L178*(Houses_with_gas_10/Houses_with_plumbing_10)*(INDEX('DHW Mix'!$AI$7:$AS$30,Homes_calc!$B232-2006,Homes_calc!L$35+1))</f>
        <v>0</v>
      </c>
      <c r="M232" s="21" cm="1">
        <f t="array" ref="M232">M178*(Houses_with_gas_10/Houses_with_plumbing_10)*(INDEX('DHW Mix'!$AI$7:$AS$30,Homes_calc!$B232-2006,Homes_calc!M$35+1))</f>
        <v>0</v>
      </c>
      <c r="N232" s="21" cm="1">
        <f t="array" ref="N232">N178*(Houses_with_gas_10/Houses_with_plumbing_10)*(INDEX('DHW Mix'!$AI$7:$AS$30,Homes_calc!$B232-2006,Homes_calc!N$35+1))</f>
        <v>0</v>
      </c>
      <c r="O232" s="21" cm="1">
        <f t="array" ref="O232">O178*(Houses_with_gas_10/Houses_with_plumbing_10)*(INDEX('DHW Mix'!$AI$7:$AS$30,Homes_calc!$B232-2006,Homes_calc!O$35+1))</f>
        <v>0</v>
      </c>
      <c r="P232" s="21" cm="1">
        <f t="array" ref="P232">P178*(Houses_with_gas_10/Houses_with_plumbing_10)*(INDEX('DHW Mix'!$AI$7:$AS$30,Homes_calc!$B232-2006,Homes_calc!P$35+1))</f>
        <v>0</v>
      </c>
      <c r="Q232" s="21" cm="1">
        <f t="array" ref="Q232">Q178*(Houses_with_gas_10/Houses_with_plumbing_10)*(INDEX('DHW Mix'!$AI$7:$AS$30,Homes_calc!$B232-2006,Homes_calc!Q$35+1))</f>
        <v>0</v>
      </c>
      <c r="R232" s="21" cm="1">
        <f t="array" ref="R232">R178*(Houses_with_gas_10/Houses_with_plumbing_10)*(INDEX('DHW Mix'!$AI$7:$AS$30,Homes_calc!$B232-2006,Homes_calc!R$35+1))</f>
        <v>0</v>
      </c>
      <c r="S232" s="21" cm="1">
        <f t="array" ref="S232">S178*(Houses_with_gas_10/Houses_with_plumbing_10)*(INDEX('DHW Mix'!$AI$7:$AS$30,Homes_calc!$B232-2006,Homes_calc!S$35+1))</f>
        <v>0</v>
      </c>
      <c r="T232" s="21" cm="1">
        <f t="array" ref="T232">T178*(Houses_with_gas_10/Houses_with_plumbing_10)*(INDEX('DHW Mix'!$AI$7:$AS$30,Homes_calc!$B232-2006,Homes_calc!T$35+1))</f>
        <v>0</v>
      </c>
      <c r="U232" s="21" cm="1">
        <f t="array" ref="U232">U178*(Houses_with_gas_10/Houses_with_plumbing_10)*(INDEX('DHW Mix'!$AI$7:$AS$30,Homes_calc!$B232-2006,Homes_calc!U$35+1))</f>
        <v>0</v>
      </c>
      <c r="V232" s="21" cm="1">
        <f t="array" ref="V232">V178*(Houses_with_gas_10/Houses_with_plumbing_10)*(INDEX('DHW Mix'!$AI$7:$AS$30,Homes_calc!$B232-2006,Homes_calc!V$35+1))</f>
        <v>0</v>
      </c>
      <c r="W232" s="21" cm="1">
        <f t="array" ref="W232">W178*(Houses_with_gas_10/Houses_with_plumbing_10)*(INDEX('DHW Mix'!$AI$7:$AS$30,Homes_calc!$B232-2006,Homes_calc!W$35+1))</f>
        <v>0</v>
      </c>
      <c r="X232" s="21" cm="1">
        <f t="array" ref="X232">X178*(Houses_with_gas_10/Houses_with_plumbing_10)*(INDEX('DHW Mix'!$AI$7:$AS$30,Homes_calc!$B232-2006,Homes_calc!X$35+1))</f>
        <v>0</v>
      </c>
      <c r="Y232" s="21" cm="1">
        <f t="array" ref="Y232">Y178*(Houses_with_gas_10/Houses_with_plumbing_10)*(INDEX('DHW Mix'!$AI$7:$AS$30,Homes_calc!$B232-2006,Homes_calc!Y$35+1))</f>
        <v>0</v>
      </c>
      <c r="Z232" s="21" cm="1">
        <f t="array" ref="Z232">Z178*(Houses_with_gas_10/Houses_with_plumbing_10)*(INDEX('DHW Mix'!$AI$7:$AS$30,Homes_calc!$B232-2006,Homes_calc!Z$35+1))</f>
        <v>0</v>
      </c>
      <c r="AA232" s="21" cm="1">
        <f t="array" ref="AA232">AA178*(Houses_with_gas_10/Houses_with_plumbing_10)*(INDEX('DHW Mix'!$AI$7:$AS$30,Homes_calc!$B232-2006,Homes_calc!AA$35+1))</f>
        <v>0</v>
      </c>
      <c r="AB232" s="21" cm="1">
        <f t="array" ref="AB232">AB178*(Houses_with_gas_10/Houses_with_plumbing_10)*(INDEX('DHW Mix'!$AI$7:$AS$30,Homes_calc!$B232-2006,Homes_calc!AB$35+1))</f>
        <v>0</v>
      </c>
      <c r="AC232" s="21" cm="1">
        <f t="array" ref="AC232">AC178*(Houses_with_gas_10/Houses_with_plumbing_10)*(INDEX('DHW Mix'!$AI$7:$AS$30,Homes_calc!$B232-2006,Homes_calc!AC$35+1))</f>
        <v>0</v>
      </c>
      <c r="AD232" s="21" cm="1">
        <f t="array" ref="AD232">AD178*(Houses_with_gas_10/Houses_with_plumbing_10)*(INDEX('DHW Mix'!$AI$7:$AS$30,Homes_calc!$B232-2006,Homes_calc!AD$35+1))</f>
        <v>0</v>
      </c>
      <c r="AE232" s="21" cm="1">
        <f t="array" ref="AE232">AE178*(Houses_with_gas_10/Houses_with_plumbing_10)*(INDEX('DHW Mix'!$AI$7:$AS$30,Homes_calc!$B232-2006,Homes_calc!AE$35+1))</f>
        <v>0</v>
      </c>
      <c r="AF232" s="21" cm="1">
        <f t="array" ref="AF232">AF178*(Houses_with_gas_10/Houses_with_plumbing_10)*(INDEX('DHW Mix'!$AI$7:$AS$30,Homes_calc!$B232-2006,Homes_calc!AF$35+1))</f>
        <v>0</v>
      </c>
      <c r="AG232" s="21" cm="1">
        <f t="array" ref="AG232">AG178*(Houses_with_gas_10/Houses_with_plumbing_10)*(INDEX('DHW Mix'!$AI$7:$AS$30,Homes_calc!$B232-2006,Homes_calc!AG$35+1))</f>
        <v>0</v>
      </c>
      <c r="AH232" s="21" cm="1">
        <f t="array" ref="AH232">AH178*(Houses_with_gas_10/Houses_with_plumbing_10)*(INDEX('DHW Mix'!$AI$7:$AS$30,Homes_calc!$B232-2006,Homes_calc!AH$35+1))</f>
        <v>0</v>
      </c>
      <c r="AI232" s="21" cm="1">
        <f t="array" ref="AI232">AI178*(Houses_with_gas_10/Houses_with_plumbing_10)*(INDEX('DHW Mix'!$AI$7:$AS$30,Homes_calc!$B232-2006,Homes_calc!AI$35+1))</f>
        <v>0</v>
      </c>
      <c r="AJ232" s="21" cm="1">
        <f t="array" ref="AJ232">AJ178*(Houses_with_gas_10/Houses_with_plumbing_10)*(INDEX('DHW Mix'!$AI$7:$AS$30,Homes_calc!$B232-2006,Homes_calc!AJ$35+1))</f>
        <v>0</v>
      </c>
      <c r="AK232" s="21" cm="1">
        <f t="array" ref="AK232">AK178*(Houses_with_gas_10/Houses_with_plumbing_10)*(INDEX('DHW Mix'!$AI$7:$AS$30,Homes_calc!$B232-2006,Homes_calc!AK$35+1))</f>
        <v>0</v>
      </c>
      <c r="AL232" s="21" cm="1">
        <f t="array" ref="AL232">AL178*(Houses_with_gas_10/Houses_with_plumbing_10)*(INDEX('DHW Mix'!$AI$7:$AS$30,Homes_calc!$B232-2006,Homes_calc!AL$35+1))</f>
        <v>0</v>
      </c>
      <c r="AM232" s="21" cm="1">
        <f t="array" ref="AM232">AM178*(Houses_with_gas_10/Houses_with_plumbing_10)*(INDEX('DHW Mix'!$AI$7:$AS$30,Homes_calc!$B232-2006,Homes_calc!AM$35+1))</f>
        <v>0</v>
      </c>
      <c r="AN232" s="21" cm="1">
        <f t="array" ref="AN232">AN178*(Houses_with_gas_10/Houses_with_plumbing_10)*(INDEX('DHW Mix'!$AI$7:$AS$30,Homes_calc!$B232-2006,Homes_calc!AN$35+1))</f>
        <v>0</v>
      </c>
      <c r="AO232" s="21" cm="1">
        <f t="array" ref="AO232">AO178*(Houses_with_gas_10/Houses_with_plumbing_10)*(INDEX('DHW Mix'!$AI$7:$AS$30,Homes_calc!$B232-2006,Homes_calc!AO$35+1))</f>
        <v>0</v>
      </c>
      <c r="AP232" s="21" cm="1">
        <f t="array" ref="AP232">AP178*(Houses_with_gas_10/Houses_with_plumbing_10)*(INDEX('DHW Mix'!$AI$7:$AS$30,Homes_calc!$B232-2006,Homes_calc!AP$35+1))</f>
        <v>0</v>
      </c>
      <c r="AQ232" s="21" cm="1">
        <f t="array" ref="AQ232">AQ178*(Houses_with_gas_10/Houses_with_plumbing_10)*(INDEX('DHW Mix'!$AI$7:$AS$30,Homes_calc!$B232-2006,Homes_calc!AQ$35+1))</f>
        <v>0</v>
      </c>
      <c r="AR232" s="21" cm="1">
        <f t="array" ref="AR232">AR178*(Houses_with_gas_10/Houses_with_plumbing_10)*(INDEX('DHW Mix'!$AI$7:$AS$30,Homes_calc!$B232-2006,Homes_calc!AR$35+1))</f>
        <v>0</v>
      </c>
      <c r="AS232" s="21" cm="1">
        <f t="array" ref="AS232">AS178*(Houses_with_gas_10/Houses_with_plumbing_10)*(INDEX('DHW Mix'!$AI$7:$AS$30,Homes_calc!$B232-2006,Homes_calc!AS$35+1))</f>
        <v>0</v>
      </c>
      <c r="AT232" s="21" cm="1">
        <f t="array" ref="AT232">AT178*(Houses_with_gas_10/Houses_with_plumbing_10)*(INDEX('DHW Mix'!$AI$7:$AS$30,Homes_calc!$B232-2006,Homes_calc!AT$35+1))</f>
        <v>0</v>
      </c>
      <c r="AU232" s="21" cm="1">
        <f t="array" ref="AU232">AU178*(Houses_with_gas_10/Houses_with_plumbing_10)*(INDEX('DHW Mix'!$AI$7:$AS$30,Homes_calc!$B232-2006,Homes_calc!AU$35+1))</f>
        <v>0</v>
      </c>
      <c r="AV232" s="21" cm="1">
        <f t="array" ref="AV232">AV178*(Houses_with_gas_10/Houses_with_plumbing_10)*(INDEX('DHW Mix'!$AI$7:$AS$30,Homes_calc!$B232-2006,Homes_calc!AV$35+1))</f>
        <v>0</v>
      </c>
      <c r="AW232" s="21" cm="1">
        <f t="array" ref="AW232">AW178*(Houses_with_gas_10/Houses_with_plumbing_10)*(INDEX('DHW Mix'!$AI$7:$AS$30,Homes_calc!$B232-2006,Homes_calc!AW$35+1))</f>
        <v>0</v>
      </c>
      <c r="AX232" s="21" cm="1">
        <f t="array" ref="AX232">AX178*(Houses_with_gas_10/Houses_with_plumbing_10)*(INDEX('DHW Mix'!$AI$7:$AS$30,Homes_calc!$B232-2006,Homes_calc!AX$35+1))</f>
        <v>0</v>
      </c>
      <c r="AY232" s="21" cm="1">
        <f t="array" ref="AY232">AY178*(Houses_with_gas_10/Houses_with_plumbing_10)*(INDEX('DHW Mix'!$AI$7:$AS$30,Homes_calc!$B232-2006,Homes_calc!AY$35+1))</f>
        <v>0</v>
      </c>
      <c r="AZ232" s="21" cm="1">
        <f t="array" ref="AZ232">AZ178*(Houses_with_gas_10/Houses_with_plumbing_10)*(INDEX('DHW Mix'!$AI$7:$AS$30,Homes_calc!$B232-2006,Homes_calc!AZ$35+1))</f>
        <v>0</v>
      </c>
      <c r="BA232" s="21" cm="1">
        <f t="array" ref="BA232">BA178*(Houses_with_gas_10/Houses_with_plumbing_10)*(INDEX('DHW Mix'!$AI$7:$AS$30,Homes_calc!$B232-2006,Homes_calc!BA$35+1))</f>
        <v>0</v>
      </c>
      <c r="BB232" s="21">
        <f t="shared" si="193"/>
        <v>0</v>
      </c>
    </row>
    <row r="233" spans="1:55">
      <c r="A233" s="456"/>
      <c r="B233" s="228">
        <v>2011</v>
      </c>
      <c r="C233" s="21" cm="1">
        <f t="array" ref="C233">C179*(Houses_with_gas_11/Houses_with_plumbing_11)*(INDEX('DHW Mix'!$AI$7:$AS$30,Homes_calc!$B233-2006,Homes_calc!C$35+1))</f>
        <v>0</v>
      </c>
      <c r="D233" s="21" cm="1">
        <f t="array" ref="D233">D179*(Houses_with_gas_11/Houses_with_plumbing_11)*(INDEX('DHW Mix'!$AI$7:$AS$30,Homes_calc!$B233-2006,Homes_calc!D$35+1))</f>
        <v>0</v>
      </c>
      <c r="E233" s="21" cm="1">
        <f t="array" ref="E233">E179*(Houses_with_gas_11/Houses_with_plumbing_11)*(INDEX('DHW Mix'!$AI$7:$AS$30,Homes_calc!$B233-2006,Homes_calc!E$35+1))</f>
        <v>0</v>
      </c>
      <c r="F233" s="21" cm="1">
        <f t="array" ref="F233">F179*(Houses_with_gas_11/Houses_with_plumbing_11)*(INDEX('DHW Mix'!$AI$7:$AS$30,Homes_calc!$B233-2006,Homes_calc!F$35+1))</f>
        <v>0</v>
      </c>
      <c r="G233" s="21" cm="1">
        <f t="array" ref="G233">G179*(Houses_with_gas_11/Houses_with_plumbing_11)*(INDEX('DHW Mix'!$AI$7:$AS$30,Homes_calc!$B233-2006,Homes_calc!G$35+1))</f>
        <v>0</v>
      </c>
      <c r="H233" s="21" cm="1">
        <f t="array" ref="H233">H179*(Houses_with_gas_11/Houses_with_plumbing_11)*(INDEX('DHW Mix'!$AI$7:$AS$30,Homes_calc!$B233-2006,Homes_calc!H$35+1))</f>
        <v>0</v>
      </c>
      <c r="I233" s="21" cm="1">
        <f t="array" ref="I233">I179*(Houses_with_gas_11/Houses_with_plumbing_11)*(INDEX('DHW Mix'!$AI$7:$AS$30,Homes_calc!$B233-2006,Homes_calc!I$35+1))</f>
        <v>0</v>
      </c>
      <c r="J233" s="21" cm="1">
        <f t="array" ref="J233">J179*(Houses_with_gas_11/Houses_with_plumbing_11)*(INDEX('DHW Mix'!$AI$7:$AS$30,Homes_calc!$B233-2006,Homes_calc!J$35+1))</f>
        <v>0</v>
      </c>
      <c r="K233" s="21" cm="1">
        <f t="array" ref="K233">K179*(Houses_with_gas_11/Houses_with_plumbing_11)*(INDEX('DHW Mix'!$AI$7:$AS$30,Homes_calc!$B233-2006,Homes_calc!K$35+1))</f>
        <v>0</v>
      </c>
      <c r="L233" s="21" cm="1">
        <f t="array" ref="L233">L179*(Houses_with_gas_11/Houses_with_plumbing_11)*(INDEX('DHW Mix'!$AI$7:$AS$30,Homes_calc!$B233-2006,Homes_calc!L$35+1))</f>
        <v>0</v>
      </c>
      <c r="M233" s="21" cm="1">
        <f t="array" ref="M233">M179*(Houses_with_gas_11/Houses_with_plumbing_11)*(INDEX('DHW Mix'!$AI$7:$AS$30,Homes_calc!$B233-2006,Homes_calc!M$35+1))</f>
        <v>0</v>
      </c>
      <c r="N233" s="21" cm="1">
        <f t="array" ref="N233">N179*(Houses_with_gas_11/Houses_with_plumbing_11)*(INDEX('DHW Mix'!$AI$7:$AS$30,Homes_calc!$B233-2006,Homes_calc!N$35+1))</f>
        <v>0</v>
      </c>
      <c r="O233" s="21" cm="1">
        <f t="array" ref="O233">O179*(Houses_with_gas_11/Houses_with_plumbing_11)*(INDEX('DHW Mix'!$AI$7:$AS$30,Homes_calc!$B233-2006,Homes_calc!O$35+1))</f>
        <v>0</v>
      </c>
      <c r="P233" s="21" cm="1">
        <f t="array" ref="P233">P179*(Houses_with_gas_11/Houses_with_plumbing_11)*(INDEX('DHW Mix'!$AI$7:$AS$30,Homes_calc!$B233-2006,Homes_calc!P$35+1))</f>
        <v>0</v>
      </c>
      <c r="Q233" s="21" cm="1">
        <f t="array" ref="Q233">Q179*(Houses_with_gas_11/Houses_with_plumbing_11)*(INDEX('DHW Mix'!$AI$7:$AS$30,Homes_calc!$B233-2006,Homes_calc!Q$35+1))</f>
        <v>0</v>
      </c>
      <c r="R233" s="21" cm="1">
        <f t="array" ref="R233">R179*(Houses_with_gas_11/Houses_with_plumbing_11)*(INDEX('DHW Mix'!$AI$7:$AS$30,Homes_calc!$B233-2006,Homes_calc!R$35+1))</f>
        <v>0</v>
      </c>
      <c r="S233" s="21" cm="1">
        <f t="array" ref="S233">S179*(Houses_with_gas_11/Houses_with_plumbing_11)*(INDEX('DHW Mix'!$AI$7:$AS$30,Homes_calc!$B233-2006,Homes_calc!S$35+1))</f>
        <v>0</v>
      </c>
      <c r="T233" s="21" cm="1">
        <f t="array" ref="T233">T179*(Houses_with_gas_11/Houses_with_plumbing_11)*(INDEX('DHW Mix'!$AI$7:$AS$30,Homes_calc!$B233-2006,Homes_calc!T$35+1))</f>
        <v>0</v>
      </c>
      <c r="U233" s="21" cm="1">
        <f t="array" ref="U233">U179*(Houses_with_gas_11/Houses_with_plumbing_11)*(INDEX('DHW Mix'!$AI$7:$AS$30,Homes_calc!$B233-2006,Homes_calc!U$35+1))</f>
        <v>0</v>
      </c>
      <c r="V233" s="21" cm="1">
        <f t="array" ref="V233">V179*(Houses_with_gas_11/Houses_with_plumbing_11)*(INDEX('DHW Mix'!$AI$7:$AS$30,Homes_calc!$B233-2006,Homes_calc!V$35+1))</f>
        <v>0</v>
      </c>
      <c r="W233" s="21" cm="1">
        <f t="array" ref="W233">W179*(Houses_with_gas_11/Houses_with_plumbing_11)*(INDEX('DHW Mix'!$AI$7:$AS$30,Homes_calc!$B233-2006,Homes_calc!W$35+1))</f>
        <v>0</v>
      </c>
      <c r="X233" s="21" cm="1">
        <f t="array" ref="X233">X179*(Houses_with_gas_11/Houses_with_plumbing_11)*(INDEX('DHW Mix'!$AI$7:$AS$30,Homes_calc!$B233-2006,Homes_calc!X$35+1))</f>
        <v>0</v>
      </c>
      <c r="Y233" s="21" cm="1">
        <f t="array" ref="Y233">Y179*(Houses_with_gas_11/Houses_with_plumbing_11)*(INDEX('DHW Mix'!$AI$7:$AS$30,Homes_calc!$B233-2006,Homes_calc!Y$35+1))</f>
        <v>0</v>
      </c>
      <c r="Z233" s="21" cm="1">
        <f t="array" ref="Z233">Z179*(Houses_with_gas_11/Houses_with_plumbing_11)*(INDEX('DHW Mix'!$AI$7:$AS$30,Homes_calc!$B233-2006,Homes_calc!Z$35+1))</f>
        <v>0</v>
      </c>
      <c r="AA233" s="21" cm="1">
        <f t="array" ref="AA233">AA179*(Houses_with_gas_11/Houses_with_plumbing_11)*(INDEX('DHW Mix'!$AI$7:$AS$30,Homes_calc!$B233-2006,Homes_calc!AA$35+1))</f>
        <v>0</v>
      </c>
      <c r="AB233" s="21" cm="1">
        <f t="array" ref="AB233">AB179*(Houses_with_gas_11/Houses_with_plumbing_11)*(INDEX('DHW Mix'!$AI$7:$AS$30,Homes_calc!$B233-2006,Homes_calc!AB$35+1))</f>
        <v>0</v>
      </c>
      <c r="AC233" s="21" cm="1">
        <f t="array" ref="AC233">AC179*(Houses_with_gas_11/Houses_with_plumbing_11)*(INDEX('DHW Mix'!$AI$7:$AS$30,Homes_calc!$B233-2006,Homes_calc!AC$35+1))</f>
        <v>0</v>
      </c>
      <c r="AD233" s="21" cm="1">
        <f t="array" ref="AD233">AD179*(Houses_with_gas_11/Houses_with_plumbing_11)*(INDEX('DHW Mix'!$AI$7:$AS$30,Homes_calc!$B233-2006,Homes_calc!AD$35+1))</f>
        <v>0</v>
      </c>
      <c r="AE233" s="21" cm="1">
        <f t="array" ref="AE233">AE179*(Houses_with_gas_11/Houses_with_plumbing_11)*(INDEX('DHW Mix'!$AI$7:$AS$30,Homes_calc!$B233-2006,Homes_calc!AE$35+1))</f>
        <v>0</v>
      </c>
      <c r="AF233" s="21" cm="1">
        <f t="array" ref="AF233">AF179*(Houses_with_gas_11/Houses_with_plumbing_11)*(INDEX('DHW Mix'!$AI$7:$AS$30,Homes_calc!$B233-2006,Homes_calc!AF$35+1))</f>
        <v>0</v>
      </c>
      <c r="AG233" s="21" cm="1">
        <f t="array" ref="AG233">AG179*(Houses_with_gas_11/Houses_with_plumbing_11)*(INDEX('DHW Mix'!$AI$7:$AS$30,Homes_calc!$B233-2006,Homes_calc!AG$35+1))</f>
        <v>0</v>
      </c>
      <c r="AH233" s="21" cm="1">
        <f t="array" ref="AH233">AH179*(Houses_with_gas_11/Houses_with_plumbing_11)*(INDEX('DHW Mix'!$AI$7:$AS$30,Homes_calc!$B233-2006,Homes_calc!AH$35+1))</f>
        <v>0</v>
      </c>
      <c r="AI233" s="21" cm="1">
        <f t="array" ref="AI233">AI179*(Houses_with_gas_11/Houses_with_plumbing_11)*(INDEX('DHW Mix'!$AI$7:$AS$30,Homes_calc!$B233-2006,Homes_calc!AI$35+1))</f>
        <v>0</v>
      </c>
      <c r="AJ233" s="21" cm="1">
        <f t="array" ref="AJ233">AJ179*(Houses_with_gas_11/Houses_with_plumbing_11)*(INDEX('DHW Mix'!$AI$7:$AS$30,Homes_calc!$B233-2006,Homes_calc!AJ$35+1))</f>
        <v>0</v>
      </c>
      <c r="AK233" s="21" cm="1">
        <f t="array" ref="AK233">AK179*(Houses_with_gas_11/Houses_with_plumbing_11)*(INDEX('DHW Mix'!$AI$7:$AS$30,Homes_calc!$B233-2006,Homes_calc!AK$35+1))</f>
        <v>0</v>
      </c>
      <c r="AL233" s="21" cm="1">
        <f t="array" ref="AL233">AL179*(Houses_with_gas_11/Houses_with_plumbing_11)*(INDEX('DHW Mix'!$AI$7:$AS$30,Homes_calc!$B233-2006,Homes_calc!AL$35+1))</f>
        <v>0</v>
      </c>
      <c r="AM233" s="21" cm="1">
        <f t="array" ref="AM233">AM179*(Houses_with_gas_11/Houses_with_plumbing_11)*(INDEX('DHW Mix'!$AI$7:$AS$30,Homes_calc!$B233-2006,Homes_calc!AM$35+1))</f>
        <v>0</v>
      </c>
      <c r="AN233" s="21" cm="1">
        <f t="array" ref="AN233">AN179*(Houses_with_gas_11/Houses_with_plumbing_11)*(INDEX('DHW Mix'!$AI$7:$AS$30,Homes_calc!$B233-2006,Homes_calc!AN$35+1))</f>
        <v>0</v>
      </c>
      <c r="AO233" s="21" cm="1">
        <f t="array" ref="AO233">AO179*(Houses_with_gas_11/Houses_with_plumbing_11)*(INDEX('DHW Mix'!$AI$7:$AS$30,Homes_calc!$B233-2006,Homes_calc!AO$35+1))</f>
        <v>0</v>
      </c>
      <c r="AP233" s="21" cm="1">
        <f t="array" ref="AP233">AP179*(Houses_with_gas_11/Houses_with_plumbing_11)*(INDEX('DHW Mix'!$AI$7:$AS$30,Homes_calc!$B233-2006,Homes_calc!AP$35+1))</f>
        <v>0</v>
      </c>
      <c r="AQ233" s="21" cm="1">
        <f t="array" ref="AQ233">AQ179*(Houses_with_gas_11/Houses_with_plumbing_11)*(INDEX('DHW Mix'!$AI$7:$AS$30,Homes_calc!$B233-2006,Homes_calc!AQ$35+1))</f>
        <v>0</v>
      </c>
      <c r="AR233" s="21" cm="1">
        <f t="array" ref="AR233">AR179*(Houses_with_gas_11/Houses_with_plumbing_11)*(INDEX('DHW Mix'!$AI$7:$AS$30,Homes_calc!$B233-2006,Homes_calc!AR$35+1))</f>
        <v>0</v>
      </c>
      <c r="AS233" s="21" cm="1">
        <f t="array" ref="AS233">AS179*(Houses_with_gas_11/Houses_with_plumbing_11)*(INDEX('DHW Mix'!$AI$7:$AS$30,Homes_calc!$B233-2006,Homes_calc!AS$35+1))</f>
        <v>0</v>
      </c>
      <c r="AT233" s="21" cm="1">
        <f t="array" ref="AT233">AT179*(Houses_with_gas_11/Houses_with_plumbing_11)*(INDEX('DHW Mix'!$AI$7:$AS$30,Homes_calc!$B233-2006,Homes_calc!AT$35+1))</f>
        <v>0</v>
      </c>
      <c r="AU233" s="21" cm="1">
        <f t="array" ref="AU233">AU179*(Houses_with_gas_11/Houses_with_plumbing_11)*(INDEX('DHW Mix'!$AI$7:$AS$30,Homes_calc!$B233-2006,Homes_calc!AU$35+1))</f>
        <v>0</v>
      </c>
      <c r="AV233" s="21" cm="1">
        <f t="array" ref="AV233">AV179*(Houses_with_gas_11/Houses_with_plumbing_11)*(INDEX('DHW Mix'!$AI$7:$AS$30,Homes_calc!$B233-2006,Homes_calc!AV$35+1))</f>
        <v>0</v>
      </c>
      <c r="AW233" s="21" cm="1">
        <f t="array" ref="AW233">AW179*(Houses_with_gas_11/Houses_with_plumbing_11)*(INDEX('DHW Mix'!$AI$7:$AS$30,Homes_calc!$B233-2006,Homes_calc!AW$35+1))</f>
        <v>0</v>
      </c>
      <c r="AX233" s="21" cm="1">
        <f t="array" ref="AX233">AX179*(Houses_with_gas_11/Houses_with_plumbing_11)*(INDEX('DHW Mix'!$AI$7:$AS$30,Homes_calc!$B233-2006,Homes_calc!AX$35+1))</f>
        <v>0</v>
      </c>
      <c r="AY233" s="21" cm="1">
        <f t="array" ref="AY233">AY179*(Houses_with_gas_11/Houses_with_plumbing_11)*(INDEX('DHW Mix'!$AI$7:$AS$30,Homes_calc!$B233-2006,Homes_calc!AY$35+1))</f>
        <v>0</v>
      </c>
      <c r="AZ233" s="21" cm="1">
        <f t="array" ref="AZ233">AZ179*(Houses_with_gas_11/Houses_with_plumbing_11)*(INDEX('DHW Mix'!$AI$7:$AS$30,Homes_calc!$B233-2006,Homes_calc!AZ$35+1))</f>
        <v>0</v>
      </c>
      <c r="BA233" s="21" cm="1">
        <f t="array" ref="BA233">BA179*(Houses_with_gas_11/Houses_with_plumbing_11)*(INDEX('DHW Mix'!$AI$7:$AS$30,Homes_calc!$B233-2006,Homes_calc!BA$35+1))</f>
        <v>0</v>
      </c>
      <c r="BB233" s="21">
        <f t="shared" si="193"/>
        <v>0</v>
      </c>
    </row>
    <row r="234" spans="1:55">
      <c r="A234" s="456"/>
      <c r="B234" s="226">
        <v>2012</v>
      </c>
      <c r="C234" s="21" cm="1">
        <f t="array" ref="C234">C180*(Houses_with_gas_12/Houses_with_plumbing_12)*(INDEX('DHW Mix'!$AI$7:$AS$30,Homes_calc!$B234-2006,Homes_calc!C$35+1))</f>
        <v>0</v>
      </c>
      <c r="D234" s="21" cm="1">
        <f t="array" ref="D234">D180*(Houses_with_gas_12/Houses_with_plumbing_12)*(INDEX('DHW Mix'!$AI$7:$AS$30,Homes_calc!$B234-2006,Homes_calc!D$35+1))</f>
        <v>0</v>
      </c>
      <c r="E234" s="21" cm="1">
        <f t="array" ref="E234">E180*(Houses_with_gas_12/Houses_with_plumbing_12)*(INDEX('DHW Mix'!$AI$7:$AS$30,Homes_calc!$B234-2006,Homes_calc!E$35+1))</f>
        <v>0</v>
      </c>
      <c r="F234" s="21" cm="1">
        <f t="array" ref="F234">F180*(Houses_with_gas_12/Houses_with_plumbing_12)*(INDEX('DHW Mix'!$AI$7:$AS$30,Homes_calc!$B234-2006,Homes_calc!F$35+1))</f>
        <v>0</v>
      </c>
      <c r="G234" s="21" cm="1">
        <f t="array" ref="G234">G180*(Houses_with_gas_12/Houses_with_plumbing_12)*(INDEX('DHW Mix'!$AI$7:$AS$30,Homes_calc!$B234-2006,Homes_calc!G$35+1))</f>
        <v>0</v>
      </c>
      <c r="H234" s="21" cm="1">
        <f t="array" ref="H234">H180*(Houses_with_gas_12/Houses_with_plumbing_12)*(INDEX('DHW Mix'!$AI$7:$AS$30,Homes_calc!$B234-2006,Homes_calc!H$35+1))</f>
        <v>0</v>
      </c>
      <c r="I234" s="21" cm="1">
        <f t="array" ref="I234">I180*(Houses_with_gas_12/Houses_with_plumbing_12)*(INDEX('DHW Mix'!$AI$7:$AS$30,Homes_calc!$B234-2006,Homes_calc!I$35+1))</f>
        <v>0</v>
      </c>
      <c r="J234" s="21" cm="1">
        <f t="array" ref="J234">J180*(Houses_with_gas_12/Houses_with_plumbing_12)*(INDEX('DHW Mix'!$AI$7:$AS$30,Homes_calc!$B234-2006,Homes_calc!J$35+1))</f>
        <v>0</v>
      </c>
      <c r="K234" s="21" cm="1">
        <f t="array" ref="K234">K180*(Houses_with_gas_12/Houses_with_plumbing_12)*(INDEX('DHW Mix'!$AI$7:$AS$30,Homes_calc!$B234-2006,Homes_calc!K$35+1))</f>
        <v>0</v>
      </c>
      <c r="L234" s="21" cm="1">
        <f t="array" ref="L234">L180*(Houses_with_gas_12/Houses_with_plumbing_12)*(INDEX('DHW Mix'!$AI$7:$AS$30,Homes_calc!$B234-2006,Homes_calc!L$35+1))</f>
        <v>0</v>
      </c>
      <c r="M234" s="21" cm="1">
        <f t="array" ref="M234">M180*(Houses_with_gas_12/Houses_with_plumbing_12)*(INDEX('DHW Mix'!$AI$7:$AS$30,Homes_calc!$B234-2006,Homes_calc!M$35+1))</f>
        <v>0</v>
      </c>
      <c r="N234" s="21" cm="1">
        <f t="array" ref="N234">N180*(Houses_with_gas_12/Houses_with_plumbing_12)*(INDEX('DHW Mix'!$AI$7:$AS$30,Homes_calc!$B234-2006,Homes_calc!N$35+1))</f>
        <v>0</v>
      </c>
      <c r="O234" s="21" cm="1">
        <f t="array" ref="O234">O180*(Houses_with_gas_12/Houses_with_plumbing_12)*(INDEX('DHW Mix'!$AI$7:$AS$30,Homes_calc!$B234-2006,Homes_calc!O$35+1))</f>
        <v>0</v>
      </c>
      <c r="P234" s="21" cm="1">
        <f t="array" ref="P234">P180*(Houses_with_gas_12/Houses_with_plumbing_12)*(INDEX('DHW Mix'!$AI$7:$AS$30,Homes_calc!$B234-2006,Homes_calc!P$35+1))</f>
        <v>0</v>
      </c>
      <c r="Q234" s="21" cm="1">
        <f t="array" ref="Q234">Q180*(Houses_with_gas_12/Houses_with_plumbing_12)*(INDEX('DHW Mix'!$AI$7:$AS$30,Homes_calc!$B234-2006,Homes_calc!Q$35+1))</f>
        <v>0</v>
      </c>
      <c r="R234" s="21" cm="1">
        <f t="array" ref="R234">R180*(Houses_with_gas_12/Houses_with_plumbing_12)*(INDEX('DHW Mix'!$AI$7:$AS$30,Homes_calc!$B234-2006,Homes_calc!R$35+1))</f>
        <v>0</v>
      </c>
      <c r="S234" s="21" cm="1">
        <f t="array" ref="S234">S180*(Houses_with_gas_12/Houses_with_plumbing_12)*(INDEX('DHW Mix'!$AI$7:$AS$30,Homes_calc!$B234-2006,Homes_calc!S$35+1))</f>
        <v>0</v>
      </c>
      <c r="T234" s="21" cm="1">
        <f t="array" ref="T234">T180*(Houses_with_gas_12/Houses_with_plumbing_12)*(INDEX('DHW Mix'!$AI$7:$AS$30,Homes_calc!$B234-2006,Homes_calc!T$35+1))</f>
        <v>0</v>
      </c>
      <c r="U234" s="21" cm="1">
        <f t="array" ref="U234">U180*(Houses_with_gas_12/Houses_with_plumbing_12)*(INDEX('DHW Mix'!$AI$7:$AS$30,Homes_calc!$B234-2006,Homes_calc!U$35+1))</f>
        <v>0</v>
      </c>
      <c r="V234" s="21" cm="1">
        <f t="array" ref="V234">V180*(Houses_with_gas_12/Houses_with_plumbing_12)*(INDEX('DHW Mix'!$AI$7:$AS$30,Homes_calc!$B234-2006,Homes_calc!V$35+1))</f>
        <v>0</v>
      </c>
      <c r="W234" s="21" cm="1">
        <f t="array" ref="W234">W180*(Houses_with_gas_12/Houses_with_plumbing_12)*(INDEX('DHW Mix'!$AI$7:$AS$30,Homes_calc!$B234-2006,Homes_calc!W$35+1))</f>
        <v>0</v>
      </c>
      <c r="X234" s="21" cm="1">
        <f t="array" ref="X234">X180*(Houses_with_gas_12/Houses_with_plumbing_12)*(INDEX('DHW Mix'!$AI$7:$AS$30,Homes_calc!$B234-2006,Homes_calc!X$35+1))</f>
        <v>0</v>
      </c>
      <c r="Y234" s="21" cm="1">
        <f t="array" ref="Y234">Y180*(Houses_with_gas_12/Houses_with_plumbing_12)*(INDEX('DHW Mix'!$AI$7:$AS$30,Homes_calc!$B234-2006,Homes_calc!Y$35+1))</f>
        <v>0</v>
      </c>
      <c r="Z234" s="21" cm="1">
        <f t="array" ref="Z234">Z180*(Houses_with_gas_12/Houses_with_plumbing_12)*(INDEX('DHW Mix'!$AI$7:$AS$30,Homes_calc!$B234-2006,Homes_calc!Z$35+1))</f>
        <v>0</v>
      </c>
      <c r="AA234" s="21" cm="1">
        <f t="array" ref="AA234">AA180*(Houses_with_gas_12/Houses_with_plumbing_12)*(INDEX('DHW Mix'!$AI$7:$AS$30,Homes_calc!$B234-2006,Homes_calc!AA$35+1))</f>
        <v>0</v>
      </c>
      <c r="AB234" s="21" cm="1">
        <f t="array" ref="AB234">AB180*(Houses_with_gas_12/Houses_with_plumbing_12)*(INDEX('DHW Mix'!$AI$7:$AS$30,Homes_calc!$B234-2006,Homes_calc!AB$35+1))</f>
        <v>0</v>
      </c>
      <c r="AC234" s="21" cm="1">
        <f t="array" ref="AC234">AC180*(Houses_with_gas_12/Houses_with_plumbing_12)*(INDEX('DHW Mix'!$AI$7:$AS$30,Homes_calc!$B234-2006,Homes_calc!AC$35+1))</f>
        <v>0</v>
      </c>
      <c r="AD234" s="21" cm="1">
        <f t="array" ref="AD234">AD180*(Houses_with_gas_12/Houses_with_plumbing_12)*(INDEX('DHW Mix'!$AI$7:$AS$30,Homes_calc!$B234-2006,Homes_calc!AD$35+1))</f>
        <v>0</v>
      </c>
      <c r="AE234" s="21" cm="1">
        <f t="array" ref="AE234">AE180*(Houses_with_gas_12/Houses_with_plumbing_12)*(INDEX('DHW Mix'!$AI$7:$AS$30,Homes_calc!$B234-2006,Homes_calc!AE$35+1))</f>
        <v>0</v>
      </c>
      <c r="AF234" s="21" cm="1">
        <f t="array" ref="AF234">AF180*(Houses_with_gas_12/Houses_with_plumbing_12)*(INDEX('DHW Mix'!$AI$7:$AS$30,Homes_calc!$B234-2006,Homes_calc!AF$35+1))</f>
        <v>0</v>
      </c>
      <c r="AG234" s="21" cm="1">
        <f t="array" ref="AG234">AG180*(Houses_with_gas_12/Houses_with_plumbing_12)*(INDEX('DHW Mix'!$AI$7:$AS$30,Homes_calc!$B234-2006,Homes_calc!AG$35+1))</f>
        <v>0</v>
      </c>
      <c r="AH234" s="21" cm="1">
        <f t="array" ref="AH234">AH180*(Houses_with_gas_12/Houses_with_plumbing_12)*(INDEX('DHW Mix'!$AI$7:$AS$30,Homes_calc!$B234-2006,Homes_calc!AH$35+1))</f>
        <v>0</v>
      </c>
      <c r="AI234" s="21" cm="1">
        <f t="array" ref="AI234">AI180*(Houses_with_gas_12/Houses_with_plumbing_12)*(INDEX('DHW Mix'!$AI$7:$AS$30,Homes_calc!$B234-2006,Homes_calc!AI$35+1))</f>
        <v>0</v>
      </c>
      <c r="AJ234" s="21" cm="1">
        <f t="array" ref="AJ234">AJ180*(Houses_with_gas_12/Houses_with_plumbing_12)*(INDEX('DHW Mix'!$AI$7:$AS$30,Homes_calc!$B234-2006,Homes_calc!AJ$35+1))</f>
        <v>0</v>
      </c>
      <c r="AK234" s="21" cm="1">
        <f t="array" ref="AK234">AK180*(Houses_with_gas_12/Houses_with_plumbing_12)*(INDEX('DHW Mix'!$AI$7:$AS$30,Homes_calc!$B234-2006,Homes_calc!AK$35+1))</f>
        <v>0</v>
      </c>
      <c r="AL234" s="21" cm="1">
        <f t="array" ref="AL234">AL180*(Houses_with_gas_12/Houses_with_plumbing_12)*(INDEX('DHW Mix'!$AI$7:$AS$30,Homes_calc!$B234-2006,Homes_calc!AL$35+1))</f>
        <v>0</v>
      </c>
      <c r="AM234" s="21" cm="1">
        <f t="array" ref="AM234">AM180*(Houses_with_gas_12/Houses_with_plumbing_12)*(INDEX('DHW Mix'!$AI$7:$AS$30,Homes_calc!$B234-2006,Homes_calc!AM$35+1))</f>
        <v>0</v>
      </c>
      <c r="AN234" s="21" cm="1">
        <f t="array" ref="AN234">AN180*(Houses_with_gas_12/Houses_with_plumbing_12)*(INDEX('DHW Mix'!$AI$7:$AS$30,Homes_calc!$B234-2006,Homes_calc!AN$35+1))</f>
        <v>0</v>
      </c>
      <c r="AO234" s="21" cm="1">
        <f t="array" ref="AO234">AO180*(Houses_with_gas_12/Houses_with_plumbing_12)*(INDEX('DHW Mix'!$AI$7:$AS$30,Homes_calc!$B234-2006,Homes_calc!AO$35+1))</f>
        <v>0</v>
      </c>
      <c r="AP234" s="21" cm="1">
        <f t="array" ref="AP234">AP180*(Houses_with_gas_12/Houses_with_plumbing_12)*(INDEX('DHW Mix'!$AI$7:$AS$30,Homes_calc!$B234-2006,Homes_calc!AP$35+1))</f>
        <v>0</v>
      </c>
      <c r="AQ234" s="21" cm="1">
        <f t="array" ref="AQ234">AQ180*(Houses_with_gas_12/Houses_with_plumbing_12)*(INDEX('DHW Mix'!$AI$7:$AS$30,Homes_calc!$B234-2006,Homes_calc!AQ$35+1))</f>
        <v>0</v>
      </c>
      <c r="AR234" s="21" cm="1">
        <f t="array" ref="AR234">AR180*(Houses_with_gas_12/Houses_with_plumbing_12)*(INDEX('DHW Mix'!$AI$7:$AS$30,Homes_calc!$B234-2006,Homes_calc!AR$35+1))</f>
        <v>0</v>
      </c>
      <c r="AS234" s="21" cm="1">
        <f t="array" ref="AS234">AS180*(Houses_with_gas_12/Houses_with_plumbing_12)*(INDEX('DHW Mix'!$AI$7:$AS$30,Homes_calc!$B234-2006,Homes_calc!AS$35+1))</f>
        <v>0</v>
      </c>
      <c r="AT234" s="21" cm="1">
        <f t="array" ref="AT234">AT180*(Houses_with_gas_12/Houses_with_plumbing_12)*(INDEX('DHW Mix'!$AI$7:$AS$30,Homes_calc!$B234-2006,Homes_calc!AT$35+1))</f>
        <v>0</v>
      </c>
      <c r="AU234" s="21" cm="1">
        <f t="array" ref="AU234">AU180*(Houses_with_gas_12/Houses_with_plumbing_12)*(INDEX('DHW Mix'!$AI$7:$AS$30,Homes_calc!$B234-2006,Homes_calc!AU$35+1))</f>
        <v>0</v>
      </c>
      <c r="AV234" s="21" cm="1">
        <f t="array" ref="AV234">AV180*(Houses_with_gas_12/Houses_with_plumbing_12)*(INDEX('DHW Mix'!$AI$7:$AS$30,Homes_calc!$B234-2006,Homes_calc!AV$35+1))</f>
        <v>0</v>
      </c>
      <c r="AW234" s="21" cm="1">
        <f t="array" ref="AW234">AW180*(Houses_with_gas_12/Houses_with_plumbing_12)*(INDEX('DHW Mix'!$AI$7:$AS$30,Homes_calc!$B234-2006,Homes_calc!AW$35+1))</f>
        <v>0</v>
      </c>
      <c r="AX234" s="21" cm="1">
        <f t="array" ref="AX234">AX180*(Houses_with_gas_12/Houses_with_plumbing_12)*(INDEX('DHW Mix'!$AI$7:$AS$30,Homes_calc!$B234-2006,Homes_calc!AX$35+1))</f>
        <v>0</v>
      </c>
      <c r="AY234" s="21" cm="1">
        <f t="array" ref="AY234">AY180*(Houses_with_gas_12/Houses_with_plumbing_12)*(INDEX('DHW Mix'!$AI$7:$AS$30,Homes_calc!$B234-2006,Homes_calc!AY$35+1))</f>
        <v>0</v>
      </c>
      <c r="AZ234" s="21" cm="1">
        <f t="array" ref="AZ234">AZ180*(Houses_with_gas_12/Houses_with_plumbing_12)*(INDEX('DHW Mix'!$AI$7:$AS$30,Homes_calc!$B234-2006,Homes_calc!AZ$35+1))</f>
        <v>0</v>
      </c>
      <c r="BA234" s="21" cm="1">
        <f t="array" ref="BA234">BA180*(Houses_with_gas_12/Houses_with_plumbing_12)*(INDEX('DHW Mix'!$AI$7:$AS$30,Homes_calc!$B234-2006,Homes_calc!BA$35+1))</f>
        <v>0</v>
      </c>
      <c r="BB234" s="21">
        <f t="shared" si="193"/>
        <v>0</v>
      </c>
    </row>
    <row r="235" spans="1:55">
      <c r="A235" s="456"/>
      <c r="B235" s="228">
        <v>2013</v>
      </c>
      <c r="C235" s="21" cm="1">
        <f t="array" ref="C235">C181*(Houses_with_gas_13/Houses_with_plumbing_13)*(INDEX('DHW Mix'!$AI$7:$AS$30,Homes_calc!$B235-2006,Homes_calc!C$35+1))</f>
        <v>0</v>
      </c>
      <c r="D235" s="21" cm="1">
        <f t="array" ref="D235">D181*(Houses_with_gas_13/Houses_with_plumbing_13)*(INDEX('DHW Mix'!$AI$7:$AS$30,Homes_calc!$B235-2006,Homes_calc!D$35+1))</f>
        <v>0</v>
      </c>
      <c r="E235" s="21" cm="1">
        <f t="array" ref="E235">E181*(Houses_with_gas_13/Houses_with_plumbing_13)*(INDEX('DHW Mix'!$AI$7:$AS$30,Homes_calc!$B235-2006,Homes_calc!E$35+1))</f>
        <v>0</v>
      </c>
      <c r="F235" s="21" cm="1">
        <f t="array" ref="F235">F181*(Houses_with_gas_13/Houses_with_plumbing_13)*(INDEX('DHW Mix'!$AI$7:$AS$30,Homes_calc!$B235-2006,Homes_calc!F$35+1))</f>
        <v>0</v>
      </c>
      <c r="G235" s="21" cm="1">
        <f t="array" ref="G235">G181*(Houses_with_gas_13/Houses_with_plumbing_13)*(INDEX('DHW Mix'!$AI$7:$AS$30,Homes_calc!$B235-2006,Homes_calc!G$35+1))</f>
        <v>0</v>
      </c>
      <c r="H235" s="21" cm="1">
        <f t="array" ref="H235">H181*(Houses_with_gas_13/Houses_with_plumbing_13)*(INDEX('DHW Mix'!$AI$7:$AS$30,Homes_calc!$B235-2006,Homes_calc!H$35+1))</f>
        <v>0</v>
      </c>
      <c r="I235" s="21" cm="1">
        <f t="array" ref="I235">I181*(Houses_with_gas_13/Houses_with_plumbing_13)*(INDEX('DHW Mix'!$AI$7:$AS$30,Homes_calc!$B235-2006,Homes_calc!I$35+1))</f>
        <v>0</v>
      </c>
      <c r="J235" s="21" cm="1">
        <f t="array" ref="J235">J181*(Houses_with_gas_13/Houses_with_plumbing_13)*(INDEX('DHW Mix'!$AI$7:$AS$30,Homes_calc!$B235-2006,Homes_calc!J$35+1))</f>
        <v>0</v>
      </c>
      <c r="K235" s="21" cm="1">
        <f t="array" ref="K235">K181*(Houses_with_gas_13/Houses_with_plumbing_13)*(INDEX('DHW Mix'!$AI$7:$AS$30,Homes_calc!$B235-2006,Homes_calc!K$35+1))</f>
        <v>0</v>
      </c>
      <c r="L235" s="21" cm="1">
        <f t="array" ref="L235">L181*(Houses_with_gas_13/Houses_with_plumbing_13)*(INDEX('DHW Mix'!$AI$7:$AS$30,Homes_calc!$B235-2006,Homes_calc!L$35+1))</f>
        <v>0</v>
      </c>
      <c r="M235" s="21" cm="1">
        <f t="array" ref="M235">M181*(Houses_with_gas_13/Houses_with_plumbing_13)*(INDEX('DHW Mix'!$AI$7:$AS$30,Homes_calc!$B235-2006,Homes_calc!M$35+1))</f>
        <v>0</v>
      </c>
      <c r="N235" s="21" cm="1">
        <f t="array" ref="N235">N181*(Houses_with_gas_13/Houses_with_plumbing_13)*(INDEX('DHW Mix'!$AI$7:$AS$30,Homes_calc!$B235-2006,Homes_calc!N$35+1))</f>
        <v>0</v>
      </c>
      <c r="O235" s="21" cm="1">
        <f t="array" ref="O235">O181*(Houses_with_gas_13/Houses_with_plumbing_13)*(INDEX('DHW Mix'!$AI$7:$AS$30,Homes_calc!$B235-2006,Homes_calc!O$35+1))</f>
        <v>0</v>
      </c>
      <c r="P235" s="21" cm="1">
        <f t="array" ref="P235">P181*(Houses_with_gas_13/Houses_with_plumbing_13)*(INDEX('DHW Mix'!$AI$7:$AS$30,Homes_calc!$B235-2006,Homes_calc!P$35+1))</f>
        <v>0</v>
      </c>
      <c r="Q235" s="21" cm="1">
        <f t="array" ref="Q235">Q181*(Houses_with_gas_13/Houses_with_plumbing_13)*(INDEX('DHW Mix'!$AI$7:$AS$30,Homes_calc!$B235-2006,Homes_calc!Q$35+1))</f>
        <v>0</v>
      </c>
      <c r="R235" s="21" cm="1">
        <f t="array" ref="R235">R181*(Houses_with_gas_13/Houses_with_plumbing_13)*(INDEX('DHW Mix'!$AI$7:$AS$30,Homes_calc!$B235-2006,Homes_calc!R$35+1))</f>
        <v>0</v>
      </c>
      <c r="S235" s="21" cm="1">
        <f t="array" ref="S235">S181*(Houses_with_gas_13/Houses_with_plumbing_13)*(INDEX('DHW Mix'!$AI$7:$AS$30,Homes_calc!$B235-2006,Homes_calc!S$35+1))</f>
        <v>0</v>
      </c>
      <c r="T235" s="21" cm="1">
        <f t="array" ref="T235">T181*(Houses_with_gas_13/Houses_with_plumbing_13)*(INDEX('DHW Mix'!$AI$7:$AS$30,Homes_calc!$B235-2006,Homes_calc!T$35+1))</f>
        <v>0</v>
      </c>
      <c r="U235" s="21" cm="1">
        <f t="array" ref="U235">U181*(Houses_with_gas_13/Houses_with_plumbing_13)*(INDEX('DHW Mix'!$AI$7:$AS$30,Homes_calc!$B235-2006,Homes_calc!U$35+1))</f>
        <v>0</v>
      </c>
      <c r="V235" s="21" cm="1">
        <f t="array" ref="V235">V181*(Houses_with_gas_13/Houses_with_plumbing_13)*(INDEX('DHW Mix'!$AI$7:$AS$30,Homes_calc!$B235-2006,Homes_calc!V$35+1))</f>
        <v>0</v>
      </c>
      <c r="W235" s="21" cm="1">
        <f t="array" ref="W235">W181*(Houses_with_gas_13/Houses_with_plumbing_13)*(INDEX('DHW Mix'!$AI$7:$AS$30,Homes_calc!$B235-2006,Homes_calc!W$35+1))</f>
        <v>0</v>
      </c>
      <c r="X235" s="21" cm="1">
        <f t="array" ref="X235">X181*(Houses_with_gas_13/Houses_with_plumbing_13)*(INDEX('DHW Mix'!$AI$7:$AS$30,Homes_calc!$B235-2006,Homes_calc!X$35+1))</f>
        <v>0</v>
      </c>
      <c r="Y235" s="21" cm="1">
        <f t="array" ref="Y235">Y181*(Houses_with_gas_13/Houses_with_plumbing_13)*(INDEX('DHW Mix'!$AI$7:$AS$30,Homes_calc!$B235-2006,Homes_calc!Y$35+1))</f>
        <v>0</v>
      </c>
      <c r="Z235" s="21" cm="1">
        <f t="array" ref="Z235">Z181*(Houses_with_gas_13/Houses_with_plumbing_13)*(INDEX('DHW Mix'!$AI$7:$AS$30,Homes_calc!$B235-2006,Homes_calc!Z$35+1))</f>
        <v>0</v>
      </c>
      <c r="AA235" s="21" cm="1">
        <f t="array" ref="AA235">AA181*(Houses_with_gas_13/Houses_with_plumbing_13)*(INDEX('DHW Mix'!$AI$7:$AS$30,Homes_calc!$B235-2006,Homes_calc!AA$35+1))</f>
        <v>0</v>
      </c>
      <c r="AB235" s="21" cm="1">
        <f t="array" ref="AB235">AB181*(Houses_with_gas_13/Houses_with_plumbing_13)*(INDEX('DHW Mix'!$AI$7:$AS$30,Homes_calc!$B235-2006,Homes_calc!AB$35+1))</f>
        <v>0</v>
      </c>
      <c r="AC235" s="21" cm="1">
        <f t="array" ref="AC235">AC181*(Houses_with_gas_13/Houses_with_plumbing_13)*(INDEX('DHW Mix'!$AI$7:$AS$30,Homes_calc!$B235-2006,Homes_calc!AC$35+1))</f>
        <v>0</v>
      </c>
      <c r="AD235" s="21" cm="1">
        <f t="array" ref="AD235">AD181*(Houses_with_gas_13/Houses_with_plumbing_13)*(INDEX('DHW Mix'!$AI$7:$AS$30,Homes_calc!$B235-2006,Homes_calc!AD$35+1))</f>
        <v>0</v>
      </c>
      <c r="AE235" s="21" cm="1">
        <f t="array" ref="AE235">AE181*(Houses_with_gas_13/Houses_with_plumbing_13)*(INDEX('DHW Mix'!$AI$7:$AS$30,Homes_calc!$B235-2006,Homes_calc!AE$35+1))</f>
        <v>0</v>
      </c>
      <c r="AF235" s="21" cm="1">
        <f t="array" ref="AF235">AF181*(Houses_with_gas_13/Houses_with_plumbing_13)*(INDEX('DHW Mix'!$AI$7:$AS$30,Homes_calc!$B235-2006,Homes_calc!AF$35+1))</f>
        <v>0</v>
      </c>
      <c r="AG235" s="21" cm="1">
        <f t="array" ref="AG235">AG181*(Houses_with_gas_13/Houses_with_plumbing_13)*(INDEX('DHW Mix'!$AI$7:$AS$30,Homes_calc!$B235-2006,Homes_calc!AG$35+1))</f>
        <v>0</v>
      </c>
      <c r="AH235" s="21" cm="1">
        <f t="array" ref="AH235">AH181*(Houses_with_gas_13/Houses_with_plumbing_13)*(INDEX('DHW Mix'!$AI$7:$AS$30,Homes_calc!$B235-2006,Homes_calc!AH$35+1))</f>
        <v>0</v>
      </c>
      <c r="AI235" s="21" cm="1">
        <f t="array" ref="AI235">AI181*(Houses_with_gas_13/Houses_with_plumbing_13)*(INDEX('DHW Mix'!$AI$7:$AS$30,Homes_calc!$B235-2006,Homes_calc!AI$35+1))</f>
        <v>0</v>
      </c>
      <c r="AJ235" s="21" cm="1">
        <f t="array" ref="AJ235">AJ181*(Houses_with_gas_13/Houses_with_plumbing_13)*(INDEX('DHW Mix'!$AI$7:$AS$30,Homes_calc!$B235-2006,Homes_calc!AJ$35+1))</f>
        <v>0</v>
      </c>
      <c r="AK235" s="21" cm="1">
        <f t="array" ref="AK235">AK181*(Houses_with_gas_13/Houses_with_plumbing_13)*(INDEX('DHW Mix'!$AI$7:$AS$30,Homes_calc!$B235-2006,Homes_calc!AK$35+1))</f>
        <v>0</v>
      </c>
      <c r="AL235" s="21" cm="1">
        <f t="array" ref="AL235">AL181*(Houses_with_gas_13/Houses_with_plumbing_13)*(INDEX('DHW Mix'!$AI$7:$AS$30,Homes_calc!$B235-2006,Homes_calc!AL$35+1))</f>
        <v>0</v>
      </c>
      <c r="AM235" s="21" cm="1">
        <f t="array" ref="AM235">AM181*(Houses_with_gas_13/Houses_with_plumbing_13)*(INDEX('DHW Mix'!$AI$7:$AS$30,Homes_calc!$B235-2006,Homes_calc!AM$35+1))</f>
        <v>0</v>
      </c>
      <c r="AN235" s="21" cm="1">
        <f t="array" ref="AN235">AN181*(Houses_with_gas_13/Houses_with_plumbing_13)*(INDEX('DHW Mix'!$AI$7:$AS$30,Homes_calc!$B235-2006,Homes_calc!AN$35+1))</f>
        <v>0</v>
      </c>
      <c r="AO235" s="21" cm="1">
        <f t="array" ref="AO235">AO181*(Houses_with_gas_13/Houses_with_plumbing_13)*(INDEX('DHW Mix'!$AI$7:$AS$30,Homes_calc!$B235-2006,Homes_calc!AO$35+1))</f>
        <v>0</v>
      </c>
      <c r="AP235" s="21" cm="1">
        <f t="array" ref="AP235">AP181*(Houses_with_gas_13/Houses_with_plumbing_13)*(INDEX('DHW Mix'!$AI$7:$AS$30,Homes_calc!$B235-2006,Homes_calc!AP$35+1))</f>
        <v>0</v>
      </c>
      <c r="AQ235" s="21" cm="1">
        <f t="array" ref="AQ235">AQ181*(Houses_with_gas_13/Houses_with_plumbing_13)*(INDEX('DHW Mix'!$AI$7:$AS$30,Homes_calc!$B235-2006,Homes_calc!AQ$35+1))</f>
        <v>0</v>
      </c>
      <c r="AR235" s="21" cm="1">
        <f t="array" ref="AR235">AR181*(Houses_with_gas_13/Houses_with_plumbing_13)*(INDEX('DHW Mix'!$AI$7:$AS$30,Homes_calc!$B235-2006,Homes_calc!AR$35+1))</f>
        <v>0</v>
      </c>
      <c r="AS235" s="21" cm="1">
        <f t="array" ref="AS235">AS181*(Houses_with_gas_13/Houses_with_plumbing_13)*(INDEX('DHW Mix'!$AI$7:$AS$30,Homes_calc!$B235-2006,Homes_calc!AS$35+1))</f>
        <v>0</v>
      </c>
      <c r="AT235" s="21" cm="1">
        <f t="array" ref="AT235">AT181*(Houses_with_gas_13/Houses_with_plumbing_13)*(INDEX('DHW Mix'!$AI$7:$AS$30,Homes_calc!$B235-2006,Homes_calc!AT$35+1))</f>
        <v>0</v>
      </c>
      <c r="AU235" s="21" cm="1">
        <f t="array" ref="AU235">AU181*(Houses_with_gas_13/Houses_with_plumbing_13)*(INDEX('DHW Mix'!$AI$7:$AS$30,Homes_calc!$B235-2006,Homes_calc!AU$35+1))</f>
        <v>0</v>
      </c>
      <c r="AV235" s="21" cm="1">
        <f t="array" ref="AV235">AV181*(Houses_with_gas_13/Houses_with_plumbing_13)*(INDEX('DHW Mix'!$AI$7:$AS$30,Homes_calc!$B235-2006,Homes_calc!AV$35+1))</f>
        <v>0</v>
      </c>
      <c r="AW235" s="21" cm="1">
        <f t="array" ref="AW235">AW181*(Houses_with_gas_13/Houses_with_plumbing_13)*(INDEX('DHW Mix'!$AI$7:$AS$30,Homes_calc!$B235-2006,Homes_calc!AW$35+1))</f>
        <v>0</v>
      </c>
      <c r="AX235" s="21" cm="1">
        <f t="array" ref="AX235">AX181*(Houses_with_gas_13/Houses_with_plumbing_13)*(INDEX('DHW Mix'!$AI$7:$AS$30,Homes_calc!$B235-2006,Homes_calc!AX$35+1))</f>
        <v>0</v>
      </c>
      <c r="AY235" s="21" cm="1">
        <f t="array" ref="AY235">AY181*(Houses_with_gas_13/Houses_with_plumbing_13)*(INDEX('DHW Mix'!$AI$7:$AS$30,Homes_calc!$B235-2006,Homes_calc!AY$35+1))</f>
        <v>0</v>
      </c>
      <c r="AZ235" s="21" cm="1">
        <f t="array" ref="AZ235">AZ181*(Houses_with_gas_13/Houses_with_plumbing_13)*(INDEX('DHW Mix'!$AI$7:$AS$30,Homes_calc!$B235-2006,Homes_calc!AZ$35+1))</f>
        <v>0</v>
      </c>
      <c r="BA235" s="21" cm="1">
        <f t="array" ref="BA235">BA181*(Houses_with_gas_13/Houses_with_plumbing_13)*(INDEX('DHW Mix'!$AI$7:$AS$30,Homes_calc!$B235-2006,Homes_calc!BA$35+1))</f>
        <v>0</v>
      </c>
      <c r="BB235" s="21">
        <f t="shared" si="193"/>
        <v>0</v>
      </c>
    </row>
    <row r="236" spans="1:55">
      <c r="A236" s="456"/>
      <c r="B236" s="226">
        <v>2014</v>
      </c>
      <c r="C236" s="21" cm="1">
        <f t="array" ref="C236">C182*(Houses_with_gas_14/Houses_with_plumbing_14)*(INDEX('DHW Mix'!$AI$7:$AS$30,Homes_calc!$B236-2006,Homes_calc!C$35+1))</f>
        <v>0</v>
      </c>
      <c r="D236" s="21" cm="1">
        <f t="array" ref="D236">D182*(Houses_with_gas_14/Houses_with_plumbing_14)*(INDEX('DHW Mix'!$AI$7:$AS$30,Homes_calc!$B236-2006,Homes_calc!D$35+1))</f>
        <v>0</v>
      </c>
      <c r="E236" s="21" cm="1">
        <f t="array" ref="E236">E182*(Houses_with_gas_14/Houses_with_plumbing_14)*(INDEX('DHW Mix'!$AI$7:$AS$30,Homes_calc!$B236-2006,Homes_calc!E$35+1))</f>
        <v>0</v>
      </c>
      <c r="F236" s="21" cm="1">
        <f t="array" ref="F236">F182*(Houses_with_gas_14/Houses_with_plumbing_14)*(INDEX('DHW Mix'!$AI$7:$AS$30,Homes_calc!$B236-2006,Homes_calc!F$35+1))</f>
        <v>0</v>
      </c>
      <c r="G236" s="21" cm="1">
        <f t="array" ref="G236">G182*(Houses_with_gas_14/Houses_with_plumbing_14)*(INDEX('DHW Mix'!$AI$7:$AS$30,Homes_calc!$B236-2006,Homes_calc!G$35+1))</f>
        <v>0</v>
      </c>
      <c r="H236" s="21" cm="1">
        <f t="array" ref="H236">H182*(Houses_with_gas_14/Houses_with_plumbing_14)*(INDEX('DHW Mix'!$AI$7:$AS$30,Homes_calc!$B236-2006,Homes_calc!H$35+1))</f>
        <v>0</v>
      </c>
      <c r="I236" s="21" cm="1">
        <f t="array" ref="I236">I182*(Houses_with_gas_14/Houses_with_plumbing_14)*(INDEX('DHW Mix'!$AI$7:$AS$30,Homes_calc!$B236-2006,Homes_calc!I$35+1))</f>
        <v>0</v>
      </c>
      <c r="J236" s="21" cm="1">
        <f t="array" ref="J236">J182*(Houses_with_gas_14/Houses_with_plumbing_14)*(INDEX('DHW Mix'!$AI$7:$AS$30,Homes_calc!$B236-2006,Homes_calc!J$35+1))</f>
        <v>0</v>
      </c>
      <c r="K236" s="21" cm="1">
        <f t="array" ref="K236">K182*(Houses_with_gas_14/Houses_with_plumbing_14)*(INDEX('DHW Mix'!$AI$7:$AS$30,Homes_calc!$B236-2006,Homes_calc!K$35+1))</f>
        <v>0</v>
      </c>
      <c r="L236" s="21" cm="1">
        <f t="array" ref="L236">L182*(Houses_with_gas_14/Houses_with_plumbing_14)*(INDEX('DHW Mix'!$AI$7:$AS$30,Homes_calc!$B236-2006,Homes_calc!L$35+1))</f>
        <v>0</v>
      </c>
      <c r="M236" s="21" cm="1">
        <f t="array" ref="M236">M182*(Houses_with_gas_14/Houses_with_plumbing_14)*(INDEX('DHW Mix'!$AI$7:$AS$30,Homes_calc!$B236-2006,Homes_calc!M$35+1))</f>
        <v>0</v>
      </c>
      <c r="N236" s="21" cm="1">
        <f t="array" ref="N236">N182*(Houses_with_gas_14/Houses_with_plumbing_14)*(INDEX('DHW Mix'!$AI$7:$AS$30,Homes_calc!$B236-2006,Homes_calc!N$35+1))</f>
        <v>0</v>
      </c>
      <c r="O236" s="21" cm="1">
        <f t="array" ref="O236">O182*(Houses_with_gas_14/Houses_with_plumbing_14)*(INDEX('DHW Mix'!$AI$7:$AS$30,Homes_calc!$B236-2006,Homes_calc!O$35+1))</f>
        <v>0</v>
      </c>
      <c r="P236" s="21" cm="1">
        <f t="array" ref="P236">P182*(Houses_with_gas_14/Houses_with_plumbing_14)*(INDEX('DHW Mix'!$AI$7:$AS$30,Homes_calc!$B236-2006,Homes_calc!P$35+1))</f>
        <v>0</v>
      </c>
      <c r="Q236" s="21" cm="1">
        <f t="array" ref="Q236">Q182*(Houses_with_gas_14/Houses_with_plumbing_14)*(INDEX('DHW Mix'!$AI$7:$AS$30,Homes_calc!$B236-2006,Homes_calc!Q$35+1))</f>
        <v>0</v>
      </c>
      <c r="R236" s="21" cm="1">
        <f t="array" ref="R236">R182*(Houses_with_gas_14/Houses_with_plumbing_14)*(INDEX('DHW Mix'!$AI$7:$AS$30,Homes_calc!$B236-2006,Homes_calc!R$35+1))</f>
        <v>0</v>
      </c>
      <c r="S236" s="21" cm="1">
        <f t="array" ref="S236">S182*(Houses_with_gas_14/Houses_with_plumbing_14)*(INDEX('DHW Mix'!$AI$7:$AS$30,Homes_calc!$B236-2006,Homes_calc!S$35+1))</f>
        <v>0</v>
      </c>
      <c r="T236" s="21" cm="1">
        <f t="array" ref="T236">T182*(Houses_with_gas_14/Houses_with_plumbing_14)*(INDEX('DHW Mix'!$AI$7:$AS$30,Homes_calc!$B236-2006,Homes_calc!T$35+1))</f>
        <v>0</v>
      </c>
      <c r="U236" s="21" cm="1">
        <f t="array" ref="U236">U182*(Houses_with_gas_14/Houses_with_plumbing_14)*(INDEX('DHW Mix'!$AI$7:$AS$30,Homes_calc!$B236-2006,Homes_calc!U$35+1))</f>
        <v>0</v>
      </c>
      <c r="V236" s="21" cm="1">
        <f t="array" ref="V236">V182*(Houses_with_gas_14/Houses_with_plumbing_14)*(INDEX('DHW Mix'!$AI$7:$AS$30,Homes_calc!$B236-2006,Homes_calc!V$35+1))</f>
        <v>0</v>
      </c>
      <c r="W236" s="21" cm="1">
        <f t="array" ref="W236">W182*(Houses_with_gas_14/Houses_with_plumbing_14)*(INDEX('DHW Mix'!$AI$7:$AS$30,Homes_calc!$B236-2006,Homes_calc!W$35+1))</f>
        <v>0</v>
      </c>
      <c r="X236" s="21" cm="1">
        <f t="array" ref="X236">X182*(Houses_with_gas_14/Houses_with_plumbing_14)*(INDEX('DHW Mix'!$AI$7:$AS$30,Homes_calc!$B236-2006,Homes_calc!X$35+1))</f>
        <v>0</v>
      </c>
      <c r="Y236" s="21" cm="1">
        <f t="array" ref="Y236">Y182*(Houses_with_gas_14/Houses_with_plumbing_14)*(INDEX('DHW Mix'!$AI$7:$AS$30,Homes_calc!$B236-2006,Homes_calc!Y$35+1))</f>
        <v>0</v>
      </c>
      <c r="Z236" s="21" cm="1">
        <f t="array" ref="Z236">Z182*(Houses_with_gas_14/Houses_with_plumbing_14)*(INDEX('DHW Mix'!$AI$7:$AS$30,Homes_calc!$B236-2006,Homes_calc!Z$35+1))</f>
        <v>0</v>
      </c>
      <c r="AA236" s="21" cm="1">
        <f t="array" ref="AA236">AA182*(Houses_with_gas_14/Houses_with_plumbing_14)*(INDEX('DHW Mix'!$AI$7:$AS$30,Homes_calc!$B236-2006,Homes_calc!AA$35+1))</f>
        <v>0</v>
      </c>
      <c r="AB236" s="21" cm="1">
        <f t="array" ref="AB236">AB182*(Houses_with_gas_14/Houses_with_plumbing_14)*(INDEX('DHW Mix'!$AI$7:$AS$30,Homes_calc!$B236-2006,Homes_calc!AB$35+1))</f>
        <v>0</v>
      </c>
      <c r="AC236" s="21" cm="1">
        <f t="array" ref="AC236">AC182*(Houses_with_gas_14/Houses_with_plumbing_14)*(INDEX('DHW Mix'!$AI$7:$AS$30,Homes_calc!$B236-2006,Homes_calc!AC$35+1))</f>
        <v>0</v>
      </c>
      <c r="AD236" s="21" cm="1">
        <f t="array" ref="AD236">AD182*(Houses_with_gas_14/Houses_with_plumbing_14)*(INDEX('DHW Mix'!$AI$7:$AS$30,Homes_calc!$B236-2006,Homes_calc!AD$35+1))</f>
        <v>0</v>
      </c>
      <c r="AE236" s="21" cm="1">
        <f t="array" ref="AE236">AE182*(Houses_with_gas_14/Houses_with_plumbing_14)*(INDEX('DHW Mix'!$AI$7:$AS$30,Homes_calc!$B236-2006,Homes_calc!AE$35+1))</f>
        <v>0</v>
      </c>
      <c r="AF236" s="21" cm="1">
        <f t="array" ref="AF236">AF182*(Houses_with_gas_14/Houses_with_plumbing_14)*(INDEX('DHW Mix'!$AI$7:$AS$30,Homes_calc!$B236-2006,Homes_calc!AF$35+1))</f>
        <v>0</v>
      </c>
      <c r="AG236" s="21" cm="1">
        <f t="array" ref="AG236">AG182*(Houses_with_gas_14/Houses_with_plumbing_14)*(INDEX('DHW Mix'!$AI$7:$AS$30,Homes_calc!$B236-2006,Homes_calc!AG$35+1))</f>
        <v>0</v>
      </c>
      <c r="AH236" s="21" cm="1">
        <f t="array" ref="AH236">AH182*(Houses_with_gas_14/Houses_with_plumbing_14)*(INDEX('DHW Mix'!$AI$7:$AS$30,Homes_calc!$B236-2006,Homes_calc!AH$35+1))</f>
        <v>0</v>
      </c>
      <c r="AI236" s="21" cm="1">
        <f t="array" ref="AI236">AI182*(Houses_with_gas_14/Houses_with_plumbing_14)*(INDEX('DHW Mix'!$AI$7:$AS$30,Homes_calc!$B236-2006,Homes_calc!AI$35+1))</f>
        <v>0</v>
      </c>
      <c r="AJ236" s="21" cm="1">
        <f t="array" ref="AJ236">AJ182*(Houses_with_gas_14/Houses_with_plumbing_14)*(INDEX('DHW Mix'!$AI$7:$AS$30,Homes_calc!$B236-2006,Homes_calc!AJ$35+1))</f>
        <v>0</v>
      </c>
      <c r="AK236" s="21" cm="1">
        <f t="array" ref="AK236">AK182*(Houses_with_gas_14/Houses_with_plumbing_14)*(INDEX('DHW Mix'!$AI$7:$AS$30,Homes_calc!$B236-2006,Homes_calc!AK$35+1))</f>
        <v>0</v>
      </c>
      <c r="AL236" s="21" cm="1">
        <f t="array" ref="AL236">AL182*(Houses_with_gas_14/Houses_with_plumbing_14)*(INDEX('DHW Mix'!$AI$7:$AS$30,Homes_calc!$B236-2006,Homes_calc!AL$35+1))</f>
        <v>0</v>
      </c>
      <c r="AM236" s="21" cm="1">
        <f t="array" ref="AM236">AM182*(Houses_with_gas_14/Houses_with_plumbing_14)*(INDEX('DHW Mix'!$AI$7:$AS$30,Homes_calc!$B236-2006,Homes_calc!AM$35+1))</f>
        <v>0</v>
      </c>
      <c r="AN236" s="21" cm="1">
        <f t="array" ref="AN236">AN182*(Houses_with_gas_14/Houses_with_plumbing_14)*(INDEX('DHW Mix'!$AI$7:$AS$30,Homes_calc!$B236-2006,Homes_calc!AN$35+1))</f>
        <v>0</v>
      </c>
      <c r="AO236" s="21" cm="1">
        <f t="array" ref="AO236">AO182*(Houses_with_gas_14/Houses_with_plumbing_14)*(INDEX('DHW Mix'!$AI$7:$AS$30,Homes_calc!$B236-2006,Homes_calc!AO$35+1))</f>
        <v>0</v>
      </c>
      <c r="AP236" s="21" cm="1">
        <f t="array" ref="AP236">AP182*(Houses_with_gas_14/Houses_with_plumbing_14)*(INDEX('DHW Mix'!$AI$7:$AS$30,Homes_calc!$B236-2006,Homes_calc!AP$35+1))</f>
        <v>0</v>
      </c>
      <c r="AQ236" s="21" cm="1">
        <f t="array" ref="AQ236">AQ182*(Houses_with_gas_14/Houses_with_plumbing_14)*(INDEX('DHW Mix'!$AI$7:$AS$30,Homes_calc!$B236-2006,Homes_calc!AQ$35+1))</f>
        <v>0</v>
      </c>
      <c r="AR236" s="21" cm="1">
        <f t="array" ref="AR236">AR182*(Houses_with_gas_14/Houses_with_plumbing_14)*(INDEX('DHW Mix'!$AI$7:$AS$30,Homes_calc!$B236-2006,Homes_calc!AR$35+1))</f>
        <v>0</v>
      </c>
      <c r="AS236" s="21" cm="1">
        <f t="array" ref="AS236">AS182*(Houses_with_gas_14/Houses_with_plumbing_14)*(INDEX('DHW Mix'!$AI$7:$AS$30,Homes_calc!$B236-2006,Homes_calc!AS$35+1))</f>
        <v>0</v>
      </c>
      <c r="AT236" s="21" cm="1">
        <f t="array" ref="AT236">AT182*(Houses_with_gas_14/Houses_with_plumbing_14)*(INDEX('DHW Mix'!$AI$7:$AS$30,Homes_calc!$B236-2006,Homes_calc!AT$35+1))</f>
        <v>0</v>
      </c>
      <c r="AU236" s="21" cm="1">
        <f t="array" ref="AU236">AU182*(Houses_with_gas_14/Houses_with_plumbing_14)*(INDEX('DHW Mix'!$AI$7:$AS$30,Homes_calc!$B236-2006,Homes_calc!AU$35+1))</f>
        <v>0</v>
      </c>
      <c r="AV236" s="21" cm="1">
        <f t="array" ref="AV236">AV182*(Houses_with_gas_14/Houses_with_plumbing_14)*(INDEX('DHW Mix'!$AI$7:$AS$30,Homes_calc!$B236-2006,Homes_calc!AV$35+1))</f>
        <v>0</v>
      </c>
      <c r="AW236" s="21" cm="1">
        <f t="array" ref="AW236">AW182*(Houses_with_gas_14/Houses_with_plumbing_14)*(INDEX('DHW Mix'!$AI$7:$AS$30,Homes_calc!$B236-2006,Homes_calc!AW$35+1))</f>
        <v>0</v>
      </c>
      <c r="AX236" s="21" cm="1">
        <f t="array" ref="AX236">AX182*(Houses_with_gas_14/Houses_with_plumbing_14)*(INDEX('DHW Mix'!$AI$7:$AS$30,Homes_calc!$B236-2006,Homes_calc!AX$35+1))</f>
        <v>0</v>
      </c>
      <c r="AY236" s="21" cm="1">
        <f t="array" ref="AY236">AY182*(Houses_with_gas_14/Houses_with_plumbing_14)*(INDEX('DHW Mix'!$AI$7:$AS$30,Homes_calc!$B236-2006,Homes_calc!AY$35+1))</f>
        <v>0</v>
      </c>
      <c r="AZ236" s="21" cm="1">
        <f t="array" ref="AZ236">AZ182*(Houses_with_gas_14/Houses_with_plumbing_14)*(INDEX('DHW Mix'!$AI$7:$AS$30,Homes_calc!$B236-2006,Homes_calc!AZ$35+1))</f>
        <v>0</v>
      </c>
      <c r="BA236" s="21" cm="1">
        <f t="array" ref="BA236">BA182*(Houses_with_gas_14/Houses_with_plumbing_14)*(INDEX('DHW Mix'!$AI$7:$AS$30,Homes_calc!$B236-2006,Homes_calc!BA$35+1))</f>
        <v>0</v>
      </c>
      <c r="BB236" s="21">
        <f t="shared" si="193"/>
        <v>0</v>
      </c>
    </row>
    <row r="237" spans="1:55">
      <c r="A237" s="456"/>
      <c r="B237" s="228">
        <v>2015</v>
      </c>
      <c r="C237" s="21" cm="1">
        <f t="array" ref="C237">C183*(Houses_with_gas_15/Houses_with_plumbing_15)*(INDEX('DHW Mix'!$AI$7:$AS$30,Homes_calc!$B237-2006,Homes_calc!C$35+1))</f>
        <v>0</v>
      </c>
      <c r="D237" s="21" cm="1">
        <f t="array" ref="D237">D183*(Houses_with_gas_15/Houses_with_plumbing_15)*(INDEX('DHW Mix'!$AI$7:$AS$30,Homes_calc!$B237-2006,Homes_calc!D$35+1))</f>
        <v>0</v>
      </c>
      <c r="E237" s="21" cm="1">
        <f t="array" ref="E237">E183*(Houses_with_gas_15/Houses_with_plumbing_15)*(INDEX('DHW Mix'!$AI$7:$AS$30,Homes_calc!$B237-2006,Homes_calc!E$35+1))</f>
        <v>0</v>
      </c>
      <c r="F237" s="21" cm="1">
        <f t="array" ref="F237">F183*(Houses_with_gas_15/Houses_with_plumbing_15)*(INDEX('DHW Mix'!$AI$7:$AS$30,Homes_calc!$B237-2006,Homes_calc!F$35+1))</f>
        <v>0</v>
      </c>
      <c r="G237" s="21" cm="1">
        <f t="array" ref="G237">G183*(Houses_with_gas_15/Houses_with_plumbing_15)*(INDEX('DHW Mix'!$AI$7:$AS$30,Homes_calc!$B237-2006,Homes_calc!G$35+1))</f>
        <v>0</v>
      </c>
      <c r="H237" s="21" cm="1">
        <f t="array" ref="H237">H183*(Houses_with_gas_15/Houses_with_plumbing_15)*(INDEX('DHW Mix'!$AI$7:$AS$30,Homes_calc!$B237-2006,Homes_calc!H$35+1))</f>
        <v>0</v>
      </c>
      <c r="I237" s="21" cm="1">
        <f t="array" ref="I237">I183*(Houses_with_gas_15/Houses_with_plumbing_15)*(INDEX('DHW Mix'!$AI$7:$AS$30,Homes_calc!$B237-2006,Homes_calc!I$35+1))</f>
        <v>0</v>
      </c>
      <c r="J237" s="21" cm="1">
        <f t="array" ref="J237">J183*(Houses_with_gas_15/Houses_with_plumbing_15)*(INDEX('DHW Mix'!$AI$7:$AS$30,Homes_calc!$B237-2006,Homes_calc!J$35+1))</f>
        <v>0</v>
      </c>
      <c r="K237" s="21" cm="1">
        <f t="array" ref="K237">K183*(Houses_with_gas_15/Houses_with_plumbing_15)*(INDEX('DHW Mix'!$AI$7:$AS$30,Homes_calc!$B237-2006,Homes_calc!K$35+1))</f>
        <v>0</v>
      </c>
      <c r="L237" s="21" cm="1">
        <f t="array" ref="L237">L183*(Houses_with_gas_15/Houses_with_plumbing_15)*(INDEX('DHW Mix'!$AI$7:$AS$30,Homes_calc!$B237-2006,Homes_calc!L$35+1))</f>
        <v>0</v>
      </c>
      <c r="M237" s="21" cm="1">
        <f t="array" ref="M237">M183*(Houses_with_gas_15/Houses_with_plumbing_15)*(INDEX('DHW Mix'!$AI$7:$AS$30,Homes_calc!$B237-2006,Homes_calc!M$35+1))</f>
        <v>0</v>
      </c>
      <c r="N237" s="21" cm="1">
        <f t="array" ref="N237">N183*(Houses_with_gas_15/Houses_with_plumbing_15)*(INDEX('DHW Mix'!$AI$7:$AS$30,Homes_calc!$B237-2006,Homes_calc!N$35+1))</f>
        <v>0</v>
      </c>
      <c r="O237" s="21" cm="1">
        <f t="array" ref="O237">O183*(Houses_with_gas_15/Houses_with_plumbing_15)*(INDEX('DHW Mix'!$AI$7:$AS$30,Homes_calc!$B237-2006,Homes_calc!O$35+1))</f>
        <v>0</v>
      </c>
      <c r="P237" s="21" cm="1">
        <f t="array" ref="P237">P183*(Houses_with_gas_15/Houses_with_plumbing_15)*(INDEX('DHW Mix'!$AI$7:$AS$30,Homes_calc!$B237-2006,Homes_calc!P$35+1))</f>
        <v>0</v>
      </c>
      <c r="Q237" s="21" cm="1">
        <f t="array" ref="Q237">Q183*(Houses_with_gas_15/Houses_with_plumbing_15)*(INDEX('DHW Mix'!$AI$7:$AS$30,Homes_calc!$B237-2006,Homes_calc!Q$35+1))</f>
        <v>0</v>
      </c>
      <c r="R237" s="21" cm="1">
        <f t="array" ref="R237">R183*(Houses_with_gas_15/Houses_with_plumbing_15)*(INDEX('DHW Mix'!$AI$7:$AS$30,Homes_calc!$B237-2006,Homes_calc!R$35+1))</f>
        <v>0</v>
      </c>
      <c r="S237" s="21" cm="1">
        <f t="array" ref="S237">S183*(Houses_with_gas_15/Houses_with_plumbing_15)*(INDEX('DHW Mix'!$AI$7:$AS$30,Homes_calc!$B237-2006,Homes_calc!S$35+1))</f>
        <v>0</v>
      </c>
      <c r="T237" s="21" cm="1">
        <f t="array" ref="T237">T183*(Houses_with_gas_15/Houses_with_plumbing_15)*(INDEX('DHW Mix'!$AI$7:$AS$30,Homes_calc!$B237-2006,Homes_calc!T$35+1))</f>
        <v>0</v>
      </c>
      <c r="U237" s="21" cm="1">
        <f t="array" ref="U237">U183*(Houses_with_gas_15/Houses_with_plumbing_15)*(INDEX('DHW Mix'!$AI$7:$AS$30,Homes_calc!$B237-2006,Homes_calc!U$35+1))</f>
        <v>0</v>
      </c>
      <c r="V237" s="21" cm="1">
        <f t="array" ref="V237">V183*(Houses_with_gas_15/Houses_with_plumbing_15)*(INDEX('DHW Mix'!$AI$7:$AS$30,Homes_calc!$B237-2006,Homes_calc!V$35+1))</f>
        <v>0</v>
      </c>
      <c r="W237" s="21" cm="1">
        <f t="array" ref="W237">W183*(Houses_with_gas_15/Houses_with_plumbing_15)*(INDEX('DHW Mix'!$AI$7:$AS$30,Homes_calc!$B237-2006,Homes_calc!W$35+1))</f>
        <v>0</v>
      </c>
      <c r="X237" s="21" cm="1">
        <f t="array" ref="X237">X183*(Houses_with_gas_15/Houses_with_plumbing_15)*(INDEX('DHW Mix'!$AI$7:$AS$30,Homes_calc!$B237-2006,Homes_calc!X$35+1))</f>
        <v>0</v>
      </c>
      <c r="Y237" s="21" cm="1">
        <f t="array" ref="Y237">Y183*(Houses_with_gas_15/Houses_with_plumbing_15)*(INDEX('DHW Mix'!$AI$7:$AS$30,Homes_calc!$B237-2006,Homes_calc!Y$35+1))</f>
        <v>0</v>
      </c>
      <c r="Z237" s="21" cm="1">
        <f t="array" ref="Z237">Z183*(Houses_with_gas_15/Houses_with_plumbing_15)*(INDEX('DHW Mix'!$AI$7:$AS$30,Homes_calc!$B237-2006,Homes_calc!Z$35+1))</f>
        <v>0</v>
      </c>
      <c r="AA237" s="21" cm="1">
        <f t="array" ref="AA237">AA183*(Houses_with_gas_15/Houses_with_plumbing_15)*(INDEX('DHW Mix'!$AI$7:$AS$30,Homes_calc!$B237-2006,Homes_calc!AA$35+1))</f>
        <v>0</v>
      </c>
      <c r="AB237" s="21" cm="1">
        <f t="array" ref="AB237">AB183*(Houses_with_gas_15/Houses_with_plumbing_15)*(INDEX('DHW Mix'!$AI$7:$AS$30,Homes_calc!$B237-2006,Homes_calc!AB$35+1))</f>
        <v>0</v>
      </c>
      <c r="AC237" s="21" cm="1">
        <f t="array" ref="AC237">AC183*(Houses_with_gas_15/Houses_with_plumbing_15)*(INDEX('DHW Mix'!$AI$7:$AS$30,Homes_calc!$B237-2006,Homes_calc!AC$35+1))</f>
        <v>0</v>
      </c>
      <c r="AD237" s="21" cm="1">
        <f t="array" ref="AD237">AD183*(Houses_with_gas_15/Houses_with_plumbing_15)*(INDEX('DHW Mix'!$AI$7:$AS$30,Homes_calc!$B237-2006,Homes_calc!AD$35+1))</f>
        <v>0</v>
      </c>
      <c r="AE237" s="21" cm="1">
        <f t="array" ref="AE237">AE183*(Houses_with_gas_15/Houses_with_plumbing_15)*(INDEX('DHW Mix'!$AI$7:$AS$30,Homes_calc!$B237-2006,Homes_calc!AE$35+1))</f>
        <v>0</v>
      </c>
      <c r="AF237" s="21" cm="1">
        <f t="array" ref="AF237">AF183*(Houses_with_gas_15/Houses_with_plumbing_15)*(INDEX('DHW Mix'!$AI$7:$AS$30,Homes_calc!$B237-2006,Homes_calc!AF$35+1))</f>
        <v>0</v>
      </c>
      <c r="AG237" s="21" cm="1">
        <f t="array" ref="AG237">AG183*(Houses_with_gas_15/Houses_with_plumbing_15)*(INDEX('DHW Mix'!$AI$7:$AS$30,Homes_calc!$B237-2006,Homes_calc!AG$35+1))</f>
        <v>0</v>
      </c>
      <c r="AH237" s="21" cm="1">
        <f t="array" ref="AH237">AH183*(Houses_with_gas_15/Houses_with_plumbing_15)*(INDEX('DHW Mix'!$AI$7:$AS$30,Homes_calc!$B237-2006,Homes_calc!AH$35+1))</f>
        <v>0</v>
      </c>
      <c r="AI237" s="21" cm="1">
        <f t="array" ref="AI237">AI183*(Houses_with_gas_15/Houses_with_plumbing_15)*(INDEX('DHW Mix'!$AI$7:$AS$30,Homes_calc!$B237-2006,Homes_calc!AI$35+1))</f>
        <v>0</v>
      </c>
      <c r="AJ237" s="21" cm="1">
        <f t="array" ref="AJ237">AJ183*(Houses_with_gas_15/Houses_with_plumbing_15)*(INDEX('DHW Mix'!$AI$7:$AS$30,Homes_calc!$B237-2006,Homes_calc!AJ$35+1))</f>
        <v>0</v>
      </c>
      <c r="AK237" s="21" cm="1">
        <f t="array" ref="AK237">AK183*(Houses_with_gas_15/Houses_with_plumbing_15)*(INDEX('DHW Mix'!$AI$7:$AS$30,Homes_calc!$B237-2006,Homes_calc!AK$35+1))</f>
        <v>0</v>
      </c>
      <c r="AL237" s="21" cm="1">
        <f t="array" ref="AL237">AL183*(Houses_with_gas_15/Houses_with_plumbing_15)*(INDEX('DHW Mix'!$AI$7:$AS$30,Homes_calc!$B237-2006,Homes_calc!AL$35+1))</f>
        <v>0</v>
      </c>
      <c r="AM237" s="21" cm="1">
        <f t="array" ref="AM237">AM183*(Houses_with_gas_15/Houses_with_plumbing_15)*(INDEX('DHW Mix'!$AI$7:$AS$30,Homes_calc!$B237-2006,Homes_calc!AM$35+1))</f>
        <v>0</v>
      </c>
      <c r="AN237" s="21" cm="1">
        <f t="array" ref="AN237">AN183*(Houses_with_gas_15/Houses_with_plumbing_15)*(INDEX('DHW Mix'!$AI$7:$AS$30,Homes_calc!$B237-2006,Homes_calc!AN$35+1))</f>
        <v>0</v>
      </c>
      <c r="AO237" s="21" cm="1">
        <f t="array" ref="AO237">AO183*(Houses_with_gas_15/Houses_with_plumbing_15)*(INDEX('DHW Mix'!$AI$7:$AS$30,Homes_calc!$B237-2006,Homes_calc!AO$35+1))</f>
        <v>0</v>
      </c>
      <c r="AP237" s="21" cm="1">
        <f t="array" ref="AP237">AP183*(Houses_with_gas_15/Houses_with_plumbing_15)*(INDEX('DHW Mix'!$AI$7:$AS$30,Homes_calc!$B237-2006,Homes_calc!AP$35+1))</f>
        <v>0</v>
      </c>
      <c r="AQ237" s="21" cm="1">
        <f t="array" ref="AQ237">AQ183*(Houses_with_gas_15/Houses_with_plumbing_15)*(INDEX('DHW Mix'!$AI$7:$AS$30,Homes_calc!$B237-2006,Homes_calc!AQ$35+1))</f>
        <v>0</v>
      </c>
      <c r="AR237" s="21" cm="1">
        <f t="array" ref="AR237">AR183*(Houses_with_gas_15/Houses_with_plumbing_15)*(INDEX('DHW Mix'!$AI$7:$AS$30,Homes_calc!$B237-2006,Homes_calc!AR$35+1))</f>
        <v>0</v>
      </c>
      <c r="AS237" s="21" cm="1">
        <f t="array" ref="AS237">AS183*(Houses_with_gas_15/Houses_with_plumbing_15)*(INDEX('DHW Mix'!$AI$7:$AS$30,Homes_calc!$B237-2006,Homes_calc!AS$35+1))</f>
        <v>0</v>
      </c>
      <c r="AT237" s="21" cm="1">
        <f t="array" ref="AT237">AT183*(Houses_with_gas_15/Houses_with_plumbing_15)*(INDEX('DHW Mix'!$AI$7:$AS$30,Homes_calc!$B237-2006,Homes_calc!AT$35+1))</f>
        <v>0</v>
      </c>
      <c r="AU237" s="21" cm="1">
        <f t="array" ref="AU237">AU183*(Houses_with_gas_15/Houses_with_plumbing_15)*(INDEX('DHW Mix'!$AI$7:$AS$30,Homes_calc!$B237-2006,Homes_calc!AU$35+1))</f>
        <v>0</v>
      </c>
      <c r="AV237" s="21" cm="1">
        <f t="array" ref="AV237">AV183*(Houses_with_gas_15/Houses_with_plumbing_15)*(INDEX('DHW Mix'!$AI$7:$AS$30,Homes_calc!$B237-2006,Homes_calc!AV$35+1))</f>
        <v>0</v>
      </c>
      <c r="AW237" s="21" cm="1">
        <f t="array" ref="AW237">AW183*(Houses_with_gas_15/Houses_with_plumbing_15)*(INDEX('DHW Mix'!$AI$7:$AS$30,Homes_calc!$B237-2006,Homes_calc!AW$35+1))</f>
        <v>0</v>
      </c>
      <c r="AX237" s="21" cm="1">
        <f t="array" ref="AX237">AX183*(Houses_with_gas_15/Houses_with_plumbing_15)*(INDEX('DHW Mix'!$AI$7:$AS$30,Homes_calc!$B237-2006,Homes_calc!AX$35+1))</f>
        <v>0</v>
      </c>
      <c r="AY237" s="21" cm="1">
        <f t="array" ref="AY237">AY183*(Houses_with_gas_15/Houses_with_plumbing_15)*(INDEX('DHW Mix'!$AI$7:$AS$30,Homes_calc!$B237-2006,Homes_calc!AY$35+1))</f>
        <v>0</v>
      </c>
      <c r="AZ237" s="21" cm="1">
        <f t="array" ref="AZ237">AZ183*(Houses_with_gas_15/Houses_with_plumbing_15)*(INDEX('DHW Mix'!$AI$7:$AS$30,Homes_calc!$B237-2006,Homes_calc!AZ$35+1))</f>
        <v>0</v>
      </c>
      <c r="BA237" s="21" cm="1">
        <f t="array" ref="BA237">BA183*(Houses_with_gas_15/Houses_with_plumbing_15)*(INDEX('DHW Mix'!$AI$7:$AS$30,Homes_calc!$B237-2006,Homes_calc!BA$35+1))</f>
        <v>0</v>
      </c>
      <c r="BB237" s="21">
        <f t="shared" si="193"/>
        <v>0</v>
      </c>
    </row>
    <row r="238" spans="1:55">
      <c r="A238" s="456"/>
      <c r="B238" s="226">
        <v>2016</v>
      </c>
      <c r="C238" s="21" cm="1">
        <f t="array" ref="C238">C184*(Houses_with_gas_16/Houses_with_plumbing_16)*(INDEX('DHW Mix'!$AI$7:$AS$30,Homes_calc!$B238-2006,Homes_calc!C$35+1))</f>
        <v>0</v>
      </c>
      <c r="D238" s="21" cm="1">
        <f t="array" ref="D238">D184*(Houses_with_gas_16/Houses_with_plumbing_16)*(INDEX('DHW Mix'!$AI$7:$AS$30,Homes_calc!$B238-2006,Homes_calc!D$35+1))</f>
        <v>0</v>
      </c>
      <c r="E238" s="21" cm="1">
        <f t="array" ref="E238">E184*(Houses_with_gas_16/Houses_with_plumbing_16)*(INDEX('DHW Mix'!$AI$7:$AS$30,Homes_calc!$B238-2006,Homes_calc!E$35+1))</f>
        <v>0</v>
      </c>
      <c r="F238" s="21" cm="1">
        <f t="array" ref="F238">F184*(Houses_with_gas_16/Houses_with_plumbing_16)*(INDEX('DHW Mix'!$AI$7:$AS$30,Homes_calc!$B238-2006,Homes_calc!F$35+1))</f>
        <v>0</v>
      </c>
      <c r="G238" s="21" cm="1">
        <f t="array" ref="G238">G184*(Houses_with_gas_16/Houses_with_plumbing_16)*(INDEX('DHW Mix'!$AI$7:$AS$30,Homes_calc!$B238-2006,Homes_calc!G$35+1))</f>
        <v>0</v>
      </c>
      <c r="H238" s="21" cm="1">
        <f t="array" ref="H238">H184*(Houses_with_gas_16/Houses_with_plumbing_16)*(INDEX('DHW Mix'!$AI$7:$AS$30,Homes_calc!$B238-2006,Homes_calc!H$35+1))</f>
        <v>0</v>
      </c>
      <c r="I238" s="21" cm="1">
        <f t="array" ref="I238">I184*(Houses_with_gas_16/Houses_with_plumbing_16)*(INDEX('DHW Mix'!$AI$7:$AS$30,Homes_calc!$B238-2006,Homes_calc!I$35+1))</f>
        <v>0</v>
      </c>
      <c r="J238" s="21" cm="1">
        <f t="array" ref="J238">J184*(Houses_with_gas_16/Houses_with_plumbing_16)*(INDEX('DHW Mix'!$AI$7:$AS$30,Homes_calc!$B238-2006,Homes_calc!J$35+1))</f>
        <v>0</v>
      </c>
      <c r="K238" s="21" cm="1">
        <f t="array" ref="K238">K184*(Houses_with_gas_16/Houses_with_plumbing_16)*(INDEX('DHW Mix'!$AI$7:$AS$30,Homes_calc!$B238-2006,Homes_calc!K$35+1))</f>
        <v>0</v>
      </c>
      <c r="L238" s="21" cm="1">
        <f t="array" ref="L238">L184*(Houses_with_gas_16/Houses_with_plumbing_16)*(INDEX('DHW Mix'!$AI$7:$AS$30,Homes_calc!$B238-2006,Homes_calc!L$35+1))</f>
        <v>0</v>
      </c>
      <c r="M238" s="21" cm="1">
        <f t="array" ref="M238">M184*(Houses_with_gas_16/Houses_with_plumbing_16)*(INDEX('DHW Mix'!$AI$7:$AS$30,Homes_calc!$B238-2006,Homes_calc!M$35+1))</f>
        <v>0</v>
      </c>
      <c r="N238" s="21" cm="1">
        <f t="array" ref="N238">N184*(Houses_with_gas_16/Houses_with_plumbing_16)*(INDEX('DHW Mix'!$AI$7:$AS$30,Homes_calc!$B238-2006,Homes_calc!N$35+1))</f>
        <v>0</v>
      </c>
      <c r="O238" s="21" cm="1">
        <f t="array" ref="O238">O184*(Houses_with_gas_16/Houses_with_plumbing_16)*(INDEX('DHW Mix'!$AI$7:$AS$30,Homes_calc!$B238-2006,Homes_calc!O$35+1))</f>
        <v>0</v>
      </c>
      <c r="P238" s="21" cm="1">
        <f t="array" ref="P238">P184*(Houses_with_gas_16/Houses_with_plumbing_16)*(INDEX('DHW Mix'!$AI$7:$AS$30,Homes_calc!$B238-2006,Homes_calc!P$35+1))</f>
        <v>0</v>
      </c>
      <c r="Q238" s="21" cm="1">
        <f t="array" ref="Q238">Q184*(Houses_with_gas_16/Houses_with_plumbing_16)*(INDEX('DHW Mix'!$AI$7:$AS$30,Homes_calc!$B238-2006,Homes_calc!Q$35+1))</f>
        <v>0</v>
      </c>
      <c r="R238" s="21" cm="1">
        <f t="array" ref="R238">R184*(Houses_with_gas_16/Houses_with_plumbing_16)*(INDEX('DHW Mix'!$AI$7:$AS$30,Homes_calc!$B238-2006,Homes_calc!R$35+1))</f>
        <v>0</v>
      </c>
      <c r="S238" s="21" cm="1">
        <f t="array" ref="S238">S184*(Houses_with_gas_16/Houses_with_plumbing_16)*(INDEX('DHW Mix'!$AI$7:$AS$30,Homes_calc!$B238-2006,Homes_calc!S$35+1))</f>
        <v>0</v>
      </c>
      <c r="T238" s="21" cm="1">
        <f t="array" ref="T238">T184*(Houses_with_gas_16/Houses_with_plumbing_16)*(INDEX('DHW Mix'!$AI$7:$AS$30,Homes_calc!$B238-2006,Homes_calc!T$35+1))</f>
        <v>0</v>
      </c>
      <c r="U238" s="21" cm="1">
        <f t="array" ref="U238">U184*(Houses_with_gas_16/Houses_with_plumbing_16)*(INDEX('DHW Mix'!$AI$7:$AS$30,Homes_calc!$B238-2006,Homes_calc!U$35+1))</f>
        <v>0</v>
      </c>
      <c r="V238" s="21" cm="1">
        <f t="array" ref="V238">V184*(Houses_with_gas_16/Houses_with_plumbing_16)*(INDEX('DHW Mix'!$AI$7:$AS$30,Homes_calc!$B238-2006,Homes_calc!V$35+1))</f>
        <v>0</v>
      </c>
      <c r="W238" s="21" cm="1">
        <f t="array" ref="W238">W184*(Houses_with_gas_16/Houses_with_plumbing_16)*(INDEX('DHW Mix'!$AI$7:$AS$30,Homes_calc!$B238-2006,Homes_calc!W$35+1))</f>
        <v>0</v>
      </c>
      <c r="X238" s="21" cm="1">
        <f t="array" ref="X238">X184*(Houses_with_gas_16/Houses_with_plumbing_16)*(INDEX('DHW Mix'!$AI$7:$AS$30,Homes_calc!$B238-2006,Homes_calc!X$35+1))</f>
        <v>0</v>
      </c>
      <c r="Y238" s="21" cm="1">
        <f t="array" ref="Y238">Y184*(Houses_with_gas_16/Houses_with_plumbing_16)*(INDEX('DHW Mix'!$AI$7:$AS$30,Homes_calc!$B238-2006,Homes_calc!Y$35+1))</f>
        <v>0</v>
      </c>
      <c r="Z238" s="21" cm="1">
        <f t="array" ref="Z238">Z184*(Houses_with_gas_16/Houses_with_plumbing_16)*(INDEX('DHW Mix'!$AI$7:$AS$30,Homes_calc!$B238-2006,Homes_calc!Z$35+1))</f>
        <v>0</v>
      </c>
      <c r="AA238" s="21" cm="1">
        <f t="array" ref="AA238">AA184*(Houses_with_gas_16/Houses_with_plumbing_16)*(INDEX('DHW Mix'!$AI$7:$AS$30,Homes_calc!$B238-2006,Homes_calc!AA$35+1))</f>
        <v>0</v>
      </c>
      <c r="AB238" s="21" cm="1">
        <f t="array" ref="AB238">AB184*(Houses_with_gas_16/Houses_with_plumbing_16)*(INDEX('DHW Mix'!$AI$7:$AS$30,Homes_calc!$B238-2006,Homes_calc!AB$35+1))</f>
        <v>0</v>
      </c>
      <c r="AC238" s="21" cm="1">
        <f t="array" ref="AC238">AC184*(Houses_with_gas_16/Houses_with_plumbing_16)*(INDEX('DHW Mix'!$AI$7:$AS$30,Homes_calc!$B238-2006,Homes_calc!AC$35+1))</f>
        <v>0</v>
      </c>
      <c r="AD238" s="21" cm="1">
        <f t="array" ref="AD238">AD184*(Houses_with_gas_16/Houses_with_plumbing_16)*(INDEX('DHW Mix'!$AI$7:$AS$30,Homes_calc!$B238-2006,Homes_calc!AD$35+1))</f>
        <v>0</v>
      </c>
      <c r="AE238" s="21" cm="1">
        <f t="array" ref="AE238">AE184*(Houses_with_gas_16/Houses_with_plumbing_16)*(INDEX('DHW Mix'!$AI$7:$AS$30,Homes_calc!$B238-2006,Homes_calc!AE$35+1))</f>
        <v>0</v>
      </c>
      <c r="AF238" s="21" cm="1">
        <f t="array" ref="AF238">AF184*(Houses_with_gas_16/Houses_with_plumbing_16)*(INDEX('DHW Mix'!$AI$7:$AS$30,Homes_calc!$B238-2006,Homes_calc!AF$35+1))</f>
        <v>0</v>
      </c>
      <c r="AG238" s="21" cm="1">
        <f t="array" ref="AG238">AG184*(Houses_with_gas_16/Houses_with_plumbing_16)*(INDEX('DHW Mix'!$AI$7:$AS$30,Homes_calc!$B238-2006,Homes_calc!AG$35+1))</f>
        <v>0</v>
      </c>
      <c r="AH238" s="21" cm="1">
        <f t="array" ref="AH238">AH184*(Houses_with_gas_16/Houses_with_plumbing_16)*(INDEX('DHW Mix'!$AI$7:$AS$30,Homes_calc!$B238-2006,Homes_calc!AH$35+1))</f>
        <v>0</v>
      </c>
      <c r="AI238" s="21" cm="1">
        <f t="array" ref="AI238">AI184*(Houses_with_gas_16/Houses_with_plumbing_16)*(INDEX('DHW Mix'!$AI$7:$AS$30,Homes_calc!$B238-2006,Homes_calc!AI$35+1))</f>
        <v>0</v>
      </c>
      <c r="AJ238" s="21" cm="1">
        <f t="array" ref="AJ238">AJ184*(Houses_with_gas_16/Houses_with_plumbing_16)*(INDEX('DHW Mix'!$AI$7:$AS$30,Homes_calc!$B238-2006,Homes_calc!AJ$35+1))</f>
        <v>0</v>
      </c>
      <c r="AK238" s="21" cm="1">
        <f t="array" ref="AK238">AK184*(Houses_with_gas_16/Houses_with_plumbing_16)*(INDEX('DHW Mix'!$AI$7:$AS$30,Homes_calc!$B238-2006,Homes_calc!AK$35+1))</f>
        <v>0</v>
      </c>
      <c r="AL238" s="21" cm="1">
        <f t="array" ref="AL238">AL184*(Houses_with_gas_16/Houses_with_plumbing_16)*(INDEX('DHW Mix'!$AI$7:$AS$30,Homes_calc!$B238-2006,Homes_calc!AL$35+1))</f>
        <v>0</v>
      </c>
      <c r="AM238" s="21" cm="1">
        <f t="array" ref="AM238">AM184*(Houses_with_gas_16/Houses_with_plumbing_16)*(INDEX('DHW Mix'!$AI$7:$AS$30,Homes_calc!$B238-2006,Homes_calc!AM$35+1))</f>
        <v>0</v>
      </c>
      <c r="AN238" s="21" cm="1">
        <f t="array" ref="AN238">AN184*(Houses_with_gas_16/Houses_with_plumbing_16)*(INDEX('DHW Mix'!$AI$7:$AS$30,Homes_calc!$B238-2006,Homes_calc!AN$35+1))</f>
        <v>0</v>
      </c>
      <c r="AO238" s="21" cm="1">
        <f t="array" ref="AO238">AO184*(Houses_with_gas_16/Houses_with_plumbing_16)*(INDEX('DHW Mix'!$AI$7:$AS$30,Homes_calc!$B238-2006,Homes_calc!AO$35+1))</f>
        <v>0</v>
      </c>
      <c r="AP238" s="21" cm="1">
        <f t="array" ref="AP238">AP184*(Houses_with_gas_16/Houses_with_plumbing_16)*(INDEX('DHW Mix'!$AI$7:$AS$30,Homes_calc!$B238-2006,Homes_calc!AP$35+1))</f>
        <v>0</v>
      </c>
      <c r="AQ238" s="21" cm="1">
        <f t="array" ref="AQ238">AQ184*(Houses_with_gas_16/Houses_with_plumbing_16)*(INDEX('DHW Mix'!$AI$7:$AS$30,Homes_calc!$B238-2006,Homes_calc!AQ$35+1))</f>
        <v>0</v>
      </c>
      <c r="AR238" s="21" cm="1">
        <f t="array" ref="AR238">AR184*(Houses_with_gas_16/Houses_with_plumbing_16)*(INDEX('DHW Mix'!$AI$7:$AS$30,Homes_calc!$B238-2006,Homes_calc!AR$35+1))</f>
        <v>0</v>
      </c>
      <c r="AS238" s="21" cm="1">
        <f t="array" ref="AS238">AS184*(Houses_with_gas_16/Houses_with_plumbing_16)*(INDEX('DHW Mix'!$AI$7:$AS$30,Homes_calc!$B238-2006,Homes_calc!AS$35+1))</f>
        <v>0</v>
      </c>
      <c r="AT238" s="21" cm="1">
        <f t="array" ref="AT238">AT184*(Houses_with_gas_16/Houses_with_plumbing_16)*(INDEX('DHW Mix'!$AI$7:$AS$30,Homes_calc!$B238-2006,Homes_calc!AT$35+1))</f>
        <v>0</v>
      </c>
      <c r="AU238" s="21" cm="1">
        <f t="array" ref="AU238">AU184*(Houses_with_gas_16/Houses_with_plumbing_16)*(INDEX('DHW Mix'!$AI$7:$AS$30,Homes_calc!$B238-2006,Homes_calc!AU$35+1))</f>
        <v>0</v>
      </c>
      <c r="AV238" s="21" cm="1">
        <f t="array" ref="AV238">AV184*(Houses_with_gas_16/Houses_with_plumbing_16)*(INDEX('DHW Mix'!$AI$7:$AS$30,Homes_calc!$B238-2006,Homes_calc!AV$35+1))</f>
        <v>0</v>
      </c>
      <c r="AW238" s="21" cm="1">
        <f t="array" ref="AW238">AW184*(Houses_with_gas_16/Houses_with_plumbing_16)*(INDEX('DHW Mix'!$AI$7:$AS$30,Homes_calc!$B238-2006,Homes_calc!AW$35+1))</f>
        <v>0</v>
      </c>
      <c r="AX238" s="21" cm="1">
        <f t="array" ref="AX238">AX184*(Houses_with_gas_16/Houses_with_plumbing_16)*(INDEX('DHW Mix'!$AI$7:$AS$30,Homes_calc!$B238-2006,Homes_calc!AX$35+1))</f>
        <v>0</v>
      </c>
      <c r="AY238" s="21" cm="1">
        <f t="array" ref="AY238">AY184*(Houses_with_gas_16/Houses_with_plumbing_16)*(INDEX('DHW Mix'!$AI$7:$AS$30,Homes_calc!$B238-2006,Homes_calc!AY$35+1))</f>
        <v>0</v>
      </c>
      <c r="AZ238" s="21" cm="1">
        <f t="array" ref="AZ238">AZ184*(Houses_with_gas_16/Houses_with_plumbing_16)*(INDEX('DHW Mix'!$AI$7:$AS$30,Homes_calc!$B238-2006,Homes_calc!AZ$35+1))</f>
        <v>0</v>
      </c>
      <c r="BA238" s="21" cm="1">
        <f t="array" ref="BA238">BA184*(Houses_with_gas_16/Houses_with_plumbing_16)*(INDEX('DHW Mix'!$AI$7:$AS$30,Homes_calc!$B238-2006,Homes_calc!BA$35+1))</f>
        <v>0</v>
      </c>
      <c r="BB238" s="21">
        <f t="shared" si="193"/>
        <v>0</v>
      </c>
    </row>
    <row r="239" spans="1:55">
      <c r="A239" s="456"/>
      <c r="B239" s="228">
        <v>2017</v>
      </c>
      <c r="C239" s="21" cm="1">
        <f t="array" ref="C239">C185*(Houses_with_gas_17/Houses_with_plumbing_17)*(INDEX('DHW Mix'!$AI$7:$AS$30,Homes_calc!$B239-2006,Homes_calc!C$35+1))</f>
        <v>0</v>
      </c>
      <c r="D239" s="21" cm="1">
        <f t="array" ref="D239">D185*(Houses_with_gas_17/Houses_with_plumbing_17)*(INDEX('DHW Mix'!$AI$7:$AS$30,Homes_calc!$B239-2006,Homes_calc!D$35+1))</f>
        <v>0</v>
      </c>
      <c r="E239" s="21" cm="1">
        <f t="array" ref="E239">E185*(Houses_with_gas_17/Houses_with_plumbing_17)*(INDEX('DHW Mix'!$AI$7:$AS$30,Homes_calc!$B239-2006,Homes_calc!E$35+1))</f>
        <v>0</v>
      </c>
      <c r="F239" s="21" cm="1">
        <f t="array" ref="F239">F185*(Houses_with_gas_17/Houses_with_plumbing_17)*(INDEX('DHW Mix'!$AI$7:$AS$30,Homes_calc!$B239-2006,Homes_calc!F$35+1))</f>
        <v>0</v>
      </c>
      <c r="G239" s="21" cm="1">
        <f t="array" ref="G239">G185*(Houses_with_gas_17/Houses_with_plumbing_17)*(INDEX('DHW Mix'!$AI$7:$AS$30,Homes_calc!$B239-2006,Homes_calc!G$35+1))</f>
        <v>0</v>
      </c>
      <c r="H239" s="21" cm="1">
        <f t="array" ref="H239">H185*(Houses_with_gas_17/Houses_with_plumbing_17)*(INDEX('DHW Mix'!$AI$7:$AS$30,Homes_calc!$B239-2006,Homes_calc!H$35+1))</f>
        <v>0</v>
      </c>
      <c r="I239" s="21" cm="1">
        <f t="array" ref="I239">I185*(Houses_with_gas_17/Houses_with_plumbing_17)*(INDEX('DHW Mix'!$AI$7:$AS$30,Homes_calc!$B239-2006,Homes_calc!I$35+1))</f>
        <v>0</v>
      </c>
      <c r="J239" s="21" cm="1">
        <f t="array" ref="J239">J185*(Houses_with_gas_17/Houses_with_plumbing_17)*(INDEX('DHW Mix'!$AI$7:$AS$30,Homes_calc!$B239-2006,Homes_calc!J$35+1))</f>
        <v>0</v>
      </c>
      <c r="K239" s="21" cm="1">
        <f t="array" ref="K239">K185*(Houses_with_gas_17/Houses_with_plumbing_17)*(INDEX('DHW Mix'!$AI$7:$AS$30,Homes_calc!$B239-2006,Homes_calc!K$35+1))</f>
        <v>0</v>
      </c>
      <c r="L239" s="21" cm="1">
        <f t="array" ref="L239">L185*(Houses_with_gas_17/Houses_with_plumbing_17)*(INDEX('DHW Mix'!$AI$7:$AS$30,Homes_calc!$B239-2006,Homes_calc!L$35+1))</f>
        <v>0</v>
      </c>
      <c r="M239" s="21" cm="1">
        <f t="array" ref="M239">M185*(Houses_with_gas_17/Houses_with_plumbing_17)*(INDEX('DHW Mix'!$AI$7:$AS$30,Homes_calc!$B239-2006,Homes_calc!M$35+1))</f>
        <v>0</v>
      </c>
      <c r="N239" s="21" cm="1">
        <f t="array" ref="N239">N185*(Houses_with_gas_17/Houses_with_plumbing_17)*(INDEX('DHW Mix'!$AI$7:$AS$30,Homes_calc!$B239-2006,Homes_calc!N$35+1))</f>
        <v>0</v>
      </c>
      <c r="O239" s="21" cm="1">
        <f t="array" ref="O239">O185*(Houses_with_gas_17/Houses_with_plumbing_17)*(INDEX('DHW Mix'!$AI$7:$AS$30,Homes_calc!$B239-2006,Homes_calc!O$35+1))</f>
        <v>0</v>
      </c>
      <c r="P239" s="21" cm="1">
        <f t="array" ref="P239">P185*(Houses_with_gas_17/Houses_with_plumbing_17)*(INDEX('DHW Mix'!$AI$7:$AS$30,Homes_calc!$B239-2006,Homes_calc!P$35+1))</f>
        <v>0</v>
      </c>
      <c r="Q239" s="21" cm="1">
        <f t="array" ref="Q239">Q185*(Houses_with_gas_17/Houses_with_plumbing_17)*(INDEX('DHW Mix'!$AI$7:$AS$30,Homes_calc!$B239-2006,Homes_calc!Q$35+1))</f>
        <v>0</v>
      </c>
      <c r="R239" s="21" cm="1">
        <f t="array" ref="R239">R185*(Houses_with_gas_17/Houses_with_plumbing_17)*(INDEX('DHW Mix'!$AI$7:$AS$30,Homes_calc!$B239-2006,Homes_calc!R$35+1))</f>
        <v>0</v>
      </c>
      <c r="S239" s="21" cm="1">
        <f t="array" ref="S239">S185*(Houses_with_gas_17/Houses_with_plumbing_17)*(INDEX('DHW Mix'!$AI$7:$AS$30,Homes_calc!$B239-2006,Homes_calc!S$35+1))</f>
        <v>0</v>
      </c>
      <c r="T239" s="21" cm="1">
        <f t="array" ref="T239">T185*(Houses_with_gas_17/Houses_with_plumbing_17)*(INDEX('DHW Mix'!$AI$7:$AS$30,Homes_calc!$B239-2006,Homes_calc!T$35+1))</f>
        <v>0</v>
      </c>
      <c r="U239" s="21" cm="1">
        <f t="array" ref="U239">U185*(Houses_with_gas_17/Houses_with_plumbing_17)*(INDEX('DHW Mix'!$AI$7:$AS$30,Homes_calc!$B239-2006,Homes_calc!U$35+1))</f>
        <v>0</v>
      </c>
      <c r="V239" s="21" cm="1">
        <f t="array" ref="V239">V185*(Houses_with_gas_17/Houses_with_plumbing_17)*(INDEX('DHW Mix'!$AI$7:$AS$30,Homes_calc!$B239-2006,Homes_calc!V$35+1))</f>
        <v>0</v>
      </c>
      <c r="W239" s="21" cm="1">
        <f t="array" ref="W239">W185*(Houses_with_gas_17/Houses_with_plumbing_17)*(INDEX('DHW Mix'!$AI$7:$AS$30,Homes_calc!$B239-2006,Homes_calc!W$35+1))</f>
        <v>0</v>
      </c>
      <c r="X239" s="21" cm="1">
        <f t="array" ref="X239">X185*(Houses_with_gas_17/Houses_with_plumbing_17)*(INDEX('DHW Mix'!$AI$7:$AS$30,Homes_calc!$B239-2006,Homes_calc!X$35+1))</f>
        <v>0</v>
      </c>
      <c r="Y239" s="21" cm="1">
        <f t="array" ref="Y239">Y185*(Houses_with_gas_17/Houses_with_plumbing_17)*(INDEX('DHW Mix'!$AI$7:$AS$30,Homes_calc!$B239-2006,Homes_calc!Y$35+1))</f>
        <v>0</v>
      </c>
      <c r="Z239" s="21" cm="1">
        <f t="array" ref="Z239">Z185*(Houses_with_gas_17/Houses_with_plumbing_17)*(INDEX('DHW Mix'!$AI$7:$AS$30,Homes_calc!$B239-2006,Homes_calc!Z$35+1))</f>
        <v>0</v>
      </c>
      <c r="AA239" s="21" cm="1">
        <f t="array" ref="AA239">AA185*(Houses_with_gas_17/Houses_with_plumbing_17)*(INDEX('DHW Mix'!$AI$7:$AS$30,Homes_calc!$B239-2006,Homes_calc!AA$35+1))</f>
        <v>0</v>
      </c>
      <c r="AB239" s="21" cm="1">
        <f t="array" ref="AB239">AB185*(Houses_with_gas_17/Houses_with_plumbing_17)*(INDEX('DHW Mix'!$AI$7:$AS$30,Homes_calc!$B239-2006,Homes_calc!AB$35+1))</f>
        <v>0</v>
      </c>
      <c r="AC239" s="21" cm="1">
        <f t="array" ref="AC239">AC185*(Houses_with_gas_17/Houses_with_plumbing_17)*(INDEX('DHW Mix'!$AI$7:$AS$30,Homes_calc!$B239-2006,Homes_calc!AC$35+1))</f>
        <v>0</v>
      </c>
      <c r="AD239" s="21" cm="1">
        <f t="array" ref="AD239">AD185*(Houses_with_gas_17/Houses_with_plumbing_17)*(INDEX('DHW Mix'!$AI$7:$AS$30,Homes_calc!$B239-2006,Homes_calc!AD$35+1))</f>
        <v>0</v>
      </c>
      <c r="AE239" s="21" cm="1">
        <f t="array" ref="AE239">AE185*(Houses_with_gas_17/Houses_with_plumbing_17)*(INDEX('DHW Mix'!$AI$7:$AS$30,Homes_calc!$B239-2006,Homes_calc!AE$35+1))</f>
        <v>0</v>
      </c>
      <c r="AF239" s="21" cm="1">
        <f t="array" ref="AF239">AF185*(Houses_with_gas_17/Houses_with_plumbing_17)*(INDEX('DHW Mix'!$AI$7:$AS$30,Homes_calc!$B239-2006,Homes_calc!AF$35+1))</f>
        <v>0</v>
      </c>
      <c r="AG239" s="21" cm="1">
        <f t="array" ref="AG239">AG185*(Houses_with_gas_17/Houses_with_plumbing_17)*(INDEX('DHW Mix'!$AI$7:$AS$30,Homes_calc!$B239-2006,Homes_calc!AG$35+1))</f>
        <v>0</v>
      </c>
      <c r="AH239" s="21" cm="1">
        <f t="array" ref="AH239">AH185*(Houses_with_gas_17/Houses_with_plumbing_17)*(INDEX('DHW Mix'!$AI$7:$AS$30,Homes_calc!$B239-2006,Homes_calc!AH$35+1))</f>
        <v>0</v>
      </c>
      <c r="AI239" s="21" cm="1">
        <f t="array" ref="AI239">AI185*(Houses_with_gas_17/Houses_with_plumbing_17)*(INDEX('DHW Mix'!$AI$7:$AS$30,Homes_calc!$B239-2006,Homes_calc!AI$35+1))</f>
        <v>0</v>
      </c>
      <c r="AJ239" s="21" cm="1">
        <f t="array" ref="AJ239">AJ185*(Houses_with_gas_17/Houses_with_plumbing_17)*(INDEX('DHW Mix'!$AI$7:$AS$30,Homes_calc!$B239-2006,Homes_calc!AJ$35+1))</f>
        <v>0</v>
      </c>
      <c r="AK239" s="21" cm="1">
        <f t="array" ref="AK239">AK185*(Houses_with_gas_17/Houses_with_plumbing_17)*(INDEX('DHW Mix'!$AI$7:$AS$30,Homes_calc!$B239-2006,Homes_calc!AK$35+1))</f>
        <v>0</v>
      </c>
      <c r="AL239" s="21" cm="1">
        <f t="array" ref="AL239">AL185*(Houses_with_gas_17/Houses_with_plumbing_17)*(INDEX('DHW Mix'!$AI$7:$AS$30,Homes_calc!$B239-2006,Homes_calc!AL$35+1))</f>
        <v>0</v>
      </c>
      <c r="AM239" s="21" cm="1">
        <f t="array" ref="AM239">AM185*(Houses_with_gas_17/Houses_with_plumbing_17)*(INDEX('DHW Mix'!$AI$7:$AS$30,Homes_calc!$B239-2006,Homes_calc!AM$35+1))</f>
        <v>0</v>
      </c>
      <c r="AN239" s="21" cm="1">
        <f t="array" ref="AN239">AN185*(Houses_with_gas_17/Houses_with_plumbing_17)*(INDEX('DHW Mix'!$AI$7:$AS$30,Homes_calc!$B239-2006,Homes_calc!AN$35+1))</f>
        <v>0</v>
      </c>
      <c r="AO239" s="21" cm="1">
        <f t="array" ref="AO239">AO185*(Houses_with_gas_17/Houses_with_plumbing_17)*(INDEX('DHW Mix'!$AI$7:$AS$30,Homes_calc!$B239-2006,Homes_calc!AO$35+1))</f>
        <v>0</v>
      </c>
      <c r="AP239" s="21" cm="1">
        <f t="array" ref="AP239">AP185*(Houses_with_gas_17/Houses_with_plumbing_17)*(INDEX('DHW Mix'!$AI$7:$AS$30,Homes_calc!$B239-2006,Homes_calc!AP$35+1))</f>
        <v>0</v>
      </c>
      <c r="AQ239" s="21" cm="1">
        <f t="array" ref="AQ239">AQ185*(Houses_with_gas_17/Houses_with_plumbing_17)*(INDEX('DHW Mix'!$AI$7:$AS$30,Homes_calc!$B239-2006,Homes_calc!AQ$35+1))</f>
        <v>0</v>
      </c>
      <c r="AR239" s="21" cm="1">
        <f t="array" ref="AR239">AR185*(Houses_with_gas_17/Houses_with_plumbing_17)*(INDEX('DHW Mix'!$AI$7:$AS$30,Homes_calc!$B239-2006,Homes_calc!AR$35+1))</f>
        <v>0</v>
      </c>
      <c r="AS239" s="21" cm="1">
        <f t="array" ref="AS239">AS185*(Houses_with_gas_17/Houses_with_plumbing_17)*(INDEX('DHW Mix'!$AI$7:$AS$30,Homes_calc!$B239-2006,Homes_calc!AS$35+1))</f>
        <v>0</v>
      </c>
      <c r="AT239" s="21" cm="1">
        <f t="array" ref="AT239">AT185*(Houses_with_gas_17/Houses_with_plumbing_17)*(INDEX('DHW Mix'!$AI$7:$AS$30,Homes_calc!$B239-2006,Homes_calc!AT$35+1))</f>
        <v>0</v>
      </c>
      <c r="AU239" s="21" cm="1">
        <f t="array" ref="AU239">AU185*(Houses_with_gas_17/Houses_with_plumbing_17)*(INDEX('DHW Mix'!$AI$7:$AS$30,Homes_calc!$B239-2006,Homes_calc!AU$35+1))</f>
        <v>0</v>
      </c>
      <c r="AV239" s="21" cm="1">
        <f t="array" ref="AV239">AV185*(Houses_with_gas_17/Houses_with_plumbing_17)*(INDEX('DHW Mix'!$AI$7:$AS$30,Homes_calc!$B239-2006,Homes_calc!AV$35+1))</f>
        <v>0</v>
      </c>
      <c r="AW239" s="21" cm="1">
        <f t="array" ref="AW239">AW185*(Houses_with_gas_17/Houses_with_plumbing_17)*(INDEX('DHW Mix'!$AI$7:$AS$30,Homes_calc!$B239-2006,Homes_calc!AW$35+1))</f>
        <v>0</v>
      </c>
      <c r="AX239" s="21" cm="1">
        <f t="array" ref="AX239">AX185*(Houses_with_gas_17/Houses_with_plumbing_17)*(INDEX('DHW Mix'!$AI$7:$AS$30,Homes_calc!$B239-2006,Homes_calc!AX$35+1))</f>
        <v>0</v>
      </c>
      <c r="AY239" s="21" cm="1">
        <f t="array" ref="AY239">AY185*(Houses_with_gas_17/Houses_with_plumbing_17)*(INDEX('DHW Mix'!$AI$7:$AS$30,Homes_calc!$B239-2006,Homes_calc!AY$35+1))</f>
        <v>0</v>
      </c>
      <c r="AZ239" s="21" cm="1">
        <f t="array" ref="AZ239">AZ185*(Houses_with_gas_17/Houses_with_plumbing_17)*(INDEX('DHW Mix'!$AI$7:$AS$30,Homes_calc!$B239-2006,Homes_calc!AZ$35+1))</f>
        <v>0</v>
      </c>
      <c r="BA239" s="21" cm="1">
        <f t="array" ref="BA239">BA185*(Houses_with_gas_17/Houses_with_plumbing_17)*(INDEX('DHW Mix'!$AI$7:$AS$30,Homes_calc!$B239-2006,Homes_calc!BA$35+1))</f>
        <v>0</v>
      </c>
      <c r="BB239" s="21">
        <f t="shared" si="193"/>
        <v>0</v>
      </c>
    </row>
    <row r="240" spans="1:55">
      <c r="A240" s="456"/>
      <c r="B240" s="226">
        <v>2018</v>
      </c>
      <c r="C240" s="21" cm="1">
        <f t="array" ref="C240">C186*(Houses_with_gas_18/Houses_with_plumbing_18)*(INDEX('DHW Mix'!$AI$7:$AS$30,Homes_calc!$B240-2006,Homes_calc!C$35+1))</f>
        <v>0</v>
      </c>
      <c r="D240" s="21" cm="1">
        <f t="array" ref="D240">D186*(Houses_with_gas_18/Houses_with_plumbing_18)*(INDEX('DHW Mix'!$AI$7:$AS$30,Homes_calc!$B240-2006,Homes_calc!D$35+1))</f>
        <v>0</v>
      </c>
      <c r="E240" s="21" cm="1">
        <f t="array" ref="E240">E186*(Houses_with_gas_18/Houses_with_plumbing_18)*(INDEX('DHW Mix'!$AI$7:$AS$30,Homes_calc!$B240-2006,Homes_calc!E$35+1))</f>
        <v>0</v>
      </c>
      <c r="F240" s="21" cm="1">
        <f t="array" ref="F240">F186*(Houses_with_gas_18/Houses_with_plumbing_18)*(INDEX('DHW Mix'!$AI$7:$AS$30,Homes_calc!$B240-2006,Homes_calc!F$35+1))</f>
        <v>0</v>
      </c>
      <c r="G240" s="21" cm="1">
        <f t="array" ref="G240">G186*(Houses_with_gas_18/Houses_with_plumbing_18)*(INDEX('DHW Mix'!$AI$7:$AS$30,Homes_calc!$B240-2006,Homes_calc!G$35+1))</f>
        <v>0</v>
      </c>
      <c r="H240" s="21" cm="1">
        <f t="array" ref="H240">H186*(Houses_with_gas_18/Houses_with_plumbing_18)*(INDEX('DHW Mix'!$AI$7:$AS$30,Homes_calc!$B240-2006,Homes_calc!H$35+1))</f>
        <v>0</v>
      </c>
      <c r="I240" s="21" cm="1">
        <f t="array" ref="I240">I186*(Houses_with_gas_18/Houses_with_plumbing_18)*(INDEX('DHW Mix'!$AI$7:$AS$30,Homes_calc!$B240-2006,Homes_calc!I$35+1))</f>
        <v>0</v>
      </c>
      <c r="J240" s="21" cm="1">
        <f t="array" ref="J240">J186*(Houses_with_gas_18/Houses_with_plumbing_18)*(INDEX('DHW Mix'!$AI$7:$AS$30,Homes_calc!$B240-2006,Homes_calc!J$35+1))</f>
        <v>0</v>
      </c>
      <c r="K240" s="21" cm="1">
        <f t="array" ref="K240">K186*(Houses_with_gas_18/Houses_with_plumbing_18)*(INDEX('DHW Mix'!$AI$7:$AS$30,Homes_calc!$B240-2006,Homes_calc!K$35+1))</f>
        <v>0</v>
      </c>
      <c r="L240" s="21" cm="1">
        <f t="array" ref="L240">L186*(Houses_with_gas_18/Houses_with_plumbing_18)*(INDEX('DHW Mix'!$AI$7:$AS$30,Homes_calc!$B240-2006,Homes_calc!L$35+1))</f>
        <v>0</v>
      </c>
      <c r="M240" s="21" cm="1">
        <f t="array" ref="M240">M186*(Houses_with_gas_18/Houses_with_plumbing_18)*(INDEX('DHW Mix'!$AI$7:$AS$30,Homes_calc!$B240-2006,Homes_calc!M$35+1))</f>
        <v>0</v>
      </c>
      <c r="N240" s="21" cm="1">
        <f t="array" ref="N240">N186*(Houses_with_gas_18/Houses_with_plumbing_18)*(INDEX('DHW Mix'!$AI$7:$AS$30,Homes_calc!$B240-2006,Homes_calc!N$35+1))</f>
        <v>0</v>
      </c>
      <c r="O240" s="21" cm="1">
        <f t="array" ref="O240">O186*(Houses_with_gas_18/Houses_with_plumbing_18)*(INDEX('DHW Mix'!$AI$7:$AS$30,Homes_calc!$B240-2006,Homes_calc!O$35+1))</f>
        <v>0</v>
      </c>
      <c r="P240" s="21" cm="1">
        <f t="array" ref="P240">P186*(Houses_with_gas_18/Houses_with_plumbing_18)*(INDEX('DHW Mix'!$AI$7:$AS$30,Homes_calc!$B240-2006,Homes_calc!P$35+1))</f>
        <v>0</v>
      </c>
      <c r="Q240" s="21" cm="1">
        <f t="array" ref="Q240">Q186*(Houses_with_gas_18/Houses_with_plumbing_18)*(INDEX('DHW Mix'!$AI$7:$AS$30,Homes_calc!$B240-2006,Homes_calc!Q$35+1))</f>
        <v>0</v>
      </c>
      <c r="R240" s="21" cm="1">
        <f t="array" ref="R240">R186*(Houses_with_gas_18/Houses_with_plumbing_18)*(INDEX('DHW Mix'!$AI$7:$AS$30,Homes_calc!$B240-2006,Homes_calc!R$35+1))</f>
        <v>0</v>
      </c>
      <c r="S240" s="21" cm="1">
        <f t="array" ref="S240">S186*(Houses_with_gas_18/Houses_with_plumbing_18)*(INDEX('DHW Mix'!$AI$7:$AS$30,Homes_calc!$B240-2006,Homes_calc!S$35+1))</f>
        <v>0</v>
      </c>
      <c r="T240" s="21" cm="1">
        <f t="array" ref="T240">T186*(Houses_with_gas_18/Houses_with_plumbing_18)*(INDEX('DHW Mix'!$AI$7:$AS$30,Homes_calc!$B240-2006,Homes_calc!T$35+1))</f>
        <v>0</v>
      </c>
      <c r="U240" s="21" cm="1">
        <f t="array" ref="U240">U186*(Houses_with_gas_18/Houses_with_plumbing_18)*(INDEX('DHW Mix'!$AI$7:$AS$30,Homes_calc!$B240-2006,Homes_calc!U$35+1))</f>
        <v>0</v>
      </c>
      <c r="V240" s="21" cm="1">
        <f t="array" ref="V240">V186*(Houses_with_gas_18/Houses_with_plumbing_18)*(INDEX('DHW Mix'!$AI$7:$AS$30,Homes_calc!$B240-2006,Homes_calc!V$35+1))</f>
        <v>0</v>
      </c>
      <c r="W240" s="21" cm="1">
        <f t="array" ref="W240">W186*(Houses_with_gas_18/Houses_with_plumbing_18)*(INDEX('DHW Mix'!$AI$7:$AS$30,Homes_calc!$B240-2006,Homes_calc!W$35+1))</f>
        <v>0</v>
      </c>
      <c r="X240" s="21" cm="1">
        <f t="array" ref="X240">X186*(Houses_with_gas_18/Houses_with_plumbing_18)*(INDEX('DHW Mix'!$AI$7:$AS$30,Homes_calc!$B240-2006,Homes_calc!X$35+1))</f>
        <v>0</v>
      </c>
      <c r="Y240" s="21" cm="1">
        <f t="array" ref="Y240">Y186*(Houses_with_gas_18/Houses_with_plumbing_18)*(INDEX('DHW Mix'!$AI$7:$AS$30,Homes_calc!$B240-2006,Homes_calc!Y$35+1))</f>
        <v>0</v>
      </c>
      <c r="Z240" s="21" cm="1">
        <f t="array" ref="Z240">Z186*(Houses_with_gas_18/Houses_with_plumbing_18)*(INDEX('DHW Mix'!$AI$7:$AS$30,Homes_calc!$B240-2006,Homes_calc!Z$35+1))</f>
        <v>0</v>
      </c>
      <c r="AA240" s="21" cm="1">
        <f t="array" ref="AA240">AA186*(Houses_with_gas_18/Houses_with_plumbing_18)*(INDEX('DHW Mix'!$AI$7:$AS$30,Homes_calc!$B240-2006,Homes_calc!AA$35+1))</f>
        <v>0</v>
      </c>
      <c r="AB240" s="21" cm="1">
        <f t="array" ref="AB240">AB186*(Houses_with_gas_18/Houses_with_plumbing_18)*(INDEX('DHW Mix'!$AI$7:$AS$30,Homes_calc!$B240-2006,Homes_calc!AB$35+1))</f>
        <v>0</v>
      </c>
      <c r="AC240" s="21" cm="1">
        <f t="array" ref="AC240">AC186*(Houses_with_gas_18/Houses_with_plumbing_18)*(INDEX('DHW Mix'!$AI$7:$AS$30,Homes_calc!$B240-2006,Homes_calc!AC$35+1))</f>
        <v>0</v>
      </c>
      <c r="AD240" s="21" cm="1">
        <f t="array" ref="AD240">AD186*(Houses_with_gas_18/Houses_with_plumbing_18)*(INDEX('DHW Mix'!$AI$7:$AS$30,Homes_calc!$B240-2006,Homes_calc!AD$35+1))</f>
        <v>0</v>
      </c>
      <c r="AE240" s="21" cm="1">
        <f t="array" ref="AE240">AE186*(Houses_with_gas_18/Houses_with_plumbing_18)*(INDEX('DHW Mix'!$AI$7:$AS$30,Homes_calc!$B240-2006,Homes_calc!AE$35+1))</f>
        <v>0</v>
      </c>
      <c r="AF240" s="21" cm="1">
        <f t="array" ref="AF240">AF186*(Houses_with_gas_18/Houses_with_plumbing_18)*(INDEX('DHW Mix'!$AI$7:$AS$30,Homes_calc!$B240-2006,Homes_calc!AF$35+1))</f>
        <v>0</v>
      </c>
      <c r="AG240" s="21" cm="1">
        <f t="array" ref="AG240">AG186*(Houses_with_gas_18/Houses_with_plumbing_18)*(INDEX('DHW Mix'!$AI$7:$AS$30,Homes_calc!$B240-2006,Homes_calc!AG$35+1))</f>
        <v>0</v>
      </c>
      <c r="AH240" s="21" cm="1">
        <f t="array" ref="AH240">AH186*(Houses_with_gas_18/Houses_with_plumbing_18)*(INDEX('DHW Mix'!$AI$7:$AS$30,Homes_calc!$B240-2006,Homes_calc!AH$35+1))</f>
        <v>0</v>
      </c>
      <c r="AI240" s="21" cm="1">
        <f t="array" ref="AI240">AI186*(Houses_with_gas_18/Houses_with_plumbing_18)*(INDEX('DHW Mix'!$AI$7:$AS$30,Homes_calc!$B240-2006,Homes_calc!AI$35+1))</f>
        <v>0</v>
      </c>
      <c r="AJ240" s="21" cm="1">
        <f t="array" ref="AJ240">AJ186*(Houses_with_gas_18/Houses_with_plumbing_18)*(INDEX('DHW Mix'!$AI$7:$AS$30,Homes_calc!$B240-2006,Homes_calc!AJ$35+1))</f>
        <v>0</v>
      </c>
      <c r="AK240" s="21" cm="1">
        <f t="array" ref="AK240">AK186*(Houses_with_gas_18/Houses_with_plumbing_18)*(INDEX('DHW Mix'!$AI$7:$AS$30,Homes_calc!$B240-2006,Homes_calc!AK$35+1))</f>
        <v>0</v>
      </c>
      <c r="AL240" s="21" cm="1">
        <f t="array" ref="AL240">AL186*(Houses_with_gas_18/Houses_with_plumbing_18)*(INDEX('DHW Mix'!$AI$7:$AS$30,Homes_calc!$B240-2006,Homes_calc!AL$35+1))</f>
        <v>0</v>
      </c>
      <c r="AM240" s="21" cm="1">
        <f t="array" ref="AM240">AM186*(Houses_with_gas_18/Houses_with_plumbing_18)*(INDEX('DHW Mix'!$AI$7:$AS$30,Homes_calc!$B240-2006,Homes_calc!AM$35+1))</f>
        <v>0</v>
      </c>
      <c r="AN240" s="21" cm="1">
        <f t="array" ref="AN240">AN186*(Houses_with_gas_18/Houses_with_plumbing_18)*(INDEX('DHW Mix'!$AI$7:$AS$30,Homes_calc!$B240-2006,Homes_calc!AN$35+1))</f>
        <v>0</v>
      </c>
      <c r="AO240" s="21" cm="1">
        <f t="array" ref="AO240">AO186*(Houses_with_gas_18/Houses_with_plumbing_18)*(INDEX('DHW Mix'!$AI$7:$AS$30,Homes_calc!$B240-2006,Homes_calc!AO$35+1))</f>
        <v>0</v>
      </c>
      <c r="AP240" s="21" cm="1">
        <f t="array" ref="AP240">AP186*(Houses_with_gas_18/Houses_with_plumbing_18)*(INDEX('DHW Mix'!$AI$7:$AS$30,Homes_calc!$B240-2006,Homes_calc!AP$35+1))</f>
        <v>0</v>
      </c>
      <c r="AQ240" s="21" cm="1">
        <f t="array" ref="AQ240">AQ186*(Houses_with_gas_18/Houses_with_plumbing_18)*(INDEX('DHW Mix'!$AI$7:$AS$30,Homes_calc!$B240-2006,Homes_calc!AQ$35+1))</f>
        <v>0</v>
      </c>
      <c r="AR240" s="21" cm="1">
        <f t="array" ref="AR240">AR186*(Houses_with_gas_18/Houses_with_plumbing_18)*(INDEX('DHW Mix'!$AI$7:$AS$30,Homes_calc!$B240-2006,Homes_calc!AR$35+1))</f>
        <v>0</v>
      </c>
      <c r="AS240" s="21" cm="1">
        <f t="array" ref="AS240">AS186*(Houses_with_gas_18/Houses_with_plumbing_18)*(INDEX('DHW Mix'!$AI$7:$AS$30,Homes_calc!$B240-2006,Homes_calc!AS$35+1))</f>
        <v>0</v>
      </c>
      <c r="AT240" s="21" cm="1">
        <f t="array" ref="AT240">AT186*(Houses_with_gas_18/Houses_with_plumbing_18)*(INDEX('DHW Mix'!$AI$7:$AS$30,Homes_calc!$B240-2006,Homes_calc!AT$35+1))</f>
        <v>0</v>
      </c>
      <c r="AU240" s="21" cm="1">
        <f t="array" ref="AU240">AU186*(Houses_with_gas_18/Houses_with_plumbing_18)*(INDEX('DHW Mix'!$AI$7:$AS$30,Homes_calc!$B240-2006,Homes_calc!AU$35+1))</f>
        <v>0</v>
      </c>
      <c r="AV240" s="21" cm="1">
        <f t="array" ref="AV240">AV186*(Houses_with_gas_18/Houses_with_plumbing_18)*(INDEX('DHW Mix'!$AI$7:$AS$30,Homes_calc!$B240-2006,Homes_calc!AV$35+1))</f>
        <v>0</v>
      </c>
      <c r="AW240" s="21" cm="1">
        <f t="array" ref="AW240">AW186*(Houses_with_gas_18/Houses_with_plumbing_18)*(INDEX('DHW Mix'!$AI$7:$AS$30,Homes_calc!$B240-2006,Homes_calc!AW$35+1))</f>
        <v>0</v>
      </c>
      <c r="AX240" s="21" cm="1">
        <f t="array" ref="AX240">AX186*(Houses_with_gas_18/Houses_with_plumbing_18)*(INDEX('DHW Mix'!$AI$7:$AS$30,Homes_calc!$B240-2006,Homes_calc!AX$35+1))</f>
        <v>0</v>
      </c>
      <c r="AY240" s="21" cm="1">
        <f t="array" ref="AY240">AY186*(Houses_with_gas_18/Houses_with_plumbing_18)*(INDEX('DHW Mix'!$AI$7:$AS$30,Homes_calc!$B240-2006,Homes_calc!AY$35+1))</f>
        <v>0</v>
      </c>
      <c r="AZ240" s="21" cm="1">
        <f t="array" ref="AZ240">AZ186*(Houses_with_gas_18/Houses_with_plumbing_18)*(INDEX('DHW Mix'!$AI$7:$AS$30,Homes_calc!$B240-2006,Homes_calc!AZ$35+1))</f>
        <v>0</v>
      </c>
      <c r="BA240" s="21" cm="1">
        <f t="array" ref="BA240">BA186*(Houses_with_gas_18/Houses_with_plumbing_18)*(INDEX('DHW Mix'!$AI$7:$AS$30,Homes_calc!$B240-2006,Homes_calc!BA$35+1))</f>
        <v>0</v>
      </c>
      <c r="BB240" s="21">
        <f t="shared" si="193"/>
        <v>0</v>
      </c>
    </row>
    <row r="241" spans="1:54">
      <c r="A241" s="456"/>
      <c r="B241" s="228">
        <v>2019</v>
      </c>
      <c r="C241" s="21" cm="1">
        <f t="array" ref="C241">C187*(Houses_with_gas_19/Houses_with_plumbing_19)*(INDEX('DHW Mix'!$AI$7:$AS$30,Homes_calc!$B241-2006,Homes_calc!C$35+1))</f>
        <v>0</v>
      </c>
      <c r="D241" s="21" cm="1">
        <f t="array" ref="D241">D187*(Houses_with_gas_19/Houses_with_plumbing_19)*(INDEX('DHW Mix'!$AI$7:$AS$30,Homes_calc!$B241-2006,Homes_calc!D$35+1))</f>
        <v>0</v>
      </c>
      <c r="E241" s="21" cm="1">
        <f t="array" ref="E241">E187*(Houses_with_gas_19/Houses_with_plumbing_19)*(INDEX('DHW Mix'!$AI$7:$AS$30,Homes_calc!$B241-2006,Homes_calc!E$35+1))</f>
        <v>0</v>
      </c>
      <c r="F241" s="21" cm="1">
        <f t="array" ref="F241">F187*(Houses_with_gas_19/Houses_with_plumbing_19)*(INDEX('DHW Mix'!$AI$7:$AS$30,Homes_calc!$B241-2006,Homes_calc!F$35+1))</f>
        <v>0</v>
      </c>
      <c r="G241" s="21" cm="1">
        <f t="array" ref="G241">G187*(Houses_with_gas_19/Houses_with_plumbing_19)*(INDEX('DHW Mix'!$AI$7:$AS$30,Homes_calc!$B241-2006,Homes_calc!G$35+1))</f>
        <v>0</v>
      </c>
      <c r="H241" s="21" cm="1">
        <f t="array" ref="H241">H187*(Houses_with_gas_19/Houses_with_plumbing_19)*(INDEX('DHW Mix'!$AI$7:$AS$30,Homes_calc!$B241-2006,Homes_calc!H$35+1))</f>
        <v>0</v>
      </c>
      <c r="I241" s="21" cm="1">
        <f t="array" ref="I241">I187*(Houses_with_gas_19/Houses_with_plumbing_19)*(INDEX('DHW Mix'!$AI$7:$AS$30,Homes_calc!$B241-2006,Homes_calc!I$35+1))</f>
        <v>0</v>
      </c>
      <c r="J241" s="21" cm="1">
        <f t="array" ref="J241">J187*(Houses_with_gas_19/Houses_with_plumbing_19)*(INDEX('DHW Mix'!$AI$7:$AS$30,Homes_calc!$B241-2006,Homes_calc!J$35+1))</f>
        <v>0</v>
      </c>
      <c r="K241" s="21" cm="1">
        <f t="array" ref="K241">K187*(Houses_with_gas_19/Houses_with_plumbing_19)*(INDEX('DHW Mix'!$AI$7:$AS$30,Homes_calc!$B241-2006,Homes_calc!K$35+1))</f>
        <v>0</v>
      </c>
      <c r="L241" s="21" cm="1">
        <f t="array" ref="L241">L187*(Houses_with_gas_19/Houses_with_plumbing_19)*(INDEX('DHW Mix'!$AI$7:$AS$30,Homes_calc!$B241-2006,Homes_calc!L$35+1))</f>
        <v>0</v>
      </c>
      <c r="M241" s="21" cm="1">
        <f t="array" ref="M241">M187*(Houses_with_gas_19/Houses_with_plumbing_19)*(INDEX('DHW Mix'!$AI$7:$AS$30,Homes_calc!$B241-2006,Homes_calc!M$35+1))</f>
        <v>0</v>
      </c>
      <c r="N241" s="21" cm="1">
        <f t="array" ref="N241">N187*(Houses_with_gas_19/Houses_with_plumbing_19)*(INDEX('DHW Mix'!$AI$7:$AS$30,Homes_calc!$B241-2006,Homes_calc!N$35+1))</f>
        <v>0</v>
      </c>
      <c r="O241" s="21" cm="1">
        <f t="array" ref="O241">O187*(Houses_with_gas_19/Houses_with_plumbing_19)*(INDEX('DHW Mix'!$AI$7:$AS$30,Homes_calc!$B241-2006,Homes_calc!O$35+1))</f>
        <v>0</v>
      </c>
      <c r="P241" s="21" cm="1">
        <f t="array" ref="P241">P187*(Houses_with_gas_19/Houses_with_plumbing_19)*(INDEX('DHW Mix'!$AI$7:$AS$30,Homes_calc!$B241-2006,Homes_calc!P$35+1))</f>
        <v>0</v>
      </c>
      <c r="Q241" s="21" cm="1">
        <f t="array" ref="Q241">Q187*(Houses_with_gas_19/Houses_with_plumbing_19)*(INDEX('DHW Mix'!$AI$7:$AS$30,Homes_calc!$B241-2006,Homes_calc!Q$35+1))</f>
        <v>0</v>
      </c>
      <c r="R241" s="21" cm="1">
        <f t="array" ref="R241">R187*(Houses_with_gas_19/Houses_with_plumbing_19)*(INDEX('DHW Mix'!$AI$7:$AS$30,Homes_calc!$B241-2006,Homes_calc!R$35+1))</f>
        <v>0</v>
      </c>
      <c r="S241" s="21" cm="1">
        <f t="array" ref="S241">S187*(Houses_with_gas_19/Houses_with_plumbing_19)*(INDEX('DHW Mix'!$AI$7:$AS$30,Homes_calc!$B241-2006,Homes_calc!S$35+1))</f>
        <v>0</v>
      </c>
      <c r="T241" s="21" cm="1">
        <f t="array" ref="T241">T187*(Houses_with_gas_19/Houses_with_plumbing_19)*(INDEX('DHW Mix'!$AI$7:$AS$30,Homes_calc!$B241-2006,Homes_calc!T$35+1))</f>
        <v>0</v>
      </c>
      <c r="U241" s="21" cm="1">
        <f t="array" ref="U241">U187*(Houses_with_gas_19/Houses_with_plumbing_19)*(INDEX('DHW Mix'!$AI$7:$AS$30,Homes_calc!$B241-2006,Homes_calc!U$35+1))</f>
        <v>0</v>
      </c>
      <c r="V241" s="21" cm="1">
        <f t="array" ref="V241">V187*(Houses_with_gas_19/Houses_with_plumbing_19)*(INDEX('DHW Mix'!$AI$7:$AS$30,Homes_calc!$B241-2006,Homes_calc!V$35+1))</f>
        <v>0</v>
      </c>
      <c r="W241" s="21" cm="1">
        <f t="array" ref="W241">W187*(Houses_with_gas_19/Houses_with_plumbing_19)*(INDEX('DHW Mix'!$AI$7:$AS$30,Homes_calc!$B241-2006,Homes_calc!W$35+1))</f>
        <v>0</v>
      </c>
      <c r="X241" s="21" cm="1">
        <f t="array" ref="X241">X187*(Houses_with_gas_19/Houses_with_plumbing_19)*(INDEX('DHW Mix'!$AI$7:$AS$30,Homes_calc!$B241-2006,Homes_calc!X$35+1))</f>
        <v>0</v>
      </c>
      <c r="Y241" s="21" cm="1">
        <f t="array" ref="Y241">Y187*(Houses_with_gas_19/Houses_with_plumbing_19)*(INDEX('DHW Mix'!$AI$7:$AS$30,Homes_calc!$B241-2006,Homes_calc!Y$35+1))</f>
        <v>0</v>
      </c>
      <c r="Z241" s="21" cm="1">
        <f t="array" ref="Z241">Z187*(Houses_with_gas_19/Houses_with_plumbing_19)*(INDEX('DHW Mix'!$AI$7:$AS$30,Homes_calc!$B241-2006,Homes_calc!Z$35+1))</f>
        <v>0</v>
      </c>
      <c r="AA241" s="21" cm="1">
        <f t="array" ref="AA241">AA187*(Houses_with_gas_19/Houses_with_plumbing_19)*(INDEX('DHW Mix'!$AI$7:$AS$30,Homes_calc!$B241-2006,Homes_calc!AA$35+1))</f>
        <v>0</v>
      </c>
      <c r="AB241" s="21" cm="1">
        <f t="array" ref="AB241">AB187*(Houses_with_gas_19/Houses_with_plumbing_19)*(INDEX('DHW Mix'!$AI$7:$AS$30,Homes_calc!$B241-2006,Homes_calc!AB$35+1))</f>
        <v>0</v>
      </c>
      <c r="AC241" s="21" cm="1">
        <f t="array" ref="AC241">AC187*(Houses_with_gas_19/Houses_with_plumbing_19)*(INDEX('DHW Mix'!$AI$7:$AS$30,Homes_calc!$B241-2006,Homes_calc!AC$35+1))</f>
        <v>0</v>
      </c>
      <c r="AD241" s="21" cm="1">
        <f t="array" ref="AD241">AD187*(Houses_with_gas_19/Houses_with_plumbing_19)*(INDEX('DHW Mix'!$AI$7:$AS$30,Homes_calc!$B241-2006,Homes_calc!AD$35+1))</f>
        <v>0</v>
      </c>
      <c r="AE241" s="21" cm="1">
        <f t="array" ref="AE241">AE187*(Houses_with_gas_19/Houses_with_plumbing_19)*(INDEX('DHW Mix'!$AI$7:$AS$30,Homes_calc!$B241-2006,Homes_calc!AE$35+1))</f>
        <v>0</v>
      </c>
      <c r="AF241" s="21" cm="1">
        <f t="array" ref="AF241">AF187*(Houses_with_gas_19/Houses_with_plumbing_19)*(INDEX('DHW Mix'!$AI$7:$AS$30,Homes_calc!$B241-2006,Homes_calc!AF$35+1))</f>
        <v>0</v>
      </c>
      <c r="AG241" s="21" cm="1">
        <f t="array" ref="AG241">AG187*(Houses_with_gas_19/Houses_with_plumbing_19)*(INDEX('DHW Mix'!$AI$7:$AS$30,Homes_calc!$B241-2006,Homes_calc!AG$35+1))</f>
        <v>0</v>
      </c>
      <c r="AH241" s="21" cm="1">
        <f t="array" ref="AH241">AH187*(Houses_with_gas_19/Houses_with_plumbing_19)*(INDEX('DHW Mix'!$AI$7:$AS$30,Homes_calc!$B241-2006,Homes_calc!AH$35+1))</f>
        <v>0</v>
      </c>
      <c r="AI241" s="21" cm="1">
        <f t="array" ref="AI241">AI187*(Houses_with_gas_19/Houses_with_plumbing_19)*(INDEX('DHW Mix'!$AI$7:$AS$30,Homes_calc!$B241-2006,Homes_calc!AI$35+1))</f>
        <v>0</v>
      </c>
      <c r="AJ241" s="21" cm="1">
        <f t="array" ref="AJ241">AJ187*(Houses_with_gas_19/Houses_with_plumbing_19)*(INDEX('DHW Mix'!$AI$7:$AS$30,Homes_calc!$B241-2006,Homes_calc!AJ$35+1))</f>
        <v>0</v>
      </c>
      <c r="AK241" s="21" cm="1">
        <f t="array" ref="AK241">AK187*(Houses_with_gas_19/Houses_with_plumbing_19)*(INDEX('DHW Mix'!$AI$7:$AS$30,Homes_calc!$B241-2006,Homes_calc!AK$35+1))</f>
        <v>0</v>
      </c>
      <c r="AL241" s="21" cm="1">
        <f t="array" ref="AL241">AL187*(Houses_with_gas_19/Houses_with_plumbing_19)*(INDEX('DHW Mix'!$AI$7:$AS$30,Homes_calc!$B241-2006,Homes_calc!AL$35+1))</f>
        <v>0</v>
      </c>
      <c r="AM241" s="21" cm="1">
        <f t="array" ref="AM241">AM187*(Houses_with_gas_19/Houses_with_plumbing_19)*(INDEX('DHW Mix'!$AI$7:$AS$30,Homes_calc!$B241-2006,Homes_calc!AM$35+1))</f>
        <v>0</v>
      </c>
      <c r="AN241" s="21" cm="1">
        <f t="array" ref="AN241">AN187*(Houses_with_gas_19/Houses_with_plumbing_19)*(INDEX('DHW Mix'!$AI$7:$AS$30,Homes_calc!$B241-2006,Homes_calc!AN$35+1))</f>
        <v>0</v>
      </c>
      <c r="AO241" s="21" cm="1">
        <f t="array" ref="AO241">AO187*(Houses_with_gas_19/Houses_with_plumbing_19)*(INDEX('DHW Mix'!$AI$7:$AS$30,Homes_calc!$B241-2006,Homes_calc!AO$35+1))</f>
        <v>0</v>
      </c>
      <c r="AP241" s="21" cm="1">
        <f t="array" ref="AP241">AP187*(Houses_with_gas_19/Houses_with_plumbing_19)*(INDEX('DHW Mix'!$AI$7:$AS$30,Homes_calc!$B241-2006,Homes_calc!AP$35+1))</f>
        <v>0</v>
      </c>
      <c r="AQ241" s="21" cm="1">
        <f t="array" ref="AQ241">AQ187*(Houses_with_gas_19/Houses_with_plumbing_19)*(INDEX('DHW Mix'!$AI$7:$AS$30,Homes_calc!$B241-2006,Homes_calc!AQ$35+1))</f>
        <v>0</v>
      </c>
      <c r="AR241" s="21" cm="1">
        <f t="array" ref="AR241">AR187*(Houses_with_gas_19/Houses_with_plumbing_19)*(INDEX('DHW Mix'!$AI$7:$AS$30,Homes_calc!$B241-2006,Homes_calc!AR$35+1))</f>
        <v>0</v>
      </c>
      <c r="AS241" s="21" cm="1">
        <f t="array" ref="AS241">AS187*(Houses_with_gas_19/Houses_with_plumbing_19)*(INDEX('DHW Mix'!$AI$7:$AS$30,Homes_calc!$B241-2006,Homes_calc!AS$35+1))</f>
        <v>0</v>
      </c>
      <c r="AT241" s="21" cm="1">
        <f t="array" ref="AT241">AT187*(Houses_with_gas_19/Houses_with_plumbing_19)*(INDEX('DHW Mix'!$AI$7:$AS$30,Homes_calc!$B241-2006,Homes_calc!AT$35+1))</f>
        <v>0</v>
      </c>
      <c r="AU241" s="21" cm="1">
        <f t="array" ref="AU241">AU187*(Houses_with_gas_19/Houses_with_plumbing_19)*(INDEX('DHW Mix'!$AI$7:$AS$30,Homes_calc!$B241-2006,Homes_calc!AU$35+1))</f>
        <v>0</v>
      </c>
      <c r="AV241" s="21" cm="1">
        <f t="array" ref="AV241">AV187*(Houses_with_gas_19/Houses_with_plumbing_19)*(INDEX('DHW Mix'!$AI$7:$AS$30,Homes_calc!$B241-2006,Homes_calc!AV$35+1))</f>
        <v>0</v>
      </c>
      <c r="AW241" s="21" cm="1">
        <f t="array" ref="AW241">AW187*(Houses_with_gas_19/Houses_with_plumbing_19)*(INDEX('DHW Mix'!$AI$7:$AS$30,Homes_calc!$B241-2006,Homes_calc!AW$35+1))</f>
        <v>0</v>
      </c>
      <c r="AX241" s="21" cm="1">
        <f t="array" ref="AX241">AX187*(Houses_with_gas_19/Houses_with_plumbing_19)*(INDEX('DHW Mix'!$AI$7:$AS$30,Homes_calc!$B241-2006,Homes_calc!AX$35+1))</f>
        <v>0</v>
      </c>
      <c r="AY241" s="21" cm="1">
        <f t="array" ref="AY241">AY187*(Houses_with_gas_19/Houses_with_plumbing_19)*(INDEX('DHW Mix'!$AI$7:$AS$30,Homes_calc!$B241-2006,Homes_calc!AY$35+1))</f>
        <v>0</v>
      </c>
      <c r="AZ241" s="21" cm="1">
        <f t="array" ref="AZ241">AZ187*(Houses_with_gas_19/Houses_with_plumbing_19)*(INDEX('DHW Mix'!$AI$7:$AS$30,Homes_calc!$B241-2006,Homes_calc!AZ$35+1))</f>
        <v>0</v>
      </c>
      <c r="BA241" s="21" cm="1">
        <f t="array" ref="BA241">BA187*(Houses_with_gas_19/Houses_with_plumbing_19)*(INDEX('DHW Mix'!$AI$7:$AS$30,Homes_calc!$B241-2006,Homes_calc!BA$35+1))</f>
        <v>0</v>
      </c>
      <c r="BB241" s="21">
        <f t="shared" si="193"/>
        <v>0</v>
      </c>
    </row>
    <row r="242" spans="1:54">
      <c r="A242" s="456"/>
      <c r="B242" s="226">
        <v>2020</v>
      </c>
      <c r="C242" s="21" cm="1">
        <f t="array" ref="C242">C188*(Houses_with_gas_20/Houses_with_plumbing_20)*(INDEX('DHW Mix'!$AI$7:$AS$30,Homes_calc!$B242-2006,Homes_calc!C$35+1))</f>
        <v>0</v>
      </c>
      <c r="D242" s="21" cm="1">
        <f t="array" ref="D242">D188*(Houses_with_gas_20/Houses_with_plumbing_20)*(INDEX('DHW Mix'!$AI$7:$AS$30,Homes_calc!$B242-2006,Homes_calc!D$35+1))</f>
        <v>0</v>
      </c>
      <c r="E242" s="21" cm="1">
        <f t="array" ref="E242">E188*(Houses_with_gas_20/Houses_with_plumbing_20)*(INDEX('DHW Mix'!$AI$7:$AS$30,Homes_calc!$B242-2006,Homes_calc!E$35+1))</f>
        <v>0</v>
      </c>
      <c r="F242" s="21" cm="1">
        <f t="array" ref="F242">F188*(Houses_with_gas_20/Houses_with_plumbing_20)*(INDEX('DHW Mix'!$AI$7:$AS$30,Homes_calc!$B242-2006,Homes_calc!F$35+1))</f>
        <v>0</v>
      </c>
      <c r="G242" s="21" cm="1">
        <f t="array" ref="G242">G188*(Houses_with_gas_20/Houses_with_plumbing_20)*(INDEX('DHW Mix'!$AI$7:$AS$30,Homes_calc!$B242-2006,Homes_calc!G$35+1))</f>
        <v>0</v>
      </c>
      <c r="H242" s="21" cm="1">
        <f t="array" ref="H242">H188*(Houses_with_gas_20/Houses_with_plumbing_20)*(INDEX('DHW Mix'!$AI$7:$AS$30,Homes_calc!$B242-2006,Homes_calc!H$35+1))</f>
        <v>0</v>
      </c>
      <c r="I242" s="21" cm="1">
        <f t="array" ref="I242">I188*(Houses_with_gas_20/Houses_with_plumbing_20)*(INDEX('DHW Mix'!$AI$7:$AS$30,Homes_calc!$B242-2006,Homes_calc!I$35+1))</f>
        <v>0</v>
      </c>
      <c r="J242" s="21" cm="1">
        <f t="array" ref="J242">J188*(Houses_with_gas_20/Houses_with_plumbing_20)*(INDEX('DHW Mix'!$AI$7:$AS$30,Homes_calc!$B242-2006,Homes_calc!J$35+1))</f>
        <v>0</v>
      </c>
      <c r="K242" s="21" cm="1">
        <f t="array" ref="K242">K188*(Houses_with_gas_20/Houses_with_plumbing_20)*(INDEX('DHW Mix'!$AI$7:$AS$30,Homes_calc!$B242-2006,Homes_calc!K$35+1))</f>
        <v>0</v>
      </c>
      <c r="L242" s="21" cm="1">
        <f t="array" ref="L242">L188*(Houses_with_gas_20/Houses_with_plumbing_20)*(INDEX('DHW Mix'!$AI$7:$AS$30,Homes_calc!$B242-2006,Homes_calc!L$35+1))</f>
        <v>0</v>
      </c>
      <c r="M242" s="21" cm="1">
        <f t="array" ref="M242">M188*(Houses_with_gas_20/Houses_with_plumbing_20)*(INDEX('DHW Mix'!$AI$7:$AS$30,Homes_calc!$B242-2006,Homes_calc!M$35+1))</f>
        <v>0</v>
      </c>
      <c r="N242" s="21" cm="1">
        <f t="array" ref="N242">N188*(Houses_with_gas_20/Houses_with_plumbing_20)*(INDEX('DHW Mix'!$AI$7:$AS$30,Homes_calc!$B242-2006,Homes_calc!N$35+1))</f>
        <v>0</v>
      </c>
      <c r="O242" s="21" cm="1">
        <f t="array" ref="O242">O188*(Houses_with_gas_20/Houses_with_plumbing_20)*(INDEX('DHW Mix'!$AI$7:$AS$30,Homes_calc!$B242-2006,Homes_calc!O$35+1))</f>
        <v>0</v>
      </c>
      <c r="P242" s="21" cm="1">
        <f t="array" ref="P242">P188*(Houses_with_gas_20/Houses_with_plumbing_20)*(INDEX('DHW Mix'!$AI$7:$AS$30,Homes_calc!$B242-2006,Homes_calc!P$35+1))</f>
        <v>0</v>
      </c>
      <c r="Q242" s="21" cm="1">
        <f t="array" ref="Q242">Q188*(Houses_with_gas_20/Houses_with_plumbing_20)*(INDEX('DHW Mix'!$AI$7:$AS$30,Homes_calc!$B242-2006,Homes_calc!Q$35+1))</f>
        <v>0</v>
      </c>
      <c r="R242" s="21" cm="1">
        <f t="array" ref="R242">R188*(Houses_with_gas_20/Houses_with_plumbing_20)*(INDEX('DHW Mix'!$AI$7:$AS$30,Homes_calc!$B242-2006,Homes_calc!R$35+1))</f>
        <v>0</v>
      </c>
      <c r="S242" s="21" cm="1">
        <f t="array" ref="S242">S188*(Houses_with_gas_20/Houses_with_plumbing_20)*(INDEX('DHW Mix'!$AI$7:$AS$30,Homes_calc!$B242-2006,Homes_calc!S$35+1))</f>
        <v>0</v>
      </c>
      <c r="T242" s="21" cm="1">
        <f t="array" ref="T242">T188*(Houses_with_gas_20/Houses_with_plumbing_20)*(INDEX('DHW Mix'!$AI$7:$AS$30,Homes_calc!$B242-2006,Homes_calc!T$35+1))</f>
        <v>0</v>
      </c>
      <c r="U242" s="21" cm="1">
        <f t="array" ref="U242">U188*(Houses_with_gas_20/Houses_with_plumbing_20)*(INDEX('DHW Mix'!$AI$7:$AS$30,Homes_calc!$B242-2006,Homes_calc!U$35+1))</f>
        <v>0</v>
      </c>
      <c r="V242" s="21" cm="1">
        <f t="array" ref="V242">V188*(Houses_with_gas_20/Houses_with_plumbing_20)*(INDEX('DHW Mix'!$AI$7:$AS$30,Homes_calc!$B242-2006,Homes_calc!V$35+1))</f>
        <v>0</v>
      </c>
      <c r="W242" s="21" cm="1">
        <f t="array" ref="W242">W188*(Houses_with_gas_20/Houses_with_plumbing_20)*(INDEX('DHW Mix'!$AI$7:$AS$30,Homes_calc!$B242-2006,Homes_calc!W$35+1))</f>
        <v>0</v>
      </c>
      <c r="X242" s="21" cm="1">
        <f t="array" ref="X242">X188*(Houses_with_gas_20/Houses_with_plumbing_20)*(INDEX('DHW Mix'!$AI$7:$AS$30,Homes_calc!$B242-2006,Homes_calc!X$35+1))</f>
        <v>0</v>
      </c>
      <c r="Y242" s="21" cm="1">
        <f t="array" ref="Y242">Y188*(Houses_with_gas_20/Houses_with_plumbing_20)*(INDEX('DHW Mix'!$AI$7:$AS$30,Homes_calc!$B242-2006,Homes_calc!Y$35+1))</f>
        <v>0</v>
      </c>
      <c r="Z242" s="21" cm="1">
        <f t="array" ref="Z242">Z188*(Houses_with_gas_20/Houses_with_plumbing_20)*(INDEX('DHW Mix'!$AI$7:$AS$30,Homes_calc!$B242-2006,Homes_calc!Z$35+1))</f>
        <v>0</v>
      </c>
      <c r="AA242" s="21" cm="1">
        <f t="array" ref="AA242">AA188*(Houses_with_gas_20/Houses_with_plumbing_20)*(INDEX('DHW Mix'!$AI$7:$AS$30,Homes_calc!$B242-2006,Homes_calc!AA$35+1))</f>
        <v>0</v>
      </c>
      <c r="AB242" s="21" cm="1">
        <f t="array" ref="AB242">AB188*(Houses_with_gas_20/Houses_with_plumbing_20)*(INDEX('DHW Mix'!$AI$7:$AS$30,Homes_calc!$B242-2006,Homes_calc!AB$35+1))</f>
        <v>0</v>
      </c>
      <c r="AC242" s="21" cm="1">
        <f t="array" ref="AC242">AC188*(Houses_with_gas_20/Houses_with_plumbing_20)*(INDEX('DHW Mix'!$AI$7:$AS$30,Homes_calc!$B242-2006,Homes_calc!AC$35+1))</f>
        <v>0</v>
      </c>
      <c r="AD242" s="21" cm="1">
        <f t="array" ref="AD242">AD188*(Houses_with_gas_20/Houses_with_plumbing_20)*(INDEX('DHW Mix'!$AI$7:$AS$30,Homes_calc!$B242-2006,Homes_calc!AD$35+1))</f>
        <v>0</v>
      </c>
      <c r="AE242" s="21" cm="1">
        <f t="array" ref="AE242">AE188*(Houses_with_gas_20/Houses_with_plumbing_20)*(INDEX('DHW Mix'!$AI$7:$AS$30,Homes_calc!$B242-2006,Homes_calc!AE$35+1))</f>
        <v>0</v>
      </c>
      <c r="AF242" s="21" cm="1">
        <f t="array" ref="AF242">AF188*(Houses_with_gas_20/Houses_with_plumbing_20)*(INDEX('DHW Mix'!$AI$7:$AS$30,Homes_calc!$B242-2006,Homes_calc!AF$35+1))</f>
        <v>0</v>
      </c>
      <c r="AG242" s="21" cm="1">
        <f t="array" ref="AG242">AG188*(Houses_with_gas_20/Houses_with_plumbing_20)*(INDEX('DHW Mix'!$AI$7:$AS$30,Homes_calc!$B242-2006,Homes_calc!AG$35+1))</f>
        <v>0</v>
      </c>
      <c r="AH242" s="21" cm="1">
        <f t="array" ref="AH242">AH188*(Houses_with_gas_20/Houses_with_plumbing_20)*(INDEX('DHW Mix'!$AI$7:$AS$30,Homes_calc!$B242-2006,Homes_calc!AH$35+1))</f>
        <v>0</v>
      </c>
      <c r="AI242" s="21" cm="1">
        <f t="array" ref="AI242">AI188*(Houses_with_gas_20/Houses_with_plumbing_20)*(INDEX('DHW Mix'!$AI$7:$AS$30,Homes_calc!$B242-2006,Homes_calc!AI$35+1))</f>
        <v>0</v>
      </c>
      <c r="AJ242" s="21" cm="1">
        <f t="array" ref="AJ242">AJ188*(Houses_with_gas_20/Houses_with_plumbing_20)*(INDEX('DHW Mix'!$AI$7:$AS$30,Homes_calc!$B242-2006,Homes_calc!AJ$35+1))</f>
        <v>0</v>
      </c>
      <c r="AK242" s="21" cm="1">
        <f t="array" ref="AK242">AK188*(Houses_with_gas_20/Houses_with_plumbing_20)*(INDEX('DHW Mix'!$AI$7:$AS$30,Homes_calc!$B242-2006,Homes_calc!AK$35+1))</f>
        <v>0</v>
      </c>
      <c r="AL242" s="21" cm="1">
        <f t="array" ref="AL242">AL188*(Houses_with_gas_20/Houses_with_plumbing_20)*(INDEX('DHW Mix'!$AI$7:$AS$30,Homes_calc!$B242-2006,Homes_calc!AL$35+1))</f>
        <v>0</v>
      </c>
      <c r="AM242" s="21" cm="1">
        <f t="array" ref="AM242">AM188*(Houses_with_gas_20/Houses_with_plumbing_20)*(INDEX('DHW Mix'!$AI$7:$AS$30,Homes_calc!$B242-2006,Homes_calc!AM$35+1))</f>
        <v>0</v>
      </c>
      <c r="AN242" s="21" cm="1">
        <f t="array" ref="AN242">AN188*(Houses_with_gas_20/Houses_with_plumbing_20)*(INDEX('DHW Mix'!$AI$7:$AS$30,Homes_calc!$B242-2006,Homes_calc!AN$35+1))</f>
        <v>0</v>
      </c>
      <c r="AO242" s="21" cm="1">
        <f t="array" ref="AO242">AO188*(Houses_with_gas_20/Houses_with_plumbing_20)*(INDEX('DHW Mix'!$AI$7:$AS$30,Homes_calc!$B242-2006,Homes_calc!AO$35+1))</f>
        <v>0</v>
      </c>
      <c r="AP242" s="21" cm="1">
        <f t="array" ref="AP242">AP188*(Houses_with_gas_20/Houses_with_plumbing_20)*(INDEX('DHW Mix'!$AI$7:$AS$30,Homes_calc!$B242-2006,Homes_calc!AP$35+1))</f>
        <v>0</v>
      </c>
      <c r="AQ242" s="21" cm="1">
        <f t="array" ref="AQ242">AQ188*(Houses_with_gas_20/Houses_with_plumbing_20)*(INDEX('DHW Mix'!$AI$7:$AS$30,Homes_calc!$B242-2006,Homes_calc!AQ$35+1))</f>
        <v>0</v>
      </c>
      <c r="AR242" s="21" cm="1">
        <f t="array" ref="AR242">AR188*(Houses_with_gas_20/Houses_with_plumbing_20)*(INDEX('DHW Mix'!$AI$7:$AS$30,Homes_calc!$B242-2006,Homes_calc!AR$35+1))</f>
        <v>0</v>
      </c>
      <c r="AS242" s="21" cm="1">
        <f t="array" ref="AS242">AS188*(Houses_with_gas_20/Houses_with_plumbing_20)*(INDEX('DHW Mix'!$AI$7:$AS$30,Homes_calc!$B242-2006,Homes_calc!AS$35+1))</f>
        <v>0</v>
      </c>
      <c r="AT242" s="21" cm="1">
        <f t="array" ref="AT242">AT188*(Houses_with_gas_20/Houses_with_plumbing_20)*(INDEX('DHW Mix'!$AI$7:$AS$30,Homes_calc!$B242-2006,Homes_calc!AT$35+1))</f>
        <v>0</v>
      </c>
      <c r="AU242" s="21" cm="1">
        <f t="array" ref="AU242">AU188*(Houses_with_gas_20/Houses_with_plumbing_20)*(INDEX('DHW Mix'!$AI$7:$AS$30,Homes_calc!$B242-2006,Homes_calc!AU$35+1))</f>
        <v>0</v>
      </c>
      <c r="AV242" s="21" cm="1">
        <f t="array" ref="AV242">AV188*(Houses_with_gas_20/Houses_with_plumbing_20)*(INDEX('DHW Mix'!$AI$7:$AS$30,Homes_calc!$B242-2006,Homes_calc!AV$35+1))</f>
        <v>0</v>
      </c>
      <c r="AW242" s="21" cm="1">
        <f t="array" ref="AW242">AW188*(Houses_with_gas_20/Houses_with_plumbing_20)*(INDEX('DHW Mix'!$AI$7:$AS$30,Homes_calc!$B242-2006,Homes_calc!AW$35+1))</f>
        <v>0</v>
      </c>
      <c r="AX242" s="21" cm="1">
        <f t="array" ref="AX242">AX188*(Houses_with_gas_20/Houses_with_plumbing_20)*(INDEX('DHW Mix'!$AI$7:$AS$30,Homes_calc!$B242-2006,Homes_calc!AX$35+1))</f>
        <v>0</v>
      </c>
      <c r="AY242" s="21" cm="1">
        <f t="array" ref="AY242">AY188*(Houses_with_gas_20/Houses_with_plumbing_20)*(INDEX('DHW Mix'!$AI$7:$AS$30,Homes_calc!$B242-2006,Homes_calc!AY$35+1))</f>
        <v>0</v>
      </c>
      <c r="AZ242" s="21" cm="1">
        <f t="array" ref="AZ242">AZ188*(Houses_with_gas_20/Houses_with_plumbing_20)*(INDEX('DHW Mix'!$AI$7:$AS$30,Homes_calc!$B242-2006,Homes_calc!AZ$35+1))</f>
        <v>0</v>
      </c>
      <c r="BA242" s="21" cm="1">
        <f t="array" ref="BA242">BA188*(Houses_with_gas_20/Houses_with_plumbing_20)*(INDEX('DHW Mix'!$AI$7:$AS$30,Homes_calc!$B242-2006,Homes_calc!BA$35+1))</f>
        <v>0</v>
      </c>
      <c r="BB242" s="21">
        <f t="shared" si="193"/>
        <v>0</v>
      </c>
    </row>
    <row r="243" spans="1:54">
      <c r="A243" s="456"/>
      <c r="B243" s="228">
        <v>2021</v>
      </c>
      <c r="C243" s="21" cm="1">
        <f t="array" ref="C243">C189*(Houses_with_gas_21/Houses_with_plumbing_21)*(INDEX('DHW Mix'!$AI$7:$AS$30,Homes_calc!$B243-2006,Homes_calc!C$35+1))</f>
        <v>0</v>
      </c>
      <c r="D243" s="21" cm="1">
        <f t="array" ref="D243">D189*(Houses_with_gas_21/Houses_with_plumbing_21)*(INDEX('DHW Mix'!$AI$7:$AS$30,Homes_calc!$B243-2006,Homes_calc!D$35+1))</f>
        <v>0</v>
      </c>
      <c r="E243" s="21" cm="1">
        <f t="array" ref="E243">E189*(Houses_with_gas_21/Houses_with_plumbing_21)*(INDEX('DHW Mix'!$AI$7:$AS$30,Homes_calc!$B243-2006,Homes_calc!E$35+1))</f>
        <v>0</v>
      </c>
      <c r="F243" s="21" cm="1">
        <f t="array" ref="F243">F189*(Houses_with_gas_21/Houses_with_plumbing_21)*(INDEX('DHW Mix'!$AI$7:$AS$30,Homes_calc!$B243-2006,Homes_calc!F$35+1))</f>
        <v>0</v>
      </c>
      <c r="G243" s="21" cm="1">
        <f t="array" ref="G243">G189*(Houses_with_gas_21/Houses_with_plumbing_21)*(INDEX('DHW Mix'!$AI$7:$AS$30,Homes_calc!$B243-2006,Homes_calc!G$35+1))</f>
        <v>0</v>
      </c>
      <c r="H243" s="21" cm="1">
        <f t="array" ref="H243">H189*(Houses_with_gas_21/Houses_with_plumbing_21)*(INDEX('DHW Mix'!$AI$7:$AS$30,Homes_calc!$B243-2006,Homes_calc!H$35+1))</f>
        <v>0</v>
      </c>
      <c r="I243" s="21" cm="1">
        <f t="array" ref="I243">I189*(Houses_with_gas_21/Houses_with_plumbing_21)*(INDEX('DHW Mix'!$AI$7:$AS$30,Homes_calc!$B243-2006,Homes_calc!I$35+1))</f>
        <v>0</v>
      </c>
      <c r="J243" s="21" cm="1">
        <f t="array" ref="J243">J189*(Houses_with_gas_21/Houses_with_plumbing_21)*(INDEX('DHW Mix'!$AI$7:$AS$30,Homes_calc!$B243-2006,Homes_calc!J$35+1))</f>
        <v>0</v>
      </c>
      <c r="K243" s="21" cm="1">
        <f t="array" ref="K243">K189*(Houses_with_gas_21/Houses_with_plumbing_21)*(INDEX('DHW Mix'!$AI$7:$AS$30,Homes_calc!$B243-2006,Homes_calc!K$35+1))</f>
        <v>0</v>
      </c>
      <c r="L243" s="21" cm="1">
        <f t="array" ref="L243">L189*(Houses_with_gas_21/Houses_with_plumbing_21)*(INDEX('DHW Mix'!$AI$7:$AS$30,Homes_calc!$B243-2006,Homes_calc!L$35+1))</f>
        <v>0</v>
      </c>
      <c r="M243" s="21" cm="1">
        <f t="array" ref="M243">M189*(Houses_with_gas_21/Houses_with_plumbing_21)*(INDEX('DHW Mix'!$AI$7:$AS$30,Homes_calc!$B243-2006,Homes_calc!M$35+1))</f>
        <v>0</v>
      </c>
      <c r="N243" s="21" cm="1">
        <f t="array" ref="N243">N189*(Houses_with_gas_21/Houses_with_plumbing_21)*(INDEX('DHW Mix'!$AI$7:$AS$30,Homes_calc!$B243-2006,Homes_calc!N$35+1))</f>
        <v>0</v>
      </c>
      <c r="O243" s="21" cm="1">
        <f t="array" ref="O243">O189*(Houses_with_gas_21/Houses_with_plumbing_21)*(INDEX('DHW Mix'!$AI$7:$AS$30,Homes_calc!$B243-2006,Homes_calc!O$35+1))</f>
        <v>0</v>
      </c>
      <c r="P243" s="21" cm="1">
        <f t="array" ref="P243">P189*(Houses_with_gas_21/Houses_with_plumbing_21)*(INDEX('DHW Mix'!$AI$7:$AS$30,Homes_calc!$B243-2006,Homes_calc!P$35+1))</f>
        <v>0</v>
      </c>
      <c r="Q243" s="21" cm="1">
        <f t="array" ref="Q243">Q189*(Houses_with_gas_21/Houses_with_plumbing_21)*(INDEX('DHW Mix'!$AI$7:$AS$30,Homes_calc!$B243-2006,Homes_calc!Q$35+1))</f>
        <v>0</v>
      </c>
      <c r="R243" s="21" cm="1">
        <f t="array" ref="R243">R189*(Houses_with_gas_21/Houses_with_plumbing_21)*(INDEX('DHW Mix'!$AI$7:$AS$30,Homes_calc!$B243-2006,Homes_calc!R$35+1))</f>
        <v>0</v>
      </c>
      <c r="S243" s="21" cm="1">
        <f t="array" ref="S243">S189*(Houses_with_gas_21/Houses_with_plumbing_21)*(INDEX('DHW Mix'!$AI$7:$AS$30,Homes_calc!$B243-2006,Homes_calc!S$35+1))</f>
        <v>0</v>
      </c>
      <c r="T243" s="21" cm="1">
        <f t="array" ref="T243">T189*(Houses_with_gas_21/Houses_with_plumbing_21)*(INDEX('DHW Mix'!$AI$7:$AS$30,Homes_calc!$B243-2006,Homes_calc!T$35+1))</f>
        <v>0</v>
      </c>
      <c r="U243" s="21" cm="1">
        <f t="array" ref="U243">U189*(Houses_with_gas_21/Houses_with_plumbing_21)*(INDEX('DHW Mix'!$AI$7:$AS$30,Homes_calc!$B243-2006,Homes_calc!U$35+1))</f>
        <v>0</v>
      </c>
      <c r="V243" s="21" cm="1">
        <f t="array" ref="V243">V189*(Houses_with_gas_21/Houses_with_plumbing_21)*(INDEX('DHW Mix'!$AI$7:$AS$30,Homes_calc!$B243-2006,Homes_calc!V$35+1))</f>
        <v>0</v>
      </c>
      <c r="W243" s="21" cm="1">
        <f t="array" ref="W243">W189*(Houses_with_gas_21/Houses_with_plumbing_21)*(INDEX('DHW Mix'!$AI$7:$AS$30,Homes_calc!$B243-2006,Homes_calc!W$35+1))</f>
        <v>0</v>
      </c>
      <c r="X243" s="21" cm="1">
        <f t="array" ref="X243">X189*(Houses_with_gas_21/Houses_with_plumbing_21)*(INDEX('DHW Mix'!$AI$7:$AS$30,Homes_calc!$B243-2006,Homes_calc!X$35+1))</f>
        <v>0</v>
      </c>
      <c r="Y243" s="21" cm="1">
        <f t="array" ref="Y243">Y189*(Houses_with_gas_21/Houses_with_plumbing_21)*(INDEX('DHW Mix'!$AI$7:$AS$30,Homes_calc!$B243-2006,Homes_calc!Y$35+1))</f>
        <v>0</v>
      </c>
      <c r="Z243" s="21" cm="1">
        <f t="array" ref="Z243">Z189*(Houses_with_gas_21/Houses_with_plumbing_21)*(INDEX('DHW Mix'!$AI$7:$AS$30,Homes_calc!$B243-2006,Homes_calc!Z$35+1))</f>
        <v>0</v>
      </c>
      <c r="AA243" s="21" cm="1">
        <f t="array" ref="AA243">AA189*(Houses_with_gas_21/Houses_with_plumbing_21)*(INDEX('DHW Mix'!$AI$7:$AS$30,Homes_calc!$B243-2006,Homes_calc!AA$35+1))</f>
        <v>0</v>
      </c>
      <c r="AB243" s="21" cm="1">
        <f t="array" ref="AB243">AB189*(Houses_with_gas_21/Houses_with_plumbing_21)*(INDEX('DHW Mix'!$AI$7:$AS$30,Homes_calc!$B243-2006,Homes_calc!AB$35+1))</f>
        <v>0</v>
      </c>
      <c r="AC243" s="21" cm="1">
        <f t="array" ref="AC243">AC189*(Houses_with_gas_21/Houses_with_plumbing_21)*(INDEX('DHW Mix'!$AI$7:$AS$30,Homes_calc!$B243-2006,Homes_calc!AC$35+1))</f>
        <v>0</v>
      </c>
      <c r="AD243" s="21" cm="1">
        <f t="array" ref="AD243">AD189*(Houses_with_gas_21/Houses_with_plumbing_21)*(INDEX('DHW Mix'!$AI$7:$AS$30,Homes_calc!$B243-2006,Homes_calc!AD$35+1))</f>
        <v>0</v>
      </c>
      <c r="AE243" s="21" cm="1">
        <f t="array" ref="AE243">AE189*(Houses_with_gas_21/Houses_with_plumbing_21)*(INDEX('DHW Mix'!$AI$7:$AS$30,Homes_calc!$B243-2006,Homes_calc!AE$35+1))</f>
        <v>0</v>
      </c>
      <c r="AF243" s="21" cm="1">
        <f t="array" ref="AF243">AF189*(Houses_with_gas_21/Houses_with_plumbing_21)*(INDEX('DHW Mix'!$AI$7:$AS$30,Homes_calc!$B243-2006,Homes_calc!AF$35+1))</f>
        <v>0</v>
      </c>
      <c r="AG243" s="21" cm="1">
        <f t="array" ref="AG243">AG189*(Houses_with_gas_21/Houses_with_plumbing_21)*(INDEX('DHW Mix'!$AI$7:$AS$30,Homes_calc!$B243-2006,Homes_calc!AG$35+1))</f>
        <v>0</v>
      </c>
      <c r="AH243" s="21" cm="1">
        <f t="array" ref="AH243">AH189*(Houses_with_gas_21/Houses_with_plumbing_21)*(INDEX('DHW Mix'!$AI$7:$AS$30,Homes_calc!$B243-2006,Homes_calc!AH$35+1))</f>
        <v>0</v>
      </c>
      <c r="AI243" s="21" cm="1">
        <f t="array" ref="AI243">AI189*(Houses_with_gas_21/Houses_with_plumbing_21)*(INDEX('DHW Mix'!$AI$7:$AS$30,Homes_calc!$B243-2006,Homes_calc!AI$35+1))</f>
        <v>0</v>
      </c>
      <c r="AJ243" s="21" cm="1">
        <f t="array" ref="AJ243">AJ189*(Houses_with_gas_21/Houses_with_plumbing_21)*(INDEX('DHW Mix'!$AI$7:$AS$30,Homes_calc!$B243-2006,Homes_calc!AJ$35+1))</f>
        <v>0</v>
      </c>
      <c r="AK243" s="21" cm="1">
        <f t="array" ref="AK243">AK189*(Houses_with_gas_21/Houses_with_plumbing_21)*(INDEX('DHW Mix'!$AI$7:$AS$30,Homes_calc!$B243-2006,Homes_calc!AK$35+1))</f>
        <v>0</v>
      </c>
      <c r="AL243" s="21" cm="1">
        <f t="array" ref="AL243">AL189*(Houses_with_gas_21/Houses_with_plumbing_21)*(INDEX('DHW Mix'!$AI$7:$AS$30,Homes_calc!$B243-2006,Homes_calc!AL$35+1))</f>
        <v>0</v>
      </c>
      <c r="AM243" s="21" cm="1">
        <f t="array" ref="AM243">AM189*(Houses_with_gas_21/Houses_with_plumbing_21)*(INDEX('DHW Mix'!$AI$7:$AS$30,Homes_calc!$B243-2006,Homes_calc!AM$35+1))</f>
        <v>0</v>
      </c>
      <c r="AN243" s="21" cm="1">
        <f t="array" ref="AN243">AN189*(Houses_with_gas_21/Houses_with_plumbing_21)*(INDEX('DHW Mix'!$AI$7:$AS$30,Homes_calc!$B243-2006,Homes_calc!AN$35+1))</f>
        <v>0</v>
      </c>
      <c r="AO243" s="21" cm="1">
        <f t="array" ref="AO243">AO189*(Houses_with_gas_21/Houses_with_plumbing_21)*(INDEX('DHW Mix'!$AI$7:$AS$30,Homes_calc!$B243-2006,Homes_calc!AO$35+1))</f>
        <v>0</v>
      </c>
      <c r="AP243" s="21" cm="1">
        <f t="array" ref="AP243">AP189*(Houses_with_gas_21/Houses_with_plumbing_21)*(INDEX('DHW Mix'!$AI$7:$AS$30,Homes_calc!$B243-2006,Homes_calc!AP$35+1))</f>
        <v>0</v>
      </c>
      <c r="AQ243" s="21" cm="1">
        <f t="array" ref="AQ243">AQ189*(Houses_with_gas_21/Houses_with_plumbing_21)*(INDEX('DHW Mix'!$AI$7:$AS$30,Homes_calc!$B243-2006,Homes_calc!AQ$35+1))</f>
        <v>0</v>
      </c>
      <c r="AR243" s="21" cm="1">
        <f t="array" ref="AR243">AR189*(Houses_with_gas_21/Houses_with_plumbing_21)*(INDEX('DHW Mix'!$AI$7:$AS$30,Homes_calc!$B243-2006,Homes_calc!AR$35+1))</f>
        <v>0</v>
      </c>
      <c r="AS243" s="21" cm="1">
        <f t="array" ref="AS243">AS189*(Houses_with_gas_21/Houses_with_plumbing_21)*(INDEX('DHW Mix'!$AI$7:$AS$30,Homes_calc!$B243-2006,Homes_calc!AS$35+1))</f>
        <v>0</v>
      </c>
      <c r="AT243" s="21" cm="1">
        <f t="array" ref="AT243">AT189*(Houses_with_gas_21/Houses_with_plumbing_21)*(INDEX('DHW Mix'!$AI$7:$AS$30,Homes_calc!$B243-2006,Homes_calc!AT$35+1))</f>
        <v>0</v>
      </c>
      <c r="AU243" s="21" cm="1">
        <f t="array" ref="AU243">AU189*(Houses_with_gas_21/Houses_with_plumbing_21)*(INDEX('DHW Mix'!$AI$7:$AS$30,Homes_calc!$B243-2006,Homes_calc!AU$35+1))</f>
        <v>0</v>
      </c>
      <c r="AV243" s="21" cm="1">
        <f t="array" ref="AV243">AV189*(Houses_with_gas_21/Houses_with_plumbing_21)*(INDEX('DHW Mix'!$AI$7:$AS$30,Homes_calc!$B243-2006,Homes_calc!AV$35+1))</f>
        <v>0</v>
      </c>
      <c r="AW243" s="21" cm="1">
        <f t="array" ref="AW243">AW189*(Houses_with_gas_21/Houses_with_plumbing_21)*(INDEX('DHW Mix'!$AI$7:$AS$30,Homes_calc!$B243-2006,Homes_calc!AW$35+1))</f>
        <v>0</v>
      </c>
      <c r="AX243" s="21" cm="1">
        <f t="array" ref="AX243">AX189*(Houses_with_gas_21/Houses_with_plumbing_21)*(INDEX('DHW Mix'!$AI$7:$AS$30,Homes_calc!$B243-2006,Homes_calc!AX$35+1))</f>
        <v>0</v>
      </c>
      <c r="AY243" s="21" cm="1">
        <f t="array" ref="AY243">AY189*(Houses_with_gas_21/Houses_with_plumbing_21)*(INDEX('DHW Mix'!$AI$7:$AS$30,Homes_calc!$B243-2006,Homes_calc!AY$35+1))</f>
        <v>0</v>
      </c>
      <c r="AZ243" s="21" cm="1">
        <f t="array" ref="AZ243">AZ189*(Houses_with_gas_21/Houses_with_plumbing_21)*(INDEX('DHW Mix'!$AI$7:$AS$30,Homes_calc!$B243-2006,Homes_calc!AZ$35+1))</f>
        <v>0</v>
      </c>
      <c r="BA243" s="21" cm="1">
        <f t="array" ref="BA243">BA189*(Houses_with_gas_21/Houses_with_plumbing_21)*(INDEX('DHW Mix'!$AI$7:$AS$30,Homes_calc!$B243-2006,Homes_calc!BA$35+1))</f>
        <v>0</v>
      </c>
      <c r="BB243" s="21">
        <f t="shared" si="193"/>
        <v>0</v>
      </c>
    </row>
    <row r="244" spans="1:54">
      <c r="A244" s="456"/>
      <c r="B244" s="226">
        <v>2022</v>
      </c>
      <c r="C244" s="21" cm="1">
        <f t="array" ref="C244">C190*(Houses_with_gas_22/Houses_with_plumbing_22)*(INDEX('DHW Mix'!$AI$7:$AS$30,Homes_calc!$B244-2006,Homes_calc!C$35+1))</f>
        <v>0</v>
      </c>
      <c r="D244" s="21" cm="1">
        <f t="array" ref="D244">D190*(Houses_with_gas_22/Houses_with_plumbing_22)*(INDEX('DHW Mix'!$AI$7:$AS$30,Homes_calc!$B244-2006,Homes_calc!D$35+1))</f>
        <v>0</v>
      </c>
      <c r="E244" s="21" cm="1">
        <f t="array" ref="E244">E190*(Houses_with_gas_22/Houses_with_plumbing_22)*(INDEX('DHW Mix'!$AI$7:$AS$30,Homes_calc!$B244-2006,Homes_calc!E$35+1))</f>
        <v>0</v>
      </c>
      <c r="F244" s="21" cm="1">
        <f t="array" ref="F244">F190*(Houses_with_gas_22/Houses_with_plumbing_22)*(INDEX('DHW Mix'!$AI$7:$AS$30,Homes_calc!$B244-2006,Homes_calc!F$35+1))</f>
        <v>0</v>
      </c>
      <c r="G244" s="21" cm="1">
        <f t="array" ref="G244">G190*(Houses_with_gas_22/Houses_with_plumbing_22)*(INDEX('DHW Mix'!$AI$7:$AS$30,Homes_calc!$B244-2006,Homes_calc!G$35+1))</f>
        <v>0</v>
      </c>
      <c r="H244" s="21" cm="1">
        <f t="array" ref="H244">H190*(Houses_with_gas_22/Houses_with_plumbing_22)*(INDEX('DHW Mix'!$AI$7:$AS$30,Homes_calc!$B244-2006,Homes_calc!H$35+1))</f>
        <v>0</v>
      </c>
      <c r="I244" s="21" cm="1">
        <f t="array" ref="I244">I190*(Houses_with_gas_22/Houses_with_plumbing_22)*(INDEX('DHW Mix'!$AI$7:$AS$30,Homes_calc!$B244-2006,Homes_calc!I$35+1))</f>
        <v>0</v>
      </c>
      <c r="J244" s="21" cm="1">
        <f t="array" ref="J244">J190*(Houses_with_gas_22/Houses_with_plumbing_22)*(INDEX('DHW Mix'!$AI$7:$AS$30,Homes_calc!$B244-2006,Homes_calc!J$35+1))</f>
        <v>0</v>
      </c>
      <c r="K244" s="21" cm="1">
        <f t="array" ref="K244">K190*(Houses_with_gas_22/Houses_with_plumbing_22)*(INDEX('DHW Mix'!$AI$7:$AS$30,Homes_calc!$B244-2006,Homes_calc!K$35+1))</f>
        <v>0</v>
      </c>
      <c r="L244" s="21" cm="1">
        <f t="array" ref="L244">L190*(Houses_with_gas_22/Houses_with_plumbing_22)*(INDEX('DHW Mix'!$AI$7:$AS$30,Homes_calc!$B244-2006,Homes_calc!L$35+1))</f>
        <v>0</v>
      </c>
      <c r="M244" s="21" cm="1">
        <f t="array" ref="M244">M190*(Houses_with_gas_22/Houses_with_plumbing_22)*(INDEX('DHW Mix'!$AI$7:$AS$30,Homes_calc!$B244-2006,Homes_calc!M$35+1))</f>
        <v>0</v>
      </c>
      <c r="N244" s="21" cm="1">
        <f t="array" ref="N244">N190*(Houses_with_gas_22/Houses_with_plumbing_22)*(INDEX('DHW Mix'!$AI$7:$AS$30,Homes_calc!$B244-2006,Homes_calc!N$35+1))</f>
        <v>0</v>
      </c>
      <c r="O244" s="21" cm="1">
        <f t="array" ref="O244">O190*(Houses_with_gas_22/Houses_with_plumbing_22)*(INDEX('DHW Mix'!$AI$7:$AS$30,Homes_calc!$B244-2006,Homes_calc!O$35+1))</f>
        <v>0</v>
      </c>
      <c r="P244" s="21" cm="1">
        <f t="array" ref="P244">P190*(Houses_with_gas_22/Houses_with_plumbing_22)*(INDEX('DHW Mix'!$AI$7:$AS$30,Homes_calc!$B244-2006,Homes_calc!P$35+1))</f>
        <v>0</v>
      </c>
      <c r="Q244" s="21" cm="1">
        <f t="array" ref="Q244">Q190*(Houses_with_gas_22/Houses_with_plumbing_22)*(INDEX('DHW Mix'!$AI$7:$AS$30,Homes_calc!$B244-2006,Homes_calc!Q$35+1))</f>
        <v>0</v>
      </c>
      <c r="R244" s="21" cm="1">
        <f t="array" ref="R244">R190*(Houses_with_gas_22/Houses_with_plumbing_22)*(INDEX('DHW Mix'!$AI$7:$AS$30,Homes_calc!$B244-2006,Homes_calc!R$35+1))</f>
        <v>0</v>
      </c>
      <c r="S244" s="21" cm="1">
        <f t="array" ref="S244">S190*(Houses_with_gas_22/Houses_with_plumbing_22)*(INDEX('DHW Mix'!$AI$7:$AS$30,Homes_calc!$B244-2006,Homes_calc!S$35+1))</f>
        <v>0</v>
      </c>
      <c r="T244" s="21" cm="1">
        <f t="array" ref="T244">T190*(Houses_with_gas_22/Houses_with_plumbing_22)*(INDEX('DHW Mix'!$AI$7:$AS$30,Homes_calc!$B244-2006,Homes_calc!T$35+1))</f>
        <v>0</v>
      </c>
      <c r="U244" s="21" cm="1">
        <f t="array" ref="U244">U190*(Houses_with_gas_22/Houses_with_plumbing_22)*(INDEX('DHW Mix'!$AI$7:$AS$30,Homes_calc!$B244-2006,Homes_calc!U$35+1))</f>
        <v>0</v>
      </c>
      <c r="V244" s="21" cm="1">
        <f t="array" ref="V244">V190*(Houses_with_gas_22/Houses_with_plumbing_22)*(INDEX('DHW Mix'!$AI$7:$AS$30,Homes_calc!$B244-2006,Homes_calc!V$35+1))</f>
        <v>0</v>
      </c>
      <c r="W244" s="21" cm="1">
        <f t="array" ref="W244">W190*(Houses_with_gas_22/Houses_with_plumbing_22)*(INDEX('DHW Mix'!$AI$7:$AS$30,Homes_calc!$B244-2006,Homes_calc!W$35+1))</f>
        <v>0</v>
      </c>
      <c r="X244" s="21" cm="1">
        <f t="array" ref="X244">X190*(Houses_with_gas_22/Houses_with_plumbing_22)*(INDEX('DHW Mix'!$AI$7:$AS$30,Homes_calc!$B244-2006,Homes_calc!X$35+1))</f>
        <v>0</v>
      </c>
      <c r="Y244" s="21" cm="1">
        <f t="array" ref="Y244">Y190*(Houses_with_gas_22/Houses_with_plumbing_22)*(INDEX('DHW Mix'!$AI$7:$AS$30,Homes_calc!$B244-2006,Homes_calc!Y$35+1))</f>
        <v>0</v>
      </c>
      <c r="Z244" s="21" cm="1">
        <f t="array" ref="Z244">Z190*(Houses_with_gas_22/Houses_with_plumbing_22)*(INDEX('DHW Mix'!$AI$7:$AS$30,Homes_calc!$B244-2006,Homes_calc!Z$35+1))</f>
        <v>0</v>
      </c>
      <c r="AA244" s="21" cm="1">
        <f t="array" ref="AA244">AA190*(Houses_with_gas_22/Houses_with_plumbing_22)*(INDEX('DHW Mix'!$AI$7:$AS$30,Homes_calc!$B244-2006,Homes_calc!AA$35+1))</f>
        <v>0</v>
      </c>
      <c r="AB244" s="21" cm="1">
        <f t="array" ref="AB244">AB190*(Houses_with_gas_22/Houses_with_plumbing_22)*(INDEX('DHW Mix'!$AI$7:$AS$30,Homes_calc!$B244-2006,Homes_calc!AB$35+1))</f>
        <v>0</v>
      </c>
      <c r="AC244" s="21" cm="1">
        <f t="array" ref="AC244">AC190*(Houses_with_gas_22/Houses_with_plumbing_22)*(INDEX('DHW Mix'!$AI$7:$AS$30,Homes_calc!$B244-2006,Homes_calc!AC$35+1))</f>
        <v>0</v>
      </c>
      <c r="AD244" s="21" cm="1">
        <f t="array" ref="AD244">AD190*(Houses_with_gas_22/Houses_with_plumbing_22)*(INDEX('DHW Mix'!$AI$7:$AS$30,Homes_calc!$B244-2006,Homes_calc!AD$35+1))</f>
        <v>0</v>
      </c>
      <c r="AE244" s="21" cm="1">
        <f t="array" ref="AE244">AE190*(Houses_with_gas_22/Houses_with_plumbing_22)*(INDEX('DHW Mix'!$AI$7:$AS$30,Homes_calc!$B244-2006,Homes_calc!AE$35+1))</f>
        <v>0</v>
      </c>
      <c r="AF244" s="21" cm="1">
        <f t="array" ref="AF244">AF190*(Houses_with_gas_22/Houses_with_plumbing_22)*(INDEX('DHW Mix'!$AI$7:$AS$30,Homes_calc!$B244-2006,Homes_calc!AF$35+1))</f>
        <v>0</v>
      </c>
      <c r="AG244" s="21" cm="1">
        <f t="array" ref="AG244">AG190*(Houses_with_gas_22/Houses_with_plumbing_22)*(INDEX('DHW Mix'!$AI$7:$AS$30,Homes_calc!$B244-2006,Homes_calc!AG$35+1))</f>
        <v>0</v>
      </c>
      <c r="AH244" s="21" cm="1">
        <f t="array" ref="AH244">AH190*(Houses_with_gas_22/Houses_with_plumbing_22)*(INDEX('DHW Mix'!$AI$7:$AS$30,Homes_calc!$B244-2006,Homes_calc!AH$35+1))</f>
        <v>0</v>
      </c>
      <c r="AI244" s="21" cm="1">
        <f t="array" ref="AI244">AI190*(Houses_with_gas_22/Houses_with_plumbing_22)*(INDEX('DHW Mix'!$AI$7:$AS$30,Homes_calc!$B244-2006,Homes_calc!AI$35+1))</f>
        <v>0</v>
      </c>
      <c r="AJ244" s="21" cm="1">
        <f t="array" ref="AJ244">AJ190*(Houses_with_gas_22/Houses_with_plumbing_22)*(INDEX('DHW Mix'!$AI$7:$AS$30,Homes_calc!$B244-2006,Homes_calc!AJ$35+1))</f>
        <v>0</v>
      </c>
      <c r="AK244" s="21" cm="1">
        <f t="array" ref="AK244">AK190*(Houses_with_gas_22/Houses_with_plumbing_22)*(INDEX('DHW Mix'!$AI$7:$AS$30,Homes_calc!$B244-2006,Homes_calc!AK$35+1))</f>
        <v>0</v>
      </c>
      <c r="AL244" s="21" cm="1">
        <f t="array" ref="AL244">AL190*(Houses_with_gas_22/Houses_with_plumbing_22)*(INDEX('DHW Mix'!$AI$7:$AS$30,Homes_calc!$B244-2006,Homes_calc!AL$35+1))</f>
        <v>0</v>
      </c>
      <c r="AM244" s="21" cm="1">
        <f t="array" ref="AM244">AM190*(Houses_with_gas_22/Houses_with_plumbing_22)*(INDEX('DHW Mix'!$AI$7:$AS$30,Homes_calc!$B244-2006,Homes_calc!AM$35+1))</f>
        <v>0</v>
      </c>
      <c r="AN244" s="21" cm="1">
        <f t="array" ref="AN244">AN190*(Houses_with_gas_22/Houses_with_plumbing_22)*(INDEX('DHW Mix'!$AI$7:$AS$30,Homes_calc!$B244-2006,Homes_calc!AN$35+1))</f>
        <v>0</v>
      </c>
      <c r="AO244" s="21" cm="1">
        <f t="array" ref="AO244">AO190*(Houses_with_gas_22/Houses_with_plumbing_22)*(INDEX('DHW Mix'!$AI$7:$AS$30,Homes_calc!$B244-2006,Homes_calc!AO$35+1))</f>
        <v>0</v>
      </c>
      <c r="AP244" s="21" cm="1">
        <f t="array" ref="AP244">AP190*(Houses_with_gas_22/Houses_with_plumbing_22)*(INDEX('DHW Mix'!$AI$7:$AS$30,Homes_calc!$B244-2006,Homes_calc!AP$35+1))</f>
        <v>0</v>
      </c>
      <c r="AQ244" s="21" cm="1">
        <f t="array" ref="AQ244">AQ190*(Houses_with_gas_22/Houses_with_plumbing_22)*(INDEX('DHW Mix'!$AI$7:$AS$30,Homes_calc!$B244-2006,Homes_calc!AQ$35+1))</f>
        <v>0</v>
      </c>
      <c r="AR244" s="21" cm="1">
        <f t="array" ref="AR244">AR190*(Houses_with_gas_22/Houses_with_plumbing_22)*(INDEX('DHW Mix'!$AI$7:$AS$30,Homes_calc!$B244-2006,Homes_calc!AR$35+1))</f>
        <v>0</v>
      </c>
      <c r="AS244" s="21" cm="1">
        <f t="array" ref="AS244">AS190*(Houses_with_gas_22/Houses_with_plumbing_22)*(INDEX('DHW Mix'!$AI$7:$AS$30,Homes_calc!$B244-2006,Homes_calc!AS$35+1))</f>
        <v>0</v>
      </c>
      <c r="AT244" s="21" cm="1">
        <f t="array" ref="AT244">AT190*(Houses_with_gas_22/Houses_with_plumbing_22)*(INDEX('DHW Mix'!$AI$7:$AS$30,Homes_calc!$B244-2006,Homes_calc!AT$35+1))</f>
        <v>0</v>
      </c>
      <c r="AU244" s="21" cm="1">
        <f t="array" ref="AU244">AU190*(Houses_with_gas_22/Houses_with_plumbing_22)*(INDEX('DHW Mix'!$AI$7:$AS$30,Homes_calc!$B244-2006,Homes_calc!AU$35+1))</f>
        <v>0</v>
      </c>
      <c r="AV244" s="21" cm="1">
        <f t="array" ref="AV244">AV190*(Houses_with_gas_22/Houses_with_plumbing_22)*(INDEX('DHW Mix'!$AI$7:$AS$30,Homes_calc!$B244-2006,Homes_calc!AV$35+1))</f>
        <v>0</v>
      </c>
      <c r="AW244" s="21" cm="1">
        <f t="array" ref="AW244">AW190*(Houses_with_gas_22/Houses_with_plumbing_22)*(INDEX('DHW Mix'!$AI$7:$AS$30,Homes_calc!$B244-2006,Homes_calc!AW$35+1))</f>
        <v>0</v>
      </c>
      <c r="AX244" s="21" cm="1">
        <f t="array" ref="AX244">AX190*(Houses_with_gas_22/Houses_with_plumbing_22)*(INDEX('DHW Mix'!$AI$7:$AS$30,Homes_calc!$B244-2006,Homes_calc!AX$35+1))</f>
        <v>0</v>
      </c>
      <c r="AY244" s="21" cm="1">
        <f t="array" ref="AY244">AY190*(Houses_with_gas_22/Houses_with_plumbing_22)*(INDEX('DHW Mix'!$AI$7:$AS$30,Homes_calc!$B244-2006,Homes_calc!AY$35+1))</f>
        <v>0</v>
      </c>
      <c r="AZ244" s="21" cm="1">
        <f t="array" ref="AZ244">AZ190*(Houses_with_gas_22/Houses_with_plumbing_22)*(INDEX('DHW Mix'!$AI$7:$AS$30,Homes_calc!$B244-2006,Homes_calc!AZ$35+1))</f>
        <v>0</v>
      </c>
      <c r="BA244" s="21" cm="1">
        <f t="array" ref="BA244">BA190*(Houses_with_gas_22/Houses_with_plumbing_22)*(INDEX('DHW Mix'!$AI$7:$AS$30,Homes_calc!$B244-2006,Homes_calc!BA$35+1))</f>
        <v>0</v>
      </c>
      <c r="BB244" s="21">
        <f t="shared" si="193"/>
        <v>0</v>
      </c>
    </row>
    <row r="245" spans="1:54">
      <c r="A245" s="456"/>
      <c r="B245" s="228">
        <v>2023</v>
      </c>
      <c r="C245" s="21" cm="1">
        <f t="array" ref="C245">C191*(Houses_with_gas_23/Houses_with_plumbing_23)*(INDEX('DHW Mix'!$AI$7:$AS$30,Homes_calc!$B245-2006,Homes_calc!C$35+1))</f>
        <v>0</v>
      </c>
      <c r="D245" s="21" cm="1">
        <f t="array" ref="D245">D191*(Houses_with_gas_23/Houses_with_plumbing_23)*(INDEX('DHW Mix'!$AI$7:$AS$30,Homes_calc!$B245-2006,Homes_calc!D$35+1))</f>
        <v>0</v>
      </c>
      <c r="E245" s="21" cm="1">
        <f t="array" ref="E245">E191*(Houses_with_gas_23/Houses_with_plumbing_23)*(INDEX('DHW Mix'!$AI$7:$AS$30,Homes_calc!$B245-2006,Homes_calc!E$35+1))</f>
        <v>0</v>
      </c>
      <c r="F245" s="21" cm="1">
        <f t="array" ref="F245">F191*(Houses_with_gas_23/Houses_with_plumbing_23)*(INDEX('DHW Mix'!$AI$7:$AS$30,Homes_calc!$B245-2006,Homes_calc!F$35+1))</f>
        <v>0</v>
      </c>
      <c r="G245" s="21" cm="1">
        <f t="array" ref="G245">G191*(Houses_with_gas_23/Houses_with_plumbing_23)*(INDEX('DHW Mix'!$AI$7:$AS$30,Homes_calc!$B245-2006,Homes_calc!G$35+1))</f>
        <v>0</v>
      </c>
      <c r="H245" s="21" cm="1">
        <f t="array" ref="H245">H191*(Houses_with_gas_23/Houses_with_plumbing_23)*(INDEX('DHW Mix'!$AI$7:$AS$30,Homes_calc!$B245-2006,Homes_calc!H$35+1))</f>
        <v>0</v>
      </c>
      <c r="I245" s="21" cm="1">
        <f t="array" ref="I245">I191*(Houses_with_gas_23/Houses_with_plumbing_23)*(INDEX('DHW Mix'!$AI$7:$AS$30,Homes_calc!$B245-2006,Homes_calc!I$35+1))</f>
        <v>0</v>
      </c>
      <c r="J245" s="21" cm="1">
        <f t="array" ref="J245">J191*(Houses_with_gas_23/Houses_with_plumbing_23)*(INDEX('DHW Mix'!$AI$7:$AS$30,Homes_calc!$B245-2006,Homes_calc!J$35+1))</f>
        <v>0</v>
      </c>
      <c r="K245" s="21" cm="1">
        <f t="array" ref="K245">K191*(Houses_with_gas_23/Houses_with_plumbing_23)*(INDEX('DHW Mix'!$AI$7:$AS$30,Homes_calc!$B245-2006,Homes_calc!K$35+1))</f>
        <v>0</v>
      </c>
      <c r="L245" s="21" cm="1">
        <f t="array" ref="L245">L191*(Houses_with_gas_23/Houses_with_plumbing_23)*(INDEX('DHW Mix'!$AI$7:$AS$30,Homes_calc!$B245-2006,Homes_calc!L$35+1))</f>
        <v>0</v>
      </c>
      <c r="M245" s="21" cm="1">
        <f t="array" ref="M245">M191*(Houses_with_gas_23/Houses_with_plumbing_23)*(INDEX('DHW Mix'!$AI$7:$AS$30,Homes_calc!$B245-2006,Homes_calc!M$35+1))</f>
        <v>0</v>
      </c>
      <c r="N245" s="21" cm="1">
        <f t="array" ref="N245">N191*(Houses_with_gas_23/Houses_with_plumbing_23)*(INDEX('DHW Mix'!$AI$7:$AS$30,Homes_calc!$B245-2006,Homes_calc!N$35+1))</f>
        <v>0</v>
      </c>
      <c r="O245" s="21" cm="1">
        <f t="array" ref="O245">O191*(Houses_with_gas_23/Houses_with_plumbing_23)*(INDEX('DHW Mix'!$AI$7:$AS$30,Homes_calc!$B245-2006,Homes_calc!O$35+1))</f>
        <v>0</v>
      </c>
      <c r="P245" s="21" cm="1">
        <f t="array" ref="P245">P191*(Houses_with_gas_23/Houses_with_plumbing_23)*(INDEX('DHW Mix'!$AI$7:$AS$30,Homes_calc!$B245-2006,Homes_calc!P$35+1))</f>
        <v>0</v>
      </c>
      <c r="Q245" s="21" cm="1">
        <f t="array" ref="Q245">Q191*(Houses_with_gas_23/Houses_with_plumbing_23)*(INDEX('DHW Mix'!$AI$7:$AS$30,Homes_calc!$B245-2006,Homes_calc!Q$35+1))</f>
        <v>0</v>
      </c>
      <c r="R245" s="21" cm="1">
        <f t="array" ref="R245">R191*(Houses_with_gas_23/Houses_with_plumbing_23)*(INDEX('DHW Mix'!$AI$7:$AS$30,Homes_calc!$B245-2006,Homes_calc!R$35+1))</f>
        <v>0</v>
      </c>
      <c r="S245" s="21" cm="1">
        <f t="array" ref="S245">S191*(Houses_with_gas_23/Houses_with_plumbing_23)*(INDEX('DHW Mix'!$AI$7:$AS$30,Homes_calc!$B245-2006,Homes_calc!S$35+1))</f>
        <v>0</v>
      </c>
      <c r="T245" s="21" cm="1">
        <f t="array" ref="T245">T191*(Houses_with_gas_23/Houses_with_plumbing_23)*(INDEX('DHW Mix'!$AI$7:$AS$30,Homes_calc!$B245-2006,Homes_calc!T$35+1))</f>
        <v>0</v>
      </c>
      <c r="U245" s="21" cm="1">
        <f t="array" ref="U245">U191*(Houses_with_gas_23/Houses_with_plumbing_23)*(INDEX('DHW Mix'!$AI$7:$AS$30,Homes_calc!$B245-2006,Homes_calc!U$35+1))</f>
        <v>0</v>
      </c>
      <c r="V245" s="21" cm="1">
        <f t="array" ref="V245">V191*(Houses_with_gas_23/Houses_with_plumbing_23)*(INDEX('DHW Mix'!$AI$7:$AS$30,Homes_calc!$B245-2006,Homes_calc!V$35+1))</f>
        <v>0</v>
      </c>
      <c r="W245" s="21" cm="1">
        <f t="array" ref="W245">W191*(Houses_with_gas_23/Houses_with_plumbing_23)*(INDEX('DHW Mix'!$AI$7:$AS$30,Homes_calc!$B245-2006,Homes_calc!W$35+1))</f>
        <v>0</v>
      </c>
      <c r="X245" s="21" cm="1">
        <f t="array" ref="X245">X191*(Houses_with_gas_23/Houses_with_plumbing_23)*(INDEX('DHW Mix'!$AI$7:$AS$30,Homes_calc!$B245-2006,Homes_calc!X$35+1))</f>
        <v>0</v>
      </c>
      <c r="Y245" s="21" cm="1">
        <f t="array" ref="Y245">Y191*(Houses_with_gas_23/Houses_with_plumbing_23)*(INDEX('DHW Mix'!$AI$7:$AS$30,Homes_calc!$B245-2006,Homes_calc!Y$35+1))</f>
        <v>0</v>
      </c>
      <c r="Z245" s="21" cm="1">
        <f t="array" ref="Z245">Z191*(Houses_with_gas_23/Houses_with_plumbing_23)*(INDEX('DHW Mix'!$AI$7:$AS$30,Homes_calc!$B245-2006,Homes_calc!Z$35+1))</f>
        <v>0</v>
      </c>
      <c r="AA245" s="21" cm="1">
        <f t="array" ref="AA245">AA191*(Houses_with_gas_23/Houses_with_plumbing_23)*(INDEX('DHW Mix'!$AI$7:$AS$30,Homes_calc!$B245-2006,Homes_calc!AA$35+1))</f>
        <v>0</v>
      </c>
      <c r="AB245" s="21" cm="1">
        <f t="array" ref="AB245">AB191*(Houses_with_gas_23/Houses_with_plumbing_23)*(INDEX('DHW Mix'!$AI$7:$AS$30,Homes_calc!$B245-2006,Homes_calc!AB$35+1))</f>
        <v>0</v>
      </c>
      <c r="AC245" s="21" cm="1">
        <f t="array" ref="AC245">AC191*(Houses_with_gas_23/Houses_with_plumbing_23)*(INDEX('DHW Mix'!$AI$7:$AS$30,Homes_calc!$B245-2006,Homes_calc!AC$35+1))</f>
        <v>0</v>
      </c>
      <c r="AD245" s="21" cm="1">
        <f t="array" ref="AD245">AD191*(Houses_with_gas_23/Houses_with_plumbing_23)*(INDEX('DHW Mix'!$AI$7:$AS$30,Homes_calc!$B245-2006,Homes_calc!AD$35+1))</f>
        <v>0</v>
      </c>
      <c r="AE245" s="21" cm="1">
        <f t="array" ref="AE245">AE191*(Houses_with_gas_23/Houses_with_plumbing_23)*(INDEX('DHW Mix'!$AI$7:$AS$30,Homes_calc!$B245-2006,Homes_calc!AE$35+1))</f>
        <v>0</v>
      </c>
      <c r="AF245" s="21" cm="1">
        <f t="array" ref="AF245">AF191*(Houses_with_gas_23/Houses_with_plumbing_23)*(INDEX('DHW Mix'!$AI$7:$AS$30,Homes_calc!$B245-2006,Homes_calc!AF$35+1))</f>
        <v>0</v>
      </c>
      <c r="AG245" s="21" cm="1">
        <f t="array" ref="AG245">AG191*(Houses_with_gas_23/Houses_with_plumbing_23)*(INDEX('DHW Mix'!$AI$7:$AS$30,Homes_calc!$B245-2006,Homes_calc!AG$35+1))</f>
        <v>0</v>
      </c>
      <c r="AH245" s="21" cm="1">
        <f t="array" ref="AH245">AH191*(Houses_with_gas_23/Houses_with_plumbing_23)*(INDEX('DHW Mix'!$AI$7:$AS$30,Homes_calc!$B245-2006,Homes_calc!AH$35+1))</f>
        <v>0</v>
      </c>
      <c r="AI245" s="21" cm="1">
        <f t="array" ref="AI245">AI191*(Houses_with_gas_23/Houses_with_plumbing_23)*(INDEX('DHW Mix'!$AI$7:$AS$30,Homes_calc!$B245-2006,Homes_calc!AI$35+1))</f>
        <v>0</v>
      </c>
      <c r="AJ245" s="21" cm="1">
        <f t="array" ref="AJ245">AJ191*(Houses_with_gas_23/Houses_with_plumbing_23)*(INDEX('DHW Mix'!$AI$7:$AS$30,Homes_calc!$B245-2006,Homes_calc!AJ$35+1))</f>
        <v>0</v>
      </c>
      <c r="AK245" s="21" cm="1">
        <f t="array" ref="AK245">AK191*(Houses_with_gas_23/Houses_with_plumbing_23)*(INDEX('DHW Mix'!$AI$7:$AS$30,Homes_calc!$B245-2006,Homes_calc!AK$35+1))</f>
        <v>0</v>
      </c>
      <c r="AL245" s="21" cm="1">
        <f t="array" ref="AL245">AL191*(Houses_with_gas_23/Houses_with_plumbing_23)*(INDEX('DHW Mix'!$AI$7:$AS$30,Homes_calc!$B245-2006,Homes_calc!AL$35+1))</f>
        <v>0</v>
      </c>
      <c r="AM245" s="21" cm="1">
        <f t="array" ref="AM245">AM191*(Houses_with_gas_23/Houses_with_plumbing_23)*(INDEX('DHW Mix'!$AI$7:$AS$30,Homes_calc!$B245-2006,Homes_calc!AM$35+1))</f>
        <v>0</v>
      </c>
      <c r="AN245" s="21" cm="1">
        <f t="array" ref="AN245">AN191*(Houses_with_gas_23/Houses_with_plumbing_23)*(INDEX('DHW Mix'!$AI$7:$AS$30,Homes_calc!$B245-2006,Homes_calc!AN$35+1))</f>
        <v>0</v>
      </c>
      <c r="AO245" s="21" cm="1">
        <f t="array" ref="AO245">AO191*(Houses_with_gas_23/Houses_with_plumbing_23)*(INDEX('DHW Mix'!$AI$7:$AS$30,Homes_calc!$B245-2006,Homes_calc!AO$35+1))</f>
        <v>0</v>
      </c>
      <c r="AP245" s="21" cm="1">
        <f t="array" ref="AP245">AP191*(Houses_with_gas_23/Houses_with_plumbing_23)*(INDEX('DHW Mix'!$AI$7:$AS$30,Homes_calc!$B245-2006,Homes_calc!AP$35+1))</f>
        <v>0</v>
      </c>
      <c r="AQ245" s="21" cm="1">
        <f t="array" ref="AQ245">AQ191*(Houses_with_gas_23/Houses_with_plumbing_23)*(INDEX('DHW Mix'!$AI$7:$AS$30,Homes_calc!$B245-2006,Homes_calc!AQ$35+1))</f>
        <v>0</v>
      </c>
      <c r="AR245" s="21" cm="1">
        <f t="array" ref="AR245">AR191*(Houses_with_gas_23/Houses_with_plumbing_23)*(INDEX('DHW Mix'!$AI$7:$AS$30,Homes_calc!$B245-2006,Homes_calc!AR$35+1))</f>
        <v>0</v>
      </c>
      <c r="AS245" s="21" cm="1">
        <f t="array" ref="AS245">AS191*(Houses_with_gas_23/Houses_with_plumbing_23)*(INDEX('DHW Mix'!$AI$7:$AS$30,Homes_calc!$B245-2006,Homes_calc!AS$35+1))</f>
        <v>0</v>
      </c>
      <c r="AT245" s="21" cm="1">
        <f t="array" ref="AT245">AT191*(Houses_with_gas_23/Houses_with_plumbing_23)*(INDEX('DHW Mix'!$AI$7:$AS$30,Homes_calc!$B245-2006,Homes_calc!AT$35+1))</f>
        <v>0</v>
      </c>
      <c r="AU245" s="21" cm="1">
        <f t="array" ref="AU245">AU191*(Houses_with_gas_23/Houses_with_plumbing_23)*(INDEX('DHW Mix'!$AI$7:$AS$30,Homes_calc!$B245-2006,Homes_calc!AU$35+1))</f>
        <v>0</v>
      </c>
      <c r="AV245" s="21" cm="1">
        <f t="array" ref="AV245">AV191*(Houses_with_gas_23/Houses_with_plumbing_23)*(INDEX('DHW Mix'!$AI$7:$AS$30,Homes_calc!$B245-2006,Homes_calc!AV$35+1))</f>
        <v>0</v>
      </c>
      <c r="AW245" s="21" cm="1">
        <f t="array" ref="AW245">AW191*(Houses_with_gas_23/Houses_with_plumbing_23)*(INDEX('DHW Mix'!$AI$7:$AS$30,Homes_calc!$B245-2006,Homes_calc!AW$35+1))</f>
        <v>0</v>
      </c>
      <c r="AX245" s="21" cm="1">
        <f t="array" ref="AX245">AX191*(Houses_with_gas_23/Houses_with_plumbing_23)*(INDEX('DHW Mix'!$AI$7:$AS$30,Homes_calc!$B245-2006,Homes_calc!AX$35+1))</f>
        <v>0</v>
      </c>
      <c r="AY245" s="21" cm="1">
        <f t="array" ref="AY245">AY191*(Houses_with_gas_23/Houses_with_plumbing_23)*(INDEX('DHW Mix'!$AI$7:$AS$30,Homes_calc!$B245-2006,Homes_calc!AY$35+1))</f>
        <v>0</v>
      </c>
      <c r="AZ245" s="21" cm="1">
        <f t="array" ref="AZ245">AZ191*(Houses_with_gas_23/Houses_with_plumbing_23)*(INDEX('DHW Mix'!$AI$7:$AS$30,Homes_calc!$B245-2006,Homes_calc!AZ$35+1))</f>
        <v>0</v>
      </c>
      <c r="BA245" s="21" cm="1">
        <f t="array" ref="BA245">BA191*(Houses_with_gas_23/Houses_with_plumbing_23)*(INDEX('DHW Mix'!$AI$7:$AS$30,Homes_calc!$B245-2006,Homes_calc!BA$35+1))</f>
        <v>0</v>
      </c>
      <c r="BB245" s="21">
        <f t="shared" si="193"/>
        <v>0</v>
      </c>
    </row>
    <row r="246" spans="1:54">
      <c r="A246" s="456"/>
      <c r="B246" s="226">
        <v>2024</v>
      </c>
      <c r="C246" s="21" cm="1">
        <f t="array" ref="C246">C192*(Houses_with_gas_24/Houses_with_plumbing_24)*(INDEX('DHW Mix'!$AI$7:$AS$30,Homes_calc!$B246-2006,Homes_calc!C$35+1))</f>
        <v>0</v>
      </c>
      <c r="D246" s="21" cm="1">
        <f t="array" ref="D246">D192*(Houses_with_gas_24/Houses_with_plumbing_24)*(INDEX('DHW Mix'!$AI$7:$AS$30,Homes_calc!$B246-2006,Homes_calc!D$35+1))</f>
        <v>0</v>
      </c>
      <c r="E246" s="21" cm="1">
        <f t="array" ref="E246">E192*(Houses_with_gas_24/Houses_with_plumbing_24)*(INDEX('DHW Mix'!$AI$7:$AS$30,Homes_calc!$B246-2006,Homes_calc!E$35+1))</f>
        <v>0</v>
      </c>
      <c r="F246" s="21" cm="1">
        <f t="array" ref="F246">F192*(Houses_with_gas_24/Houses_with_plumbing_24)*(INDEX('DHW Mix'!$AI$7:$AS$30,Homes_calc!$B246-2006,Homes_calc!F$35+1))</f>
        <v>0</v>
      </c>
      <c r="G246" s="21" cm="1">
        <f t="array" ref="G246">G192*(Houses_with_gas_24/Houses_with_plumbing_24)*(INDEX('DHW Mix'!$AI$7:$AS$30,Homes_calc!$B246-2006,Homes_calc!G$35+1))</f>
        <v>0</v>
      </c>
      <c r="H246" s="21" cm="1">
        <f t="array" ref="H246">H192*(Houses_with_gas_24/Houses_with_plumbing_24)*(INDEX('DHW Mix'!$AI$7:$AS$30,Homes_calc!$B246-2006,Homes_calc!H$35+1))</f>
        <v>0</v>
      </c>
      <c r="I246" s="21" cm="1">
        <f t="array" ref="I246">I192*(Houses_with_gas_24/Houses_with_plumbing_24)*(INDEX('DHW Mix'!$AI$7:$AS$30,Homes_calc!$B246-2006,Homes_calc!I$35+1))</f>
        <v>0</v>
      </c>
      <c r="J246" s="21" cm="1">
        <f t="array" ref="J246">J192*(Houses_with_gas_24/Houses_with_plumbing_24)*(INDEX('DHW Mix'!$AI$7:$AS$30,Homes_calc!$B246-2006,Homes_calc!J$35+1))</f>
        <v>0</v>
      </c>
      <c r="K246" s="21" cm="1">
        <f t="array" ref="K246">K192*(Houses_with_gas_24/Houses_with_plumbing_24)*(INDEX('DHW Mix'!$AI$7:$AS$30,Homes_calc!$B246-2006,Homes_calc!K$35+1))</f>
        <v>0</v>
      </c>
      <c r="L246" s="21" cm="1">
        <f t="array" ref="L246">L192*(Houses_with_gas_24/Houses_with_plumbing_24)*(INDEX('DHW Mix'!$AI$7:$AS$30,Homes_calc!$B246-2006,Homes_calc!L$35+1))</f>
        <v>0</v>
      </c>
      <c r="M246" s="21" cm="1">
        <f t="array" ref="M246">M192*(Houses_with_gas_24/Houses_with_plumbing_24)*(INDEX('DHW Mix'!$AI$7:$AS$30,Homes_calc!$B246-2006,Homes_calc!M$35+1))</f>
        <v>0</v>
      </c>
      <c r="N246" s="21" cm="1">
        <f t="array" ref="N246">N192*(Houses_with_gas_24/Houses_with_plumbing_24)*(INDEX('DHW Mix'!$AI$7:$AS$30,Homes_calc!$B246-2006,Homes_calc!N$35+1))</f>
        <v>0</v>
      </c>
      <c r="O246" s="21" cm="1">
        <f t="array" ref="O246">O192*(Houses_with_gas_24/Houses_with_plumbing_24)*(INDEX('DHW Mix'!$AI$7:$AS$30,Homes_calc!$B246-2006,Homes_calc!O$35+1))</f>
        <v>0</v>
      </c>
      <c r="P246" s="21" cm="1">
        <f t="array" ref="P246">P192*(Houses_with_gas_24/Houses_with_plumbing_24)*(INDEX('DHW Mix'!$AI$7:$AS$30,Homes_calc!$B246-2006,Homes_calc!P$35+1))</f>
        <v>0</v>
      </c>
      <c r="Q246" s="21" cm="1">
        <f t="array" ref="Q246">Q192*(Houses_with_gas_24/Houses_with_plumbing_24)*(INDEX('DHW Mix'!$AI$7:$AS$30,Homes_calc!$B246-2006,Homes_calc!Q$35+1))</f>
        <v>0</v>
      </c>
      <c r="R246" s="21" cm="1">
        <f t="array" ref="R246">R192*(Houses_with_gas_24/Houses_with_plumbing_24)*(INDEX('DHW Mix'!$AI$7:$AS$30,Homes_calc!$B246-2006,Homes_calc!R$35+1))</f>
        <v>0</v>
      </c>
      <c r="S246" s="21" cm="1">
        <f t="array" ref="S246">S192*(Houses_with_gas_24/Houses_with_plumbing_24)*(INDEX('DHW Mix'!$AI$7:$AS$30,Homes_calc!$B246-2006,Homes_calc!S$35+1))</f>
        <v>0</v>
      </c>
      <c r="T246" s="21" cm="1">
        <f t="array" ref="T246">T192*(Houses_with_gas_24/Houses_with_plumbing_24)*(INDEX('DHW Mix'!$AI$7:$AS$30,Homes_calc!$B246-2006,Homes_calc!T$35+1))</f>
        <v>0</v>
      </c>
      <c r="U246" s="21" cm="1">
        <f t="array" ref="U246">U192*(Houses_with_gas_24/Houses_with_plumbing_24)*(INDEX('DHW Mix'!$AI$7:$AS$30,Homes_calc!$B246-2006,Homes_calc!U$35+1))</f>
        <v>0</v>
      </c>
      <c r="V246" s="21" cm="1">
        <f t="array" ref="V246">V192*(Houses_with_gas_24/Houses_with_plumbing_24)*(INDEX('DHW Mix'!$AI$7:$AS$30,Homes_calc!$B246-2006,Homes_calc!V$35+1))</f>
        <v>0</v>
      </c>
      <c r="W246" s="21" cm="1">
        <f t="array" ref="W246">W192*(Houses_with_gas_24/Houses_with_plumbing_24)*(INDEX('DHW Mix'!$AI$7:$AS$30,Homes_calc!$B246-2006,Homes_calc!W$35+1))</f>
        <v>0</v>
      </c>
      <c r="X246" s="21" cm="1">
        <f t="array" ref="X246">X192*(Houses_with_gas_24/Houses_with_plumbing_24)*(INDEX('DHW Mix'!$AI$7:$AS$30,Homes_calc!$B246-2006,Homes_calc!X$35+1))</f>
        <v>0</v>
      </c>
      <c r="Y246" s="21" cm="1">
        <f t="array" ref="Y246">Y192*(Houses_with_gas_24/Houses_with_plumbing_24)*(INDEX('DHW Mix'!$AI$7:$AS$30,Homes_calc!$B246-2006,Homes_calc!Y$35+1))</f>
        <v>0</v>
      </c>
      <c r="Z246" s="21" cm="1">
        <f t="array" ref="Z246">Z192*(Houses_with_gas_24/Houses_with_plumbing_24)*(INDEX('DHW Mix'!$AI$7:$AS$30,Homes_calc!$B246-2006,Homes_calc!Z$35+1))</f>
        <v>0</v>
      </c>
      <c r="AA246" s="21" cm="1">
        <f t="array" ref="AA246">AA192*(Houses_with_gas_24/Houses_with_plumbing_24)*(INDEX('DHW Mix'!$AI$7:$AS$30,Homes_calc!$B246-2006,Homes_calc!AA$35+1))</f>
        <v>0</v>
      </c>
      <c r="AB246" s="21" cm="1">
        <f t="array" ref="AB246">AB192*(Houses_with_gas_24/Houses_with_plumbing_24)*(INDEX('DHW Mix'!$AI$7:$AS$30,Homes_calc!$B246-2006,Homes_calc!AB$35+1))</f>
        <v>0</v>
      </c>
      <c r="AC246" s="21" cm="1">
        <f t="array" ref="AC246">AC192*(Houses_with_gas_24/Houses_with_plumbing_24)*(INDEX('DHW Mix'!$AI$7:$AS$30,Homes_calc!$B246-2006,Homes_calc!AC$35+1))</f>
        <v>0</v>
      </c>
      <c r="AD246" s="21" cm="1">
        <f t="array" ref="AD246">AD192*(Houses_with_gas_24/Houses_with_plumbing_24)*(INDEX('DHW Mix'!$AI$7:$AS$30,Homes_calc!$B246-2006,Homes_calc!AD$35+1))</f>
        <v>0</v>
      </c>
      <c r="AE246" s="21" cm="1">
        <f t="array" ref="AE246">AE192*(Houses_with_gas_24/Houses_with_plumbing_24)*(INDEX('DHW Mix'!$AI$7:$AS$30,Homes_calc!$B246-2006,Homes_calc!AE$35+1))</f>
        <v>0</v>
      </c>
      <c r="AF246" s="21" cm="1">
        <f t="array" ref="AF246">AF192*(Houses_with_gas_24/Houses_with_plumbing_24)*(INDEX('DHW Mix'!$AI$7:$AS$30,Homes_calc!$B246-2006,Homes_calc!AF$35+1))</f>
        <v>0</v>
      </c>
      <c r="AG246" s="21" cm="1">
        <f t="array" ref="AG246">AG192*(Houses_with_gas_24/Houses_with_plumbing_24)*(INDEX('DHW Mix'!$AI$7:$AS$30,Homes_calc!$B246-2006,Homes_calc!AG$35+1))</f>
        <v>0</v>
      </c>
      <c r="AH246" s="21" cm="1">
        <f t="array" ref="AH246">AH192*(Houses_with_gas_24/Houses_with_plumbing_24)*(INDEX('DHW Mix'!$AI$7:$AS$30,Homes_calc!$B246-2006,Homes_calc!AH$35+1))</f>
        <v>0</v>
      </c>
      <c r="AI246" s="21" cm="1">
        <f t="array" ref="AI246">AI192*(Houses_with_gas_24/Houses_with_plumbing_24)*(INDEX('DHW Mix'!$AI$7:$AS$30,Homes_calc!$B246-2006,Homes_calc!AI$35+1))</f>
        <v>0</v>
      </c>
      <c r="AJ246" s="21" cm="1">
        <f t="array" ref="AJ246">AJ192*(Houses_with_gas_24/Houses_with_plumbing_24)*(INDEX('DHW Mix'!$AI$7:$AS$30,Homes_calc!$B246-2006,Homes_calc!AJ$35+1))</f>
        <v>0</v>
      </c>
      <c r="AK246" s="21" cm="1">
        <f t="array" ref="AK246">AK192*(Houses_with_gas_24/Houses_with_plumbing_24)*(INDEX('DHW Mix'!$AI$7:$AS$30,Homes_calc!$B246-2006,Homes_calc!AK$35+1))</f>
        <v>0</v>
      </c>
      <c r="AL246" s="21" cm="1">
        <f t="array" ref="AL246">AL192*(Houses_with_gas_24/Houses_with_plumbing_24)*(INDEX('DHW Mix'!$AI$7:$AS$30,Homes_calc!$B246-2006,Homes_calc!AL$35+1))</f>
        <v>0</v>
      </c>
      <c r="AM246" s="21" cm="1">
        <f t="array" ref="AM246">AM192*(Houses_with_gas_24/Houses_with_plumbing_24)*(INDEX('DHW Mix'!$AI$7:$AS$30,Homes_calc!$B246-2006,Homes_calc!AM$35+1))</f>
        <v>0</v>
      </c>
      <c r="AN246" s="21" cm="1">
        <f t="array" ref="AN246">AN192*(Houses_with_gas_24/Houses_with_plumbing_24)*(INDEX('DHW Mix'!$AI$7:$AS$30,Homes_calc!$B246-2006,Homes_calc!AN$35+1))</f>
        <v>0</v>
      </c>
      <c r="AO246" s="21" cm="1">
        <f t="array" ref="AO246">AO192*(Houses_with_gas_24/Houses_with_plumbing_24)*(INDEX('DHW Mix'!$AI$7:$AS$30,Homes_calc!$B246-2006,Homes_calc!AO$35+1))</f>
        <v>0</v>
      </c>
      <c r="AP246" s="21" cm="1">
        <f t="array" ref="AP246">AP192*(Houses_with_gas_24/Houses_with_plumbing_24)*(INDEX('DHW Mix'!$AI$7:$AS$30,Homes_calc!$B246-2006,Homes_calc!AP$35+1))</f>
        <v>0</v>
      </c>
      <c r="AQ246" s="21" cm="1">
        <f t="array" ref="AQ246">AQ192*(Houses_with_gas_24/Houses_with_plumbing_24)*(INDEX('DHW Mix'!$AI$7:$AS$30,Homes_calc!$B246-2006,Homes_calc!AQ$35+1))</f>
        <v>0</v>
      </c>
      <c r="AR246" s="21" cm="1">
        <f t="array" ref="AR246">AR192*(Houses_with_gas_24/Houses_with_plumbing_24)*(INDEX('DHW Mix'!$AI$7:$AS$30,Homes_calc!$B246-2006,Homes_calc!AR$35+1))</f>
        <v>0</v>
      </c>
      <c r="AS246" s="21" cm="1">
        <f t="array" ref="AS246">AS192*(Houses_with_gas_24/Houses_with_plumbing_24)*(INDEX('DHW Mix'!$AI$7:$AS$30,Homes_calc!$B246-2006,Homes_calc!AS$35+1))</f>
        <v>0</v>
      </c>
      <c r="AT246" s="21" cm="1">
        <f t="array" ref="AT246">AT192*(Houses_with_gas_24/Houses_with_plumbing_24)*(INDEX('DHW Mix'!$AI$7:$AS$30,Homes_calc!$B246-2006,Homes_calc!AT$35+1))</f>
        <v>0</v>
      </c>
      <c r="AU246" s="21" cm="1">
        <f t="array" ref="AU246">AU192*(Houses_with_gas_24/Houses_with_plumbing_24)*(INDEX('DHW Mix'!$AI$7:$AS$30,Homes_calc!$B246-2006,Homes_calc!AU$35+1))</f>
        <v>0</v>
      </c>
      <c r="AV246" s="21" cm="1">
        <f t="array" ref="AV246">AV192*(Houses_with_gas_24/Houses_with_plumbing_24)*(INDEX('DHW Mix'!$AI$7:$AS$30,Homes_calc!$B246-2006,Homes_calc!AV$35+1))</f>
        <v>0</v>
      </c>
      <c r="AW246" s="21" cm="1">
        <f t="array" ref="AW246">AW192*(Houses_with_gas_24/Houses_with_plumbing_24)*(INDEX('DHW Mix'!$AI$7:$AS$30,Homes_calc!$B246-2006,Homes_calc!AW$35+1))</f>
        <v>0</v>
      </c>
      <c r="AX246" s="21" cm="1">
        <f t="array" ref="AX246">AX192*(Houses_with_gas_24/Houses_with_plumbing_24)*(INDEX('DHW Mix'!$AI$7:$AS$30,Homes_calc!$B246-2006,Homes_calc!AX$35+1))</f>
        <v>0</v>
      </c>
      <c r="AY246" s="21" cm="1">
        <f t="array" ref="AY246">AY192*(Houses_with_gas_24/Houses_with_plumbing_24)*(INDEX('DHW Mix'!$AI$7:$AS$30,Homes_calc!$B246-2006,Homes_calc!AY$35+1))</f>
        <v>0</v>
      </c>
      <c r="AZ246" s="21" cm="1">
        <f t="array" ref="AZ246">AZ192*(Houses_with_gas_24/Houses_with_plumbing_24)*(INDEX('DHW Mix'!$AI$7:$AS$30,Homes_calc!$B246-2006,Homes_calc!AZ$35+1))</f>
        <v>0</v>
      </c>
      <c r="BA246" s="21" cm="1">
        <f t="array" ref="BA246">BA192*(Houses_with_gas_24/Houses_with_plumbing_24)*(INDEX('DHW Mix'!$AI$7:$AS$30,Homes_calc!$B246-2006,Homes_calc!BA$35+1))</f>
        <v>0</v>
      </c>
      <c r="BB246" s="21">
        <f t="shared" si="193"/>
        <v>0</v>
      </c>
    </row>
    <row r="247" spans="1:54">
      <c r="A247" s="456"/>
      <c r="B247" s="228">
        <v>2025</v>
      </c>
      <c r="C247" s="323" t="e" cm="1">
        <f t="array" ref="C247">C193*(Houses_with_gas_25/Houses_with_plumbing_25)*(INDEX('DHW Mix'!$AI$7:$AS$30,Homes_calc!$B247-2006,Homes_calc!C$35+1))</f>
        <v>#DIV/0!</v>
      </c>
      <c r="D247" s="323" t="e" cm="1">
        <f t="array" ref="D247">D193*(Houses_with_gas_25/Houses_with_plumbing_25)*(INDEX('DHW Mix'!$AI$7:$AS$30,Homes_calc!$B247-2006,Homes_calc!D$35+1))</f>
        <v>#DIV/0!</v>
      </c>
      <c r="E247" s="323" t="e" cm="1">
        <f t="array" ref="E247">E193*(Houses_with_gas_25/Houses_with_plumbing_25)*(INDEX('DHW Mix'!$AI$7:$AS$30,Homes_calc!$B247-2006,Homes_calc!E$35+1))</f>
        <v>#DIV/0!</v>
      </c>
      <c r="F247" s="323" t="e" cm="1">
        <f t="array" ref="F247">F193*(Houses_with_gas_25/Houses_with_plumbing_25)*(INDEX('DHW Mix'!$AI$7:$AS$30,Homes_calc!$B247-2006,Homes_calc!F$35+1))</f>
        <v>#DIV/0!</v>
      </c>
      <c r="G247" s="323" t="e" cm="1">
        <f t="array" ref="G247">G193*(Houses_with_gas_25/Houses_with_plumbing_25)*(INDEX('DHW Mix'!$AI$7:$AS$30,Homes_calc!$B247-2006,Homes_calc!G$35+1))</f>
        <v>#DIV/0!</v>
      </c>
      <c r="H247" s="323" t="e" cm="1">
        <f t="array" ref="H247">H193*(Houses_with_gas_25/Houses_with_plumbing_25)*(INDEX('DHW Mix'!$AI$7:$AS$30,Homes_calc!$B247-2006,Homes_calc!H$35+1))</f>
        <v>#DIV/0!</v>
      </c>
      <c r="I247" s="323" t="e" cm="1">
        <f t="array" ref="I247">I193*(Houses_with_gas_25/Houses_with_plumbing_25)*(INDEX('DHW Mix'!$AI$7:$AS$30,Homes_calc!$B247-2006,Homes_calc!I$35+1))</f>
        <v>#DIV/0!</v>
      </c>
      <c r="J247" s="323" t="e" cm="1">
        <f t="array" ref="J247">J193*(Houses_with_gas_25/Houses_with_plumbing_25)*(INDEX('DHW Mix'!$AI$7:$AS$30,Homes_calc!$B247-2006,Homes_calc!J$35+1))</f>
        <v>#DIV/0!</v>
      </c>
      <c r="K247" s="323" t="e" cm="1">
        <f t="array" ref="K247">K193*(Houses_with_gas_25/Houses_with_plumbing_25)*(INDEX('DHW Mix'!$AI$7:$AS$30,Homes_calc!$B247-2006,Homes_calc!K$35+1))</f>
        <v>#DIV/0!</v>
      </c>
      <c r="L247" s="323" t="e" cm="1">
        <f t="array" ref="L247">L193*(Houses_with_gas_25/Houses_with_plumbing_25)*(INDEX('DHW Mix'!$AI$7:$AS$30,Homes_calc!$B247-2006,Homes_calc!L$35+1))</f>
        <v>#DIV/0!</v>
      </c>
      <c r="M247" s="323" t="e" cm="1">
        <f t="array" ref="M247">M193*(Houses_with_gas_25/Houses_with_plumbing_25)*(INDEX('DHW Mix'!$AI$7:$AS$30,Homes_calc!$B247-2006,Homes_calc!M$35+1))</f>
        <v>#DIV/0!</v>
      </c>
      <c r="N247" s="323" t="e" cm="1">
        <f t="array" ref="N247">N193*(Houses_with_gas_25/Houses_with_plumbing_25)*(INDEX('DHW Mix'!$AI$7:$AS$30,Homes_calc!$B247-2006,Homes_calc!N$35+1))</f>
        <v>#DIV/0!</v>
      </c>
      <c r="O247" s="323" t="e" cm="1">
        <f t="array" ref="O247">O193*(Houses_with_gas_25/Houses_with_plumbing_25)*(INDEX('DHW Mix'!$AI$7:$AS$30,Homes_calc!$B247-2006,Homes_calc!O$35+1))</f>
        <v>#DIV/0!</v>
      </c>
      <c r="P247" s="323" t="e" cm="1">
        <f t="array" ref="P247">P193*(Houses_with_gas_25/Houses_with_plumbing_25)*(INDEX('DHW Mix'!$AI$7:$AS$30,Homes_calc!$B247-2006,Homes_calc!P$35+1))</f>
        <v>#DIV/0!</v>
      </c>
      <c r="Q247" s="323" t="e" cm="1">
        <f t="array" ref="Q247">Q193*(Houses_with_gas_25/Houses_with_plumbing_25)*(INDEX('DHW Mix'!$AI$7:$AS$30,Homes_calc!$B247-2006,Homes_calc!Q$35+1))</f>
        <v>#DIV/0!</v>
      </c>
      <c r="R247" s="323" t="e" cm="1">
        <f t="array" ref="R247">R193*(Houses_with_gas_25/Houses_with_plumbing_25)*(INDEX('DHW Mix'!$AI$7:$AS$30,Homes_calc!$B247-2006,Homes_calc!R$35+1))</f>
        <v>#DIV/0!</v>
      </c>
      <c r="S247" s="323" t="e" cm="1">
        <f t="array" ref="S247">S193*(Houses_with_gas_25/Houses_with_plumbing_25)*(INDEX('DHW Mix'!$AI$7:$AS$30,Homes_calc!$B247-2006,Homes_calc!S$35+1))</f>
        <v>#DIV/0!</v>
      </c>
      <c r="T247" s="323" t="e" cm="1">
        <f t="array" ref="T247">T193*(Houses_with_gas_25/Houses_with_plumbing_25)*(INDEX('DHW Mix'!$AI$7:$AS$30,Homes_calc!$B247-2006,Homes_calc!T$35+1))</f>
        <v>#DIV/0!</v>
      </c>
      <c r="U247" s="323" t="e" cm="1">
        <f t="array" ref="U247">U193*(Houses_with_gas_25/Houses_with_plumbing_25)*(INDEX('DHW Mix'!$AI$7:$AS$30,Homes_calc!$B247-2006,Homes_calc!U$35+1))</f>
        <v>#DIV/0!</v>
      </c>
      <c r="V247" s="323" t="e" cm="1">
        <f t="array" ref="V247">V193*(Houses_with_gas_25/Houses_with_plumbing_25)*(INDEX('DHW Mix'!$AI$7:$AS$30,Homes_calc!$B247-2006,Homes_calc!V$35+1))</f>
        <v>#DIV/0!</v>
      </c>
      <c r="W247" s="323" t="e" cm="1">
        <f t="array" ref="W247">W193*(Houses_with_gas_25/Houses_with_plumbing_25)*(INDEX('DHW Mix'!$AI$7:$AS$30,Homes_calc!$B247-2006,Homes_calc!W$35+1))</f>
        <v>#DIV/0!</v>
      </c>
      <c r="X247" s="323" t="e" cm="1">
        <f t="array" ref="X247">X193*(Houses_with_gas_25/Houses_with_plumbing_25)*(INDEX('DHW Mix'!$AI$7:$AS$30,Homes_calc!$B247-2006,Homes_calc!X$35+1))</f>
        <v>#DIV/0!</v>
      </c>
      <c r="Y247" s="323" t="e" cm="1">
        <f t="array" ref="Y247">Y193*(Houses_with_gas_25/Houses_with_plumbing_25)*(INDEX('DHW Mix'!$AI$7:$AS$30,Homes_calc!$B247-2006,Homes_calc!Y$35+1))</f>
        <v>#DIV/0!</v>
      </c>
      <c r="Z247" s="323" t="e" cm="1">
        <f t="array" ref="Z247">Z193*(Houses_with_gas_25/Houses_with_plumbing_25)*(INDEX('DHW Mix'!$AI$7:$AS$30,Homes_calc!$B247-2006,Homes_calc!Z$35+1))</f>
        <v>#DIV/0!</v>
      </c>
      <c r="AA247" s="323" t="e" cm="1">
        <f t="array" ref="AA247">AA193*(Houses_with_gas_25/Houses_with_plumbing_25)*(INDEX('DHW Mix'!$AI$7:$AS$30,Homes_calc!$B247-2006,Homes_calc!AA$35+1))</f>
        <v>#DIV/0!</v>
      </c>
      <c r="AB247" s="323" t="e" cm="1">
        <f t="array" ref="AB247">AB193*(Houses_with_gas_25/Houses_with_plumbing_25)*(INDEX('DHW Mix'!$AI$7:$AS$30,Homes_calc!$B247-2006,Homes_calc!AB$35+1))</f>
        <v>#DIV/0!</v>
      </c>
      <c r="AC247" s="323" t="e" cm="1">
        <f t="array" ref="AC247">AC193*(Houses_with_gas_25/Houses_with_plumbing_25)*(INDEX('DHW Mix'!$AI$7:$AS$30,Homes_calc!$B247-2006,Homes_calc!AC$35+1))</f>
        <v>#DIV/0!</v>
      </c>
      <c r="AD247" s="323" t="e" cm="1">
        <f t="array" ref="AD247">AD193*(Houses_with_gas_25/Houses_with_plumbing_25)*(INDEX('DHW Mix'!$AI$7:$AS$30,Homes_calc!$B247-2006,Homes_calc!AD$35+1))</f>
        <v>#DIV/0!</v>
      </c>
      <c r="AE247" s="323" t="e" cm="1">
        <f t="array" ref="AE247">AE193*(Houses_with_gas_25/Houses_with_plumbing_25)*(INDEX('DHW Mix'!$AI$7:$AS$30,Homes_calc!$B247-2006,Homes_calc!AE$35+1))</f>
        <v>#DIV/0!</v>
      </c>
      <c r="AF247" s="323" t="e" cm="1">
        <f t="array" ref="AF247">AF193*(Houses_with_gas_25/Houses_with_plumbing_25)*(INDEX('DHW Mix'!$AI$7:$AS$30,Homes_calc!$B247-2006,Homes_calc!AF$35+1))</f>
        <v>#DIV/0!</v>
      </c>
      <c r="AG247" s="323" t="e" cm="1">
        <f t="array" ref="AG247">AG193*(Houses_with_gas_25/Houses_with_plumbing_25)*(INDEX('DHW Mix'!$AI$7:$AS$30,Homes_calc!$B247-2006,Homes_calc!AG$35+1))</f>
        <v>#DIV/0!</v>
      </c>
      <c r="AH247" s="323" t="e" cm="1">
        <f t="array" ref="AH247">AH193*(Houses_with_gas_25/Houses_with_plumbing_25)*(INDEX('DHW Mix'!$AI$7:$AS$30,Homes_calc!$B247-2006,Homes_calc!AH$35+1))</f>
        <v>#DIV/0!</v>
      </c>
      <c r="AI247" s="323" t="e" cm="1">
        <f t="array" ref="AI247">AI193*(Houses_with_gas_25/Houses_with_plumbing_25)*(INDEX('DHW Mix'!$AI$7:$AS$30,Homes_calc!$B247-2006,Homes_calc!AI$35+1))</f>
        <v>#DIV/0!</v>
      </c>
      <c r="AJ247" s="323" t="e" cm="1">
        <f t="array" ref="AJ247">AJ193*(Houses_with_gas_25/Houses_with_plumbing_25)*(INDEX('DHW Mix'!$AI$7:$AS$30,Homes_calc!$B247-2006,Homes_calc!AJ$35+1))</f>
        <v>#DIV/0!</v>
      </c>
      <c r="AK247" s="323" t="e" cm="1">
        <f t="array" ref="AK247">AK193*(Houses_with_gas_25/Houses_with_plumbing_25)*(INDEX('DHW Mix'!$AI$7:$AS$30,Homes_calc!$B247-2006,Homes_calc!AK$35+1))</f>
        <v>#DIV/0!</v>
      </c>
      <c r="AL247" s="323" t="e" cm="1">
        <f t="array" ref="AL247">AL193*(Houses_with_gas_25/Houses_with_plumbing_25)*(INDEX('DHW Mix'!$AI$7:$AS$30,Homes_calc!$B247-2006,Homes_calc!AL$35+1))</f>
        <v>#DIV/0!</v>
      </c>
      <c r="AM247" s="323" t="e" cm="1">
        <f t="array" ref="AM247">AM193*(Houses_with_gas_25/Houses_with_plumbing_25)*(INDEX('DHW Mix'!$AI$7:$AS$30,Homes_calc!$B247-2006,Homes_calc!AM$35+1))</f>
        <v>#DIV/0!</v>
      </c>
      <c r="AN247" s="323" t="e" cm="1">
        <f t="array" ref="AN247">AN193*(Houses_with_gas_25/Houses_with_plumbing_25)*(INDEX('DHW Mix'!$AI$7:$AS$30,Homes_calc!$B247-2006,Homes_calc!AN$35+1))</f>
        <v>#DIV/0!</v>
      </c>
      <c r="AO247" s="323" t="e" cm="1">
        <f t="array" ref="AO247">AO193*(Houses_with_gas_25/Houses_with_plumbing_25)*(INDEX('DHW Mix'!$AI$7:$AS$30,Homes_calc!$B247-2006,Homes_calc!AO$35+1))</f>
        <v>#DIV/0!</v>
      </c>
      <c r="AP247" s="323" t="e" cm="1">
        <f t="array" ref="AP247">AP193*(Houses_with_gas_25/Houses_with_plumbing_25)*(INDEX('DHW Mix'!$AI$7:$AS$30,Homes_calc!$B247-2006,Homes_calc!AP$35+1))</f>
        <v>#DIV/0!</v>
      </c>
      <c r="AQ247" s="323" t="e" cm="1">
        <f t="array" ref="AQ247">AQ193*(Houses_with_gas_25/Houses_with_plumbing_25)*(INDEX('DHW Mix'!$AI$7:$AS$30,Homes_calc!$B247-2006,Homes_calc!AQ$35+1))</f>
        <v>#DIV/0!</v>
      </c>
      <c r="AR247" s="323" t="e" cm="1">
        <f t="array" ref="AR247">AR193*(Houses_with_gas_25/Houses_with_plumbing_25)*(INDEX('DHW Mix'!$AI$7:$AS$30,Homes_calc!$B247-2006,Homes_calc!AR$35+1))</f>
        <v>#DIV/0!</v>
      </c>
      <c r="AS247" s="323" t="e" cm="1">
        <f t="array" ref="AS247">AS193*(Houses_with_gas_25/Houses_with_plumbing_25)*(INDEX('DHW Mix'!$AI$7:$AS$30,Homes_calc!$B247-2006,Homes_calc!AS$35+1))</f>
        <v>#DIV/0!</v>
      </c>
      <c r="AT247" s="323" t="e" cm="1">
        <f t="array" ref="AT247">AT193*(Houses_with_gas_25/Houses_with_plumbing_25)*(INDEX('DHW Mix'!$AI$7:$AS$30,Homes_calc!$B247-2006,Homes_calc!AT$35+1))</f>
        <v>#DIV/0!</v>
      </c>
      <c r="AU247" s="323" t="e" cm="1">
        <f t="array" ref="AU247">AU193*(Houses_with_gas_25/Houses_with_plumbing_25)*(INDEX('DHW Mix'!$AI$7:$AS$30,Homes_calc!$B247-2006,Homes_calc!AU$35+1))</f>
        <v>#DIV/0!</v>
      </c>
      <c r="AV247" s="323" t="e" cm="1">
        <f t="array" ref="AV247">AV193*(Houses_with_gas_25/Houses_with_plumbing_25)*(INDEX('DHW Mix'!$AI$7:$AS$30,Homes_calc!$B247-2006,Homes_calc!AV$35+1))</f>
        <v>#DIV/0!</v>
      </c>
      <c r="AW247" s="323" t="e" cm="1">
        <f t="array" ref="AW247">AW193*(Houses_with_gas_25/Houses_with_plumbing_25)*(INDEX('DHW Mix'!$AI$7:$AS$30,Homes_calc!$B247-2006,Homes_calc!AW$35+1))</f>
        <v>#DIV/0!</v>
      </c>
      <c r="AX247" s="323" t="e" cm="1">
        <f t="array" ref="AX247">AX193*(Houses_with_gas_25/Houses_with_plumbing_25)*(INDEX('DHW Mix'!$AI$7:$AS$30,Homes_calc!$B247-2006,Homes_calc!AX$35+1))</f>
        <v>#DIV/0!</v>
      </c>
      <c r="AY247" s="323" t="e" cm="1">
        <f t="array" ref="AY247">AY193*(Houses_with_gas_25/Houses_with_plumbing_25)*(INDEX('DHW Mix'!$AI$7:$AS$30,Homes_calc!$B247-2006,Homes_calc!AY$35+1))</f>
        <v>#DIV/0!</v>
      </c>
      <c r="AZ247" s="323" t="e" cm="1">
        <f t="array" ref="AZ247">AZ193*(Houses_with_gas_25/Houses_with_plumbing_25)*(INDEX('DHW Mix'!$AI$7:$AS$30,Homes_calc!$B247-2006,Homes_calc!AZ$35+1))</f>
        <v>#DIV/0!</v>
      </c>
      <c r="BA247" s="323" t="e" cm="1">
        <f t="array" ref="BA247">BA193*(Houses_with_gas_25/Houses_with_plumbing_25)*(INDEX('DHW Mix'!$AI$7:$AS$30,Homes_calc!$B247-2006,Homes_calc!BA$35+1))</f>
        <v>#DIV/0!</v>
      </c>
      <c r="BB247" s="21" t="e">
        <f t="shared" si="193"/>
        <v>#DIV/0!</v>
      </c>
    </row>
    <row r="248" spans="1:54">
      <c r="A248" s="456"/>
      <c r="B248" s="226">
        <v>2026</v>
      </c>
      <c r="C248" s="323" t="e" cm="1">
        <f t="array" ref="C248">C194*(Houses_with_gas_26/Houses_with_plumbing_26)*(INDEX('DHW Mix'!$AI$7:$AS$30,Homes_calc!$B248-2006,Homes_calc!C$35+1))</f>
        <v>#DIV/0!</v>
      </c>
      <c r="D248" s="323" t="e" cm="1">
        <f t="array" ref="D248">D194*(Houses_with_gas_26/Houses_with_plumbing_26)*(INDEX('DHW Mix'!$AI$7:$AS$30,Homes_calc!$B248-2006,Homes_calc!D$35+1))</f>
        <v>#DIV/0!</v>
      </c>
      <c r="E248" s="323" t="e" cm="1">
        <f t="array" ref="E248">E194*(Houses_with_gas_26/Houses_with_plumbing_26)*(INDEX('DHW Mix'!$AI$7:$AS$30,Homes_calc!$B248-2006,Homes_calc!E$35+1))</f>
        <v>#DIV/0!</v>
      </c>
      <c r="F248" s="323" t="e" cm="1">
        <f t="array" ref="F248">F194*(Houses_with_gas_26/Houses_with_plumbing_26)*(INDEX('DHW Mix'!$AI$7:$AS$30,Homes_calc!$B248-2006,Homes_calc!F$35+1))</f>
        <v>#DIV/0!</v>
      </c>
      <c r="G248" s="323" t="e" cm="1">
        <f t="array" ref="G248">G194*(Houses_with_gas_26/Houses_with_plumbing_26)*(INDEX('DHW Mix'!$AI$7:$AS$30,Homes_calc!$B248-2006,Homes_calc!G$35+1))</f>
        <v>#DIV/0!</v>
      </c>
      <c r="H248" s="323" t="e" cm="1">
        <f t="array" ref="H248">H194*(Houses_with_gas_26/Houses_with_plumbing_26)*(INDEX('DHW Mix'!$AI$7:$AS$30,Homes_calc!$B248-2006,Homes_calc!H$35+1))</f>
        <v>#DIV/0!</v>
      </c>
      <c r="I248" s="323" t="e" cm="1">
        <f t="array" ref="I248">I194*(Houses_with_gas_26/Houses_with_plumbing_26)*(INDEX('DHW Mix'!$AI$7:$AS$30,Homes_calc!$B248-2006,Homes_calc!I$35+1))</f>
        <v>#DIV/0!</v>
      </c>
      <c r="J248" s="323" t="e" cm="1">
        <f t="array" ref="J248">J194*(Houses_with_gas_26/Houses_with_plumbing_26)*(INDEX('DHW Mix'!$AI$7:$AS$30,Homes_calc!$B248-2006,Homes_calc!J$35+1))</f>
        <v>#DIV/0!</v>
      </c>
      <c r="K248" s="323" t="e" cm="1">
        <f t="array" ref="K248">K194*(Houses_with_gas_26/Houses_with_plumbing_26)*(INDEX('DHW Mix'!$AI$7:$AS$30,Homes_calc!$B248-2006,Homes_calc!K$35+1))</f>
        <v>#DIV/0!</v>
      </c>
      <c r="L248" s="323" t="e" cm="1">
        <f t="array" ref="L248">L194*(Houses_with_gas_26/Houses_with_plumbing_26)*(INDEX('DHW Mix'!$AI$7:$AS$30,Homes_calc!$B248-2006,Homes_calc!L$35+1))</f>
        <v>#DIV/0!</v>
      </c>
      <c r="M248" s="323" t="e" cm="1">
        <f t="array" ref="M248">M194*(Houses_with_gas_26/Houses_with_plumbing_26)*(INDEX('DHW Mix'!$AI$7:$AS$30,Homes_calc!$B248-2006,Homes_calc!M$35+1))</f>
        <v>#DIV/0!</v>
      </c>
      <c r="N248" s="323" t="e" cm="1">
        <f t="array" ref="N248">N194*(Houses_with_gas_26/Houses_with_plumbing_26)*(INDEX('DHW Mix'!$AI$7:$AS$30,Homes_calc!$B248-2006,Homes_calc!N$35+1))</f>
        <v>#DIV/0!</v>
      </c>
      <c r="O248" s="323" t="e" cm="1">
        <f t="array" ref="O248">O194*(Houses_with_gas_26/Houses_with_plumbing_26)*(INDEX('DHW Mix'!$AI$7:$AS$30,Homes_calc!$B248-2006,Homes_calc!O$35+1))</f>
        <v>#DIV/0!</v>
      </c>
      <c r="P248" s="323" t="e" cm="1">
        <f t="array" ref="P248">P194*(Houses_with_gas_26/Houses_with_plumbing_26)*(INDEX('DHW Mix'!$AI$7:$AS$30,Homes_calc!$B248-2006,Homes_calc!P$35+1))</f>
        <v>#DIV/0!</v>
      </c>
      <c r="Q248" s="323" t="e" cm="1">
        <f t="array" ref="Q248">Q194*(Houses_with_gas_26/Houses_with_plumbing_26)*(INDEX('DHW Mix'!$AI$7:$AS$30,Homes_calc!$B248-2006,Homes_calc!Q$35+1))</f>
        <v>#DIV/0!</v>
      </c>
      <c r="R248" s="323" t="e" cm="1">
        <f t="array" ref="R248">R194*(Houses_with_gas_26/Houses_with_plumbing_26)*(INDEX('DHW Mix'!$AI$7:$AS$30,Homes_calc!$B248-2006,Homes_calc!R$35+1))</f>
        <v>#DIV/0!</v>
      </c>
      <c r="S248" s="323" t="e" cm="1">
        <f t="array" ref="S248">S194*(Houses_with_gas_26/Houses_with_plumbing_26)*(INDEX('DHW Mix'!$AI$7:$AS$30,Homes_calc!$B248-2006,Homes_calc!S$35+1))</f>
        <v>#DIV/0!</v>
      </c>
      <c r="T248" s="323" t="e" cm="1">
        <f t="array" ref="T248">T194*(Houses_with_gas_26/Houses_with_plumbing_26)*(INDEX('DHW Mix'!$AI$7:$AS$30,Homes_calc!$B248-2006,Homes_calc!T$35+1))</f>
        <v>#DIV/0!</v>
      </c>
      <c r="U248" s="323" t="e" cm="1">
        <f t="array" ref="U248">U194*(Houses_with_gas_26/Houses_with_plumbing_26)*(INDEX('DHW Mix'!$AI$7:$AS$30,Homes_calc!$B248-2006,Homes_calc!U$35+1))</f>
        <v>#DIV/0!</v>
      </c>
      <c r="V248" s="323" t="e" cm="1">
        <f t="array" ref="V248">V194*(Houses_with_gas_26/Houses_with_plumbing_26)*(INDEX('DHW Mix'!$AI$7:$AS$30,Homes_calc!$B248-2006,Homes_calc!V$35+1))</f>
        <v>#DIV/0!</v>
      </c>
      <c r="W248" s="323" t="e" cm="1">
        <f t="array" ref="W248">W194*(Houses_with_gas_26/Houses_with_plumbing_26)*(INDEX('DHW Mix'!$AI$7:$AS$30,Homes_calc!$B248-2006,Homes_calc!W$35+1))</f>
        <v>#DIV/0!</v>
      </c>
      <c r="X248" s="323" t="e" cm="1">
        <f t="array" ref="X248">X194*(Houses_with_gas_26/Houses_with_plumbing_26)*(INDEX('DHW Mix'!$AI$7:$AS$30,Homes_calc!$B248-2006,Homes_calc!X$35+1))</f>
        <v>#DIV/0!</v>
      </c>
      <c r="Y248" s="323" t="e" cm="1">
        <f t="array" ref="Y248">Y194*(Houses_with_gas_26/Houses_with_plumbing_26)*(INDEX('DHW Mix'!$AI$7:$AS$30,Homes_calc!$B248-2006,Homes_calc!Y$35+1))</f>
        <v>#DIV/0!</v>
      </c>
      <c r="Z248" s="323" t="e" cm="1">
        <f t="array" ref="Z248">Z194*(Houses_with_gas_26/Houses_with_plumbing_26)*(INDEX('DHW Mix'!$AI$7:$AS$30,Homes_calc!$B248-2006,Homes_calc!Z$35+1))</f>
        <v>#DIV/0!</v>
      </c>
      <c r="AA248" s="323" t="e" cm="1">
        <f t="array" ref="AA248">AA194*(Houses_with_gas_26/Houses_with_plumbing_26)*(INDEX('DHW Mix'!$AI$7:$AS$30,Homes_calc!$B248-2006,Homes_calc!AA$35+1))</f>
        <v>#DIV/0!</v>
      </c>
      <c r="AB248" s="323" t="e" cm="1">
        <f t="array" ref="AB248">AB194*(Houses_with_gas_26/Houses_with_plumbing_26)*(INDEX('DHW Mix'!$AI$7:$AS$30,Homes_calc!$B248-2006,Homes_calc!AB$35+1))</f>
        <v>#DIV/0!</v>
      </c>
      <c r="AC248" s="323" t="e" cm="1">
        <f t="array" ref="AC248">AC194*(Houses_with_gas_26/Houses_with_plumbing_26)*(INDEX('DHW Mix'!$AI$7:$AS$30,Homes_calc!$B248-2006,Homes_calc!AC$35+1))</f>
        <v>#DIV/0!</v>
      </c>
      <c r="AD248" s="323" t="e" cm="1">
        <f t="array" ref="AD248">AD194*(Houses_with_gas_26/Houses_with_plumbing_26)*(INDEX('DHW Mix'!$AI$7:$AS$30,Homes_calc!$B248-2006,Homes_calc!AD$35+1))</f>
        <v>#DIV/0!</v>
      </c>
      <c r="AE248" s="323" t="e" cm="1">
        <f t="array" ref="AE248">AE194*(Houses_with_gas_26/Houses_with_plumbing_26)*(INDEX('DHW Mix'!$AI$7:$AS$30,Homes_calc!$B248-2006,Homes_calc!AE$35+1))</f>
        <v>#DIV/0!</v>
      </c>
      <c r="AF248" s="323" t="e" cm="1">
        <f t="array" ref="AF248">AF194*(Houses_with_gas_26/Houses_with_plumbing_26)*(INDEX('DHW Mix'!$AI$7:$AS$30,Homes_calc!$B248-2006,Homes_calc!AF$35+1))</f>
        <v>#DIV/0!</v>
      </c>
      <c r="AG248" s="323" t="e" cm="1">
        <f t="array" ref="AG248">AG194*(Houses_with_gas_26/Houses_with_plumbing_26)*(INDEX('DHW Mix'!$AI$7:$AS$30,Homes_calc!$B248-2006,Homes_calc!AG$35+1))</f>
        <v>#DIV/0!</v>
      </c>
      <c r="AH248" s="323" t="e" cm="1">
        <f t="array" ref="AH248">AH194*(Houses_with_gas_26/Houses_with_plumbing_26)*(INDEX('DHW Mix'!$AI$7:$AS$30,Homes_calc!$B248-2006,Homes_calc!AH$35+1))</f>
        <v>#DIV/0!</v>
      </c>
      <c r="AI248" s="323" t="e" cm="1">
        <f t="array" ref="AI248">AI194*(Houses_with_gas_26/Houses_with_plumbing_26)*(INDEX('DHW Mix'!$AI$7:$AS$30,Homes_calc!$B248-2006,Homes_calc!AI$35+1))</f>
        <v>#DIV/0!</v>
      </c>
      <c r="AJ248" s="323" t="e" cm="1">
        <f t="array" ref="AJ248">AJ194*(Houses_with_gas_26/Houses_with_plumbing_26)*(INDEX('DHW Mix'!$AI$7:$AS$30,Homes_calc!$B248-2006,Homes_calc!AJ$35+1))</f>
        <v>#DIV/0!</v>
      </c>
      <c r="AK248" s="323" t="e" cm="1">
        <f t="array" ref="AK248">AK194*(Houses_with_gas_26/Houses_with_plumbing_26)*(INDEX('DHW Mix'!$AI$7:$AS$30,Homes_calc!$B248-2006,Homes_calc!AK$35+1))</f>
        <v>#DIV/0!</v>
      </c>
      <c r="AL248" s="323" t="e" cm="1">
        <f t="array" ref="AL248">AL194*(Houses_with_gas_26/Houses_with_plumbing_26)*(INDEX('DHW Mix'!$AI$7:$AS$30,Homes_calc!$B248-2006,Homes_calc!AL$35+1))</f>
        <v>#DIV/0!</v>
      </c>
      <c r="AM248" s="323" t="e" cm="1">
        <f t="array" ref="AM248">AM194*(Houses_with_gas_26/Houses_with_plumbing_26)*(INDEX('DHW Mix'!$AI$7:$AS$30,Homes_calc!$B248-2006,Homes_calc!AM$35+1))</f>
        <v>#DIV/0!</v>
      </c>
      <c r="AN248" s="323" t="e" cm="1">
        <f t="array" ref="AN248">AN194*(Houses_with_gas_26/Houses_with_plumbing_26)*(INDEX('DHW Mix'!$AI$7:$AS$30,Homes_calc!$B248-2006,Homes_calc!AN$35+1))</f>
        <v>#DIV/0!</v>
      </c>
      <c r="AO248" s="323" t="e" cm="1">
        <f t="array" ref="AO248">AO194*(Houses_with_gas_26/Houses_with_plumbing_26)*(INDEX('DHW Mix'!$AI$7:$AS$30,Homes_calc!$B248-2006,Homes_calc!AO$35+1))</f>
        <v>#DIV/0!</v>
      </c>
      <c r="AP248" s="323" t="e" cm="1">
        <f t="array" ref="AP248">AP194*(Houses_with_gas_26/Houses_with_plumbing_26)*(INDEX('DHW Mix'!$AI$7:$AS$30,Homes_calc!$B248-2006,Homes_calc!AP$35+1))</f>
        <v>#DIV/0!</v>
      </c>
      <c r="AQ248" s="323" t="e" cm="1">
        <f t="array" ref="AQ248">AQ194*(Houses_with_gas_26/Houses_with_plumbing_26)*(INDEX('DHW Mix'!$AI$7:$AS$30,Homes_calc!$B248-2006,Homes_calc!AQ$35+1))</f>
        <v>#DIV/0!</v>
      </c>
      <c r="AR248" s="323" t="e" cm="1">
        <f t="array" ref="AR248">AR194*(Houses_with_gas_26/Houses_with_plumbing_26)*(INDEX('DHW Mix'!$AI$7:$AS$30,Homes_calc!$B248-2006,Homes_calc!AR$35+1))</f>
        <v>#DIV/0!</v>
      </c>
      <c r="AS248" s="323" t="e" cm="1">
        <f t="array" ref="AS248">AS194*(Houses_with_gas_26/Houses_with_plumbing_26)*(INDEX('DHW Mix'!$AI$7:$AS$30,Homes_calc!$B248-2006,Homes_calc!AS$35+1))</f>
        <v>#DIV/0!</v>
      </c>
      <c r="AT248" s="323" t="e" cm="1">
        <f t="array" ref="AT248">AT194*(Houses_with_gas_26/Houses_with_plumbing_26)*(INDEX('DHW Mix'!$AI$7:$AS$30,Homes_calc!$B248-2006,Homes_calc!AT$35+1))</f>
        <v>#DIV/0!</v>
      </c>
      <c r="AU248" s="323" t="e" cm="1">
        <f t="array" ref="AU248">AU194*(Houses_with_gas_26/Houses_with_plumbing_26)*(INDEX('DHW Mix'!$AI$7:$AS$30,Homes_calc!$B248-2006,Homes_calc!AU$35+1))</f>
        <v>#DIV/0!</v>
      </c>
      <c r="AV248" s="323" t="e" cm="1">
        <f t="array" ref="AV248">AV194*(Houses_with_gas_26/Houses_with_plumbing_26)*(INDEX('DHW Mix'!$AI$7:$AS$30,Homes_calc!$B248-2006,Homes_calc!AV$35+1))</f>
        <v>#DIV/0!</v>
      </c>
      <c r="AW248" s="323" t="e" cm="1">
        <f t="array" ref="AW248">AW194*(Houses_with_gas_26/Houses_with_plumbing_26)*(INDEX('DHW Mix'!$AI$7:$AS$30,Homes_calc!$B248-2006,Homes_calc!AW$35+1))</f>
        <v>#DIV/0!</v>
      </c>
      <c r="AX248" s="323" t="e" cm="1">
        <f t="array" ref="AX248">AX194*(Houses_with_gas_26/Houses_with_plumbing_26)*(INDEX('DHW Mix'!$AI$7:$AS$30,Homes_calc!$B248-2006,Homes_calc!AX$35+1))</f>
        <v>#DIV/0!</v>
      </c>
      <c r="AY248" s="323" t="e" cm="1">
        <f t="array" ref="AY248">AY194*(Houses_with_gas_26/Houses_with_plumbing_26)*(INDEX('DHW Mix'!$AI$7:$AS$30,Homes_calc!$B248-2006,Homes_calc!AY$35+1))</f>
        <v>#DIV/0!</v>
      </c>
      <c r="AZ248" s="323" t="e" cm="1">
        <f t="array" ref="AZ248">AZ194*(Houses_with_gas_26/Houses_with_plumbing_26)*(INDEX('DHW Mix'!$AI$7:$AS$30,Homes_calc!$B248-2006,Homes_calc!AZ$35+1))</f>
        <v>#DIV/0!</v>
      </c>
      <c r="BA248" s="323" t="e" cm="1">
        <f t="array" ref="BA248">BA194*(Houses_with_gas_26/Houses_with_plumbing_26)*(INDEX('DHW Mix'!$AI$7:$AS$30,Homes_calc!$B248-2006,Homes_calc!BA$35+1))</f>
        <v>#DIV/0!</v>
      </c>
      <c r="BB248" s="21" t="e">
        <f t="shared" si="193"/>
        <v>#DIV/0!</v>
      </c>
    </row>
    <row r="249" spans="1:54">
      <c r="A249" s="456"/>
      <c r="B249" s="228">
        <v>2027</v>
      </c>
      <c r="C249" s="323" t="e" cm="1">
        <f t="array" ref="C249">C195*(Houses_with_gas_27/Houses_with_plumbing_27)*(INDEX('DHW Mix'!$AI$7:$AS$30,Homes_calc!$B249-2006,Homes_calc!C$35+1))</f>
        <v>#DIV/0!</v>
      </c>
      <c r="D249" s="323" t="e" cm="1">
        <f t="array" ref="D249">D195*(Houses_with_gas_27/Houses_with_plumbing_27)*(INDEX('DHW Mix'!$AI$7:$AS$30,Homes_calc!$B249-2006,Homes_calc!D$35+1))</f>
        <v>#DIV/0!</v>
      </c>
      <c r="E249" s="323" t="e" cm="1">
        <f t="array" ref="E249">E195*(Houses_with_gas_27/Houses_with_plumbing_27)*(INDEX('DHW Mix'!$AI$7:$AS$30,Homes_calc!$B249-2006,Homes_calc!E$35+1))</f>
        <v>#DIV/0!</v>
      </c>
      <c r="F249" s="323" t="e" cm="1">
        <f t="array" ref="F249">F195*(Houses_with_gas_27/Houses_with_plumbing_27)*(INDEX('DHW Mix'!$AI$7:$AS$30,Homes_calc!$B249-2006,Homes_calc!F$35+1))</f>
        <v>#DIV/0!</v>
      </c>
      <c r="G249" s="323" t="e" cm="1">
        <f t="array" ref="G249">G195*(Houses_with_gas_27/Houses_with_plumbing_27)*(INDEX('DHW Mix'!$AI$7:$AS$30,Homes_calc!$B249-2006,Homes_calc!G$35+1))</f>
        <v>#DIV/0!</v>
      </c>
      <c r="H249" s="323" t="e" cm="1">
        <f t="array" ref="H249">H195*(Houses_with_gas_27/Houses_with_plumbing_27)*(INDEX('DHW Mix'!$AI$7:$AS$30,Homes_calc!$B249-2006,Homes_calc!H$35+1))</f>
        <v>#DIV/0!</v>
      </c>
      <c r="I249" s="323" t="e" cm="1">
        <f t="array" ref="I249">I195*(Houses_with_gas_27/Houses_with_plumbing_27)*(INDEX('DHW Mix'!$AI$7:$AS$30,Homes_calc!$B249-2006,Homes_calc!I$35+1))</f>
        <v>#DIV/0!</v>
      </c>
      <c r="J249" s="323" t="e" cm="1">
        <f t="array" ref="J249">J195*(Houses_with_gas_27/Houses_with_plumbing_27)*(INDEX('DHW Mix'!$AI$7:$AS$30,Homes_calc!$B249-2006,Homes_calc!J$35+1))</f>
        <v>#DIV/0!</v>
      </c>
      <c r="K249" s="323" t="e" cm="1">
        <f t="array" ref="K249">K195*(Houses_with_gas_27/Houses_with_plumbing_27)*(INDEX('DHW Mix'!$AI$7:$AS$30,Homes_calc!$B249-2006,Homes_calc!K$35+1))</f>
        <v>#DIV/0!</v>
      </c>
      <c r="L249" s="323" t="e" cm="1">
        <f t="array" ref="L249">L195*(Houses_with_gas_27/Houses_with_plumbing_27)*(INDEX('DHW Mix'!$AI$7:$AS$30,Homes_calc!$B249-2006,Homes_calc!L$35+1))</f>
        <v>#DIV/0!</v>
      </c>
      <c r="M249" s="323" t="e" cm="1">
        <f t="array" ref="M249">M195*(Houses_with_gas_27/Houses_with_plumbing_27)*(INDEX('DHW Mix'!$AI$7:$AS$30,Homes_calc!$B249-2006,Homes_calc!M$35+1))</f>
        <v>#DIV/0!</v>
      </c>
      <c r="N249" s="323" t="e" cm="1">
        <f t="array" ref="N249">N195*(Houses_with_gas_27/Houses_with_plumbing_27)*(INDEX('DHW Mix'!$AI$7:$AS$30,Homes_calc!$B249-2006,Homes_calc!N$35+1))</f>
        <v>#DIV/0!</v>
      </c>
      <c r="O249" s="323" t="e" cm="1">
        <f t="array" ref="O249">O195*(Houses_with_gas_27/Houses_with_plumbing_27)*(INDEX('DHW Mix'!$AI$7:$AS$30,Homes_calc!$B249-2006,Homes_calc!O$35+1))</f>
        <v>#DIV/0!</v>
      </c>
      <c r="P249" s="323" t="e" cm="1">
        <f t="array" ref="P249">P195*(Houses_with_gas_27/Houses_with_plumbing_27)*(INDEX('DHW Mix'!$AI$7:$AS$30,Homes_calc!$B249-2006,Homes_calc!P$35+1))</f>
        <v>#DIV/0!</v>
      </c>
      <c r="Q249" s="323" t="e" cm="1">
        <f t="array" ref="Q249">Q195*(Houses_with_gas_27/Houses_with_plumbing_27)*(INDEX('DHW Mix'!$AI$7:$AS$30,Homes_calc!$B249-2006,Homes_calc!Q$35+1))</f>
        <v>#DIV/0!</v>
      </c>
      <c r="R249" s="323" t="e" cm="1">
        <f t="array" ref="R249">R195*(Houses_with_gas_27/Houses_with_plumbing_27)*(INDEX('DHW Mix'!$AI$7:$AS$30,Homes_calc!$B249-2006,Homes_calc!R$35+1))</f>
        <v>#DIV/0!</v>
      </c>
      <c r="S249" s="323" t="e" cm="1">
        <f t="array" ref="S249">S195*(Houses_with_gas_27/Houses_with_plumbing_27)*(INDEX('DHW Mix'!$AI$7:$AS$30,Homes_calc!$B249-2006,Homes_calc!S$35+1))</f>
        <v>#DIV/0!</v>
      </c>
      <c r="T249" s="323" t="e" cm="1">
        <f t="array" ref="T249">T195*(Houses_with_gas_27/Houses_with_plumbing_27)*(INDEX('DHW Mix'!$AI$7:$AS$30,Homes_calc!$B249-2006,Homes_calc!T$35+1))</f>
        <v>#DIV/0!</v>
      </c>
      <c r="U249" s="323" t="e" cm="1">
        <f t="array" ref="U249">U195*(Houses_with_gas_27/Houses_with_plumbing_27)*(INDEX('DHW Mix'!$AI$7:$AS$30,Homes_calc!$B249-2006,Homes_calc!U$35+1))</f>
        <v>#DIV/0!</v>
      </c>
      <c r="V249" s="323" t="e" cm="1">
        <f t="array" ref="V249">V195*(Houses_with_gas_27/Houses_with_plumbing_27)*(INDEX('DHW Mix'!$AI$7:$AS$30,Homes_calc!$B249-2006,Homes_calc!V$35+1))</f>
        <v>#DIV/0!</v>
      </c>
      <c r="W249" s="323" t="e" cm="1">
        <f t="array" ref="W249">W195*(Houses_with_gas_27/Houses_with_plumbing_27)*(INDEX('DHW Mix'!$AI$7:$AS$30,Homes_calc!$B249-2006,Homes_calc!W$35+1))</f>
        <v>#DIV/0!</v>
      </c>
      <c r="X249" s="323" t="e" cm="1">
        <f t="array" ref="X249">X195*(Houses_with_gas_27/Houses_with_plumbing_27)*(INDEX('DHW Mix'!$AI$7:$AS$30,Homes_calc!$B249-2006,Homes_calc!X$35+1))</f>
        <v>#DIV/0!</v>
      </c>
      <c r="Y249" s="323" t="e" cm="1">
        <f t="array" ref="Y249">Y195*(Houses_with_gas_27/Houses_with_plumbing_27)*(INDEX('DHW Mix'!$AI$7:$AS$30,Homes_calc!$B249-2006,Homes_calc!Y$35+1))</f>
        <v>#DIV/0!</v>
      </c>
      <c r="Z249" s="323" t="e" cm="1">
        <f t="array" ref="Z249">Z195*(Houses_with_gas_27/Houses_with_plumbing_27)*(INDEX('DHW Mix'!$AI$7:$AS$30,Homes_calc!$B249-2006,Homes_calc!Z$35+1))</f>
        <v>#DIV/0!</v>
      </c>
      <c r="AA249" s="323" t="e" cm="1">
        <f t="array" ref="AA249">AA195*(Houses_with_gas_27/Houses_with_plumbing_27)*(INDEX('DHW Mix'!$AI$7:$AS$30,Homes_calc!$B249-2006,Homes_calc!AA$35+1))</f>
        <v>#DIV/0!</v>
      </c>
      <c r="AB249" s="323" t="e" cm="1">
        <f t="array" ref="AB249">AB195*(Houses_with_gas_27/Houses_with_plumbing_27)*(INDEX('DHW Mix'!$AI$7:$AS$30,Homes_calc!$B249-2006,Homes_calc!AB$35+1))</f>
        <v>#DIV/0!</v>
      </c>
      <c r="AC249" s="323" t="e" cm="1">
        <f t="array" ref="AC249">AC195*(Houses_with_gas_27/Houses_with_plumbing_27)*(INDEX('DHW Mix'!$AI$7:$AS$30,Homes_calc!$B249-2006,Homes_calc!AC$35+1))</f>
        <v>#DIV/0!</v>
      </c>
      <c r="AD249" s="323" t="e" cm="1">
        <f t="array" ref="AD249">AD195*(Houses_with_gas_27/Houses_with_plumbing_27)*(INDEX('DHW Mix'!$AI$7:$AS$30,Homes_calc!$B249-2006,Homes_calc!AD$35+1))</f>
        <v>#DIV/0!</v>
      </c>
      <c r="AE249" s="323" t="e" cm="1">
        <f t="array" ref="AE249">AE195*(Houses_with_gas_27/Houses_with_plumbing_27)*(INDEX('DHW Mix'!$AI$7:$AS$30,Homes_calc!$B249-2006,Homes_calc!AE$35+1))</f>
        <v>#DIV/0!</v>
      </c>
      <c r="AF249" s="323" t="e" cm="1">
        <f t="array" ref="AF249">AF195*(Houses_with_gas_27/Houses_with_plumbing_27)*(INDEX('DHW Mix'!$AI$7:$AS$30,Homes_calc!$B249-2006,Homes_calc!AF$35+1))</f>
        <v>#DIV/0!</v>
      </c>
      <c r="AG249" s="323" t="e" cm="1">
        <f t="array" ref="AG249">AG195*(Houses_with_gas_27/Houses_with_plumbing_27)*(INDEX('DHW Mix'!$AI$7:$AS$30,Homes_calc!$B249-2006,Homes_calc!AG$35+1))</f>
        <v>#DIV/0!</v>
      </c>
      <c r="AH249" s="323" t="e" cm="1">
        <f t="array" ref="AH249">AH195*(Houses_with_gas_27/Houses_with_plumbing_27)*(INDEX('DHW Mix'!$AI$7:$AS$30,Homes_calc!$B249-2006,Homes_calc!AH$35+1))</f>
        <v>#DIV/0!</v>
      </c>
      <c r="AI249" s="323" t="e" cm="1">
        <f t="array" ref="AI249">AI195*(Houses_with_gas_27/Houses_with_plumbing_27)*(INDEX('DHW Mix'!$AI$7:$AS$30,Homes_calc!$B249-2006,Homes_calc!AI$35+1))</f>
        <v>#DIV/0!</v>
      </c>
      <c r="AJ249" s="323" t="e" cm="1">
        <f t="array" ref="AJ249">AJ195*(Houses_with_gas_27/Houses_with_plumbing_27)*(INDEX('DHW Mix'!$AI$7:$AS$30,Homes_calc!$B249-2006,Homes_calc!AJ$35+1))</f>
        <v>#DIV/0!</v>
      </c>
      <c r="AK249" s="323" t="e" cm="1">
        <f t="array" ref="AK249">AK195*(Houses_with_gas_27/Houses_with_plumbing_27)*(INDEX('DHW Mix'!$AI$7:$AS$30,Homes_calc!$B249-2006,Homes_calc!AK$35+1))</f>
        <v>#DIV/0!</v>
      </c>
      <c r="AL249" s="323" t="e" cm="1">
        <f t="array" ref="AL249">AL195*(Houses_with_gas_27/Houses_with_plumbing_27)*(INDEX('DHW Mix'!$AI$7:$AS$30,Homes_calc!$B249-2006,Homes_calc!AL$35+1))</f>
        <v>#DIV/0!</v>
      </c>
      <c r="AM249" s="323" t="e" cm="1">
        <f t="array" ref="AM249">AM195*(Houses_with_gas_27/Houses_with_plumbing_27)*(INDEX('DHW Mix'!$AI$7:$AS$30,Homes_calc!$B249-2006,Homes_calc!AM$35+1))</f>
        <v>#DIV/0!</v>
      </c>
      <c r="AN249" s="323" t="e" cm="1">
        <f t="array" ref="AN249">AN195*(Houses_with_gas_27/Houses_with_plumbing_27)*(INDEX('DHW Mix'!$AI$7:$AS$30,Homes_calc!$B249-2006,Homes_calc!AN$35+1))</f>
        <v>#DIV/0!</v>
      </c>
      <c r="AO249" s="323" t="e" cm="1">
        <f t="array" ref="AO249">AO195*(Houses_with_gas_27/Houses_with_plumbing_27)*(INDEX('DHW Mix'!$AI$7:$AS$30,Homes_calc!$B249-2006,Homes_calc!AO$35+1))</f>
        <v>#DIV/0!</v>
      </c>
      <c r="AP249" s="323" t="e" cm="1">
        <f t="array" ref="AP249">AP195*(Houses_with_gas_27/Houses_with_plumbing_27)*(INDEX('DHW Mix'!$AI$7:$AS$30,Homes_calc!$B249-2006,Homes_calc!AP$35+1))</f>
        <v>#DIV/0!</v>
      </c>
      <c r="AQ249" s="323" t="e" cm="1">
        <f t="array" ref="AQ249">AQ195*(Houses_with_gas_27/Houses_with_plumbing_27)*(INDEX('DHW Mix'!$AI$7:$AS$30,Homes_calc!$B249-2006,Homes_calc!AQ$35+1))</f>
        <v>#DIV/0!</v>
      </c>
      <c r="AR249" s="323" t="e" cm="1">
        <f t="array" ref="AR249">AR195*(Houses_with_gas_27/Houses_with_plumbing_27)*(INDEX('DHW Mix'!$AI$7:$AS$30,Homes_calc!$B249-2006,Homes_calc!AR$35+1))</f>
        <v>#DIV/0!</v>
      </c>
      <c r="AS249" s="323" t="e" cm="1">
        <f t="array" ref="AS249">AS195*(Houses_with_gas_27/Houses_with_plumbing_27)*(INDEX('DHW Mix'!$AI$7:$AS$30,Homes_calc!$B249-2006,Homes_calc!AS$35+1))</f>
        <v>#DIV/0!</v>
      </c>
      <c r="AT249" s="323" t="e" cm="1">
        <f t="array" ref="AT249">AT195*(Houses_with_gas_27/Houses_with_plumbing_27)*(INDEX('DHW Mix'!$AI$7:$AS$30,Homes_calc!$B249-2006,Homes_calc!AT$35+1))</f>
        <v>#DIV/0!</v>
      </c>
      <c r="AU249" s="323" t="e" cm="1">
        <f t="array" ref="AU249">AU195*(Houses_with_gas_27/Houses_with_plumbing_27)*(INDEX('DHW Mix'!$AI$7:$AS$30,Homes_calc!$B249-2006,Homes_calc!AU$35+1))</f>
        <v>#DIV/0!</v>
      </c>
      <c r="AV249" s="323" t="e" cm="1">
        <f t="array" ref="AV249">AV195*(Houses_with_gas_27/Houses_with_plumbing_27)*(INDEX('DHW Mix'!$AI$7:$AS$30,Homes_calc!$B249-2006,Homes_calc!AV$35+1))</f>
        <v>#DIV/0!</v>
      </c>
      <c r="AW249" s="323" t="e" cm="1">
        <f t="array" ref="AW249">AW195*(Houses_with_gas_27/Houses_with_plumbing_27)*(INDEX('DHW Mix'!$AI$7:$AS$30,Homes_calc!$B249-2006,Homes_calc!AW$35+1))</f>
        <v>#DIV/0!</v>
      </c>
      <c r="AX249" s="323" t="e" cm="1">
        <f t="array" ref="AX249">AX195*(Houses_with_gas_27/Houses_with_plumbing_27)*(INDEX('DHW Mix'!$AI$7:$AS$30,Homes_calc!$B249-2006,Homes_calc!AX$35+1))</f>
        <v>#DIV/0!</v>
      </c>
      <c r="AY249" s="323" t="e" cm="1">
        <f t="array" ref="AY249">AY195*(Houses_with_gas_27/Houses_with_plumbing_27)*(INDEX('DHW Mix'!$AI$7:$AS$30,Homes_calc!$B249-2006,Homes_calc!AY$35+1))</f>
        <v>#DIV/0!</v>
      </c>
      <c r="AZ249" s="323" t="e" cm="1">
        <f t="array" ref="AZ249">AZ195*(Houses_with_gas_27/Houses_with_plumbing_27)*(INDEX('DHW Mix'!$AI$7:$AS$30,Homes_calc!$B249-2006,Homes_calc!AZ$35+1))</f>
        <v>#DIV/0!</v>
      </c>
      <c r="BA249" s="323" t="e" cm="1">
        <f t="array" ref="BA249">BA195*(Houses_with_gas_27/Houses_with_plumbing_27)*(INDEX('DHW Mix'!$AI$7:$AS$30,Homes_calc!$B249-2006,Homes_calc!BA$35+1))</f>
        <v>#DIV/0!</v>
      </c>
      <c r="BB249" s="21" t="e">
        <f t="shared" si="193"/>
        <v>#DIV/0!</v>
      </c>
    </row>
    <row r="250" spans="1:54">
      <c r="A250" s="456"/>
      <c r="B250" s="226">
        <v>2028</v>
      </c>
      <c r="C250" s="323" t="e" cm="1">
        <f t="array" ref="C250">C196*(Houses_with_gas_28/Houses_with_plumbing_28)*(INDEX('DHW Mix'!$AI$7:$AS$30,Homes_calc!$B250-2006,Homes_calc!C$35+1))</f>
        <v>#DIV/0!</v>
      </c>
      <c r="D250" s="323" t="e" cm="1">
        <f t="array" ref="D250">D196*(Houses_with_gas_28/Houses_with_plumbing_28)*(INDEX('DHW Mix'!$AI$7:$AS$30,Homes_calc!$B250-2006,Homes_calc!D$35+1))</f>
        <v>#DIV/0!</v>
      </c>
      <c r="E250" s="323" t="e" cm="1">
        <f t="array" ref="E250">E196*(Houses_with_gas_28/Houses_with_plumbing_28)*(INDEX('DHW Mix'!$AI$7:$AS$30,Homes_calc!$B250-2006,Homes_calc!E$35+1))</f>
        <v>#DIV/0!</v>
      </c>
      <c r="F250" s="323" t="e" cm="1">
        <f t="array" ref="F250">F196*(Houses_with_gas_28/Houses_with_plumbing_28)*(INDEX('DHW Mix'!$AI$7:$AS$30,Homes_calc!$B250-2006,Homes_calc!F$35+1))</f>
        <v>#DIV/0!</v>
      </c>
      <c r="G250" s="323" t="e" cm="1">
        <f t="array" ref="G250">G196*(Houses_with_gas_28/Houses_with_plumbing_28)*(INDEX('DHW Mix'!$AI$7:$AS$30,Homes_calc!$B250-2006,Homes_calc!G$35+1))</f>
        <v>#DIV/0!</v>
      </c>
      <c r="H250" s="323" t="e" cm="1">
        <f t="array" ref="H250">H196*(Houses_with_gas_28/Houses_with_plumbing_28)*(INDEX('DHW Mix'!$AI$7:$AS$30,Homes_calc!$B250-2006,Homes_calc!H$35+1))</f>
        <v>#DIV/0!</v>
      </c>
      <c r="I250" s="323" t="e" cm="1">
        <f t="array" ref="I250">I196*(Houses_with_gas_28/Houses_with_plumbing_28)*(INDEX('DHW Mix'!$AI$7:$AS$30,Homes_calc!$B250-2006,Homes_calc!I$35+1))</f>
        <v>#DIV/0!</v>
      </c>
      <c r="J250" s="323" t="e" cm="1">
        <f t="array" ref="J250">J196*(Houses_with_gas_28/Houses_with_plumbing_28)*(INDEX('DHW Mix'!$AI$7:$AS$30,Homes_calc!$B250-2006,Homes_calc!J$35+1))</f>
        <v>#DIV/0!</v>
      </c>
      <c r="K250" s="323" t="e" cm="1">
        <f t="array" ref="K250">K196*(Houses_with_gas_28/Houses_with_plumbing_28)*(INDEX('DHW Mix'!$AI$7:$AS$30,Homes_calc!$B250-2006,Homes_calc!K$35+1))</f>
        <v>#DIV/0!</v>
      </c>
      <c r="L250" s="323" t="e" cm="1">
        <f t="array" ref="L250">L196*(Houses_with_gas_28/Houses_with_plumbing_28)*(INDEX('DHW Mix'!$AI$7:$AS$30,Homes_calc!$B250-2006,Homes_calc!L$35+1))</f>
        <v>#DIV/0!</v>
      </c>
      <c r="M250" s="323" t="e" cm="1">
        <f t="array" ref="M250">M196*(Houses_with_gas_28/Houses_with_plumbing_28)*(INDEX('DHW Mix'!$AI$7:$AS$30,Homes_calc!$B250-2006,Homes_calc!M$35+1))</f>
        <v>#DIV/0!</v>
      </c>
      <c r="N250" s="323" t="e" cm="1">
        <f t="array" ref="N250">N196*(Houses_with_gas_28/Houses_with_plumbing_28)*(INDEX('DHW Mix'!$AI$7:$AS$30,Homes_calc!$B250-2006,Homes_calc!N$35+1))</f>
        <v>#DIV/0!</v>
      </c>
      <c r="O250" s="323" t="e" cm="1">
        <f t="array" ref="O250">O196*(Houses_with_gas_28/Houses_with_plumbing_28)*(INDEX('DHW Mix'!$AI$7:$AS$30,Homes_calc!$B250-2006,Homes_calc!O$35+1))</f>
        <v>#DIV/0!</v>
      </c>
      <c r="P250" s="323" t="e" cm="1">
        <f t="array" ref="P250">P196*(Houses_with_gas_28/Houses_with_plumbing_28)*(INDEX('DHW Mix'!$AI$7:$AS$30,Homes_calc!$B250-2006,Homes_calc!P$35+1))</f>
        <v>#DIV/0!</v>
      </c>
      <c r="Q250" s="323" t="e" cm="1">
        <f t="array" ref="Q250">Q196*(Houses_with_gas_28/Houses_with_plumbing_28)*(INDEX('DHW Mix'!$AI$7:$AS$30,Homes_calc!$B250-2006,Homes_calc!Q$35+1))</f>
        <v>#DIV/0!</v>
      </c>
      <c r="R250" s="323" t="e" cm="1">
        <f t="array" ref="R250">R196*(Houses_with_gas_28/Houses_with_plumbing_28)*(INDEX('DHW Mix'!$AI$7:$AS$30,Homes_calc!$B250-2006,Homes_calc!R$35+1))</f>
        <v>#DIV/0!</v>
      </c>
      <c r="S250" s="323" t="e" cm="1">
        <f t="array" ref="S250">S196*(Houses_with_gas_28/Houses_with_plumbing_28)*(INDEX('DHW Mix'!$AI$7:$AS$30,Homes_calc!$B250-2006,Homes_calc!S$35+1))</f>
        <v>#DIV/0!</v>
      </c>
      <c r="T250" s="323" t="e" cm="1">
        <f t="array" ref="T250">T196*(Houses_with_gas_28/Houses_with_plumbing_28)*(INDEX('DHW Mix'!$AI$7:$AS$30,Homes_calc!$B250-2006,Homes_calc!T$35+1))</f>
        <v>#DIV/0!</v>
      </c>
      <c r="U250" s="323" t="e" cm="1">
        <f t="array" ref="U250">U196*(Houses_with_gas_28/Houses_with_plumbing_28)*(INDEX('DHW Mix'!$AI$7:$AS$30,Homes_calc!$B250-2006,Homes_calc!U$35+1))</f>
        <v>#DIV/0!</v>
      </c>
      <c r="V250" s="323" t="e" cm="1">
        <f t="array" ref="V250">V196*(Houses_with_gas_28/Houses_with_plumbing_28)*(INDEX('DHW Mix'!$AI$7:$AS$30,Homes_calc!$B250-2006,Homes_calc!V$35+1))</f>
        <v>#DIV/0!</v>
      </c>
      <c r="W250" s="323" t="e" cm="1">
        <f t="array" ref="W250">W196*(Houses_with_gas_28/Houses_with_plumbing_28)*(INDEX('DHW Mix'!$AI$7:$AS$30,Homes_calc!$B250-2006,Homes_calc!W$35+1))</f>
        <v>#DIV/0!</v>
      </c>
      <c r="X250" s="323" t="e" cm="1">
        <f t="array" ref="X250">X196*(Houses_with_gas_28/Houses_with_plumbing_28)*(INDEX('DHW Mix'!$AI$7:$AS$30,Homes_calc!$B250-2006,Homes_calc!X$35+1))</f>
        <v>#DIV/0!</v>
      </c>
      <c r="Y250" s="323" t="e" cm="1">
        <f t="array" ref="Y250">Y196*(Houses_with_gas_28/Houses_with_plumbing_28)*(INDEX('DHW Mix'!$AI$7:$AS$30,Homes_calc!$B250-2006,Homes_calc!Y$35+1))</f>
        <v>#DIV/0!</v>
      </c>
      <c r="Z250" s="323" t="e" cm="1">
        <f t="array" ref="Z250">Z196*(Houses_with_gas_28/Houses_with_plumbing_28)*(INDEX('DHW Mix'!$AI$7:$AS$30,Homes_calc!$B250-2006,Homes_calc!Z$35+1))</f>
        <v>#DIV/0!</v>
      </c>
      <c r="AA250" s="323" t="e" cm="1">
        <f t="array" ref="AA250">AA196*(Houses_with_gas_28/Houses_with_plumbing_28)*(INDEX('DHW Mix'!$AI$7:$AS$30,Homes_calc!$B250-2006,Homes_calc!AA$35+1))</f>
        <v>#DIV/0!</v>
      </c>
      <c r="AB250" s="323" t="e" cm="1">
        <f t="array" ref="AB250">AB196*(Houses_with_gas_28/Houses_with_plumbing_28)*(INDEX('DHW Mix'!$AI$7:$AS$30,Homes_calc!$B250-2006,Homes_calc!AB$35+1))</f>
        <v>#DIV/0!</v>
      </c>
      <c r="AC250" s="323" t="e" cm="1">
        <f t="array" ref="AC250">AC196*(Houses_with_gas_28/Houses_with_plumbing_28)*(INDEX('DHW Mix'!$AI$7:$AS$30,Homes_calc!$B250-2006,Homes_calc!AC$35+1))</f>
        <v>#DIV/0!</v>
      </c>
      <c r="AD250" s="323" t="e" cm="1">
        <f t="array" ref="AD250">AD196*(Houses_with_gas_28/Houses_with_plumbing_28)*(INDEX('DHW Mix'!$AI$7:$AS$30,Homes_calc!$B250-2006,Homes_calc!AD$35+1))</f>
        <v>#DIV/0!</v>
      </c>
      <c r="AE250" s="323" t="e" cm="1">
        <f t="array" ref="AE250">AE196*(Houses_with_gas_28/Houses_with_plumbing_28)*(INDEX('DHW Mix'!$AI$7:$AS$30,Homes_calc!$B250-2006,Homes_calc!AE$35+1))</f>
        <v>#DIV/0!</v>
      </c>
      <c r="AF250" s="323" t="e" cm="1">
        <f t="array" ref="AF250">AF196*(Houses_with_gas_28/Houses_with_plumbing_28)*(INDEX('DHW Mix'!$AI$7:$AS$30,Homes_calc!$B250-2006,Homes_calc!AF$35+1))</f>
        <v>#DIV/0!</v>
      </c>
      <c r="AG250" s="323" t="e" cm="1">
        <f t="array" ref="AG250">AG196*(Houses_with_gas_28/Houses_with_plumbing_28)*(INDEX('DHW Mix'!$AI$7:$AS$30,Homes_calc!$B250-2006,Homes_calc!AG$35+1))</f>
        <v>#DIV/0!</v>
      </c>
      <c r="AH250" s="323" t="e" cm="1">
        <f t="array" ref="AH250">AH196*(Houses_with_gas_28/Houses_with_plumbing_28)*(INDEX('DHW Mix'!$AI$7:$AS$30,Homes_calc!$B250-2006,Homes_calc!AH$35+1))</f>
        <v>#DIV/0!</v>
      </c>
      <c r="AI250" s="323" t="e" cm="1">
        <f t="array" ref="AI250">AI196*(Houses_with_gas_28/Houses_with_plumbing_28)*(INDEX('DHW Mix'!$AI$7:$AS$30,Homes_calc!$B250-2006,Homes_calc!AI$35+1))</f>
        <v>#DIV/0!</v>
      </c>
      <c r="AJ250" s="323" t="e" cm="1">
        <f t="array" ref="AJ250">AJ196*(Houses_with_gas_28/Houses_with_plumbing_28)*(INDEX('DHW Mix'!$AI$7:$AS$30,Homes_calc!$B250-2006,Homes_calc!AJ$35+1))</f>
        <v>#DIV/0!</v>
      </c>
      <c r="AK250" s="323" t="e" cm="1">
        <f t="array" ref="AK250">AK196*(Houses_with_gas_28/Houses_with_plumbing_28)*(INDEX('DHW Mix'!$AI$7:$AS$30,Homes_calc!$B250-2006,Homes_calc!AK$35+1))</f>
        <v>#DIV/0!</v>
      </c>
      <c r="AL250" s="323" t="e" cm="1">
        <f t="array" ref="AL250">AL196*(Houses_with_gas_28/Houses_with_plumbing_28)*(INDEX('DHW Mix'!$AI$7:$AS$30,Homes_calc!$B250-2006,Homes_calc!AL$35+1))</f>
        <v>#DIV/0!</v>
      </c>
      <c r="AM250" s="323" t="e" cm="1">
        <f t="array" ref="AM250">AM196*(Houses_with_gas_28/Houses_with_plumbing_28)*(INDEX('DHW Mix'!$AI$7:$AS$30,Homes_calc!$B250-2006,Homes_calc!AM$35+1))</f>
        <v>#DIV/0!</v>
      </c>
      <c r="AN250" s="323" t="e" cm="1">
        <f t="array" ref="AN250">AN196*(Houses_with_gas_28/Houses_with_plumbing_28)*(INDEX('DHW Mix'!$AI$7:$AS$30,Homes_calc!$B250-2006,Homes_calc!AN$35+1))</f>
        <v>#DIV/0!</v>
      </c>
      <c r="AO250" s="323" t="e" cm="1">
        <f t="array" ref="AO250">AO196*(Houses_with_gas_28/Houses_with_plumbing_28)*(INDEX('DHW Mix'!$AI$7:$AS$30,Homes_calc!$B250-2006,Homes_calc!AO$35+1))</f>
        <v>#DIV/0!</v>
      </c>
      <c r="AP250" s="323" t="e" cm="1">
        <f t="array" ref="AP250">AP196*(Houses_with_gas_28/Houses_with_plumbing_28)*(INDEX('DHW Mix'!$AI$7:$AS$30,Homes_calc!$B250-2006,Homes_calc!AP$35+1))</f>
        <v>#DIV/0!</v>
      </c>
      <c r="AQ250" s="323" t="e" cm="1">
        <f t="array" ref="AQ250">AQ196*(Houses_with_gas_28/Houses_with_plumbing_28)*(INDEX('DHW Mix'!$AI$7:$AS$30,Homes_calc!$B250-2006,Homes_calc!AQ$35+1))</f>
        <v>#DIV/0!</v>
      </c>
      <c r="AR250" s="323" t="e" cm="1">
        <f t="array" ref="AR250">AR196*(Houses_with_gas_28/Houses_with_plumbing_28)*(INDEX('DHW Mix'!$AI$7:$AS$30,Homes_calc!$B250-2006,Homes_calc!AR$35+1))</f>
        <v>#DIV/0!</v>
      </c>
      <c r="AS250" s="323" t="e" cm="1">
        <f t="array" ref="AS250">AS196*(Houses_with_gas_28/Houses_with_plumbing_28)*(INDEX('DHW Mix'!$AI$7:$AS$30,Homes_calc!$B250-2006,Homes_calc!AS$35+1))</f>
        <v>#DIV/0!</v>
      </c>
      <c r="AT250" s="323" t="e" cm="1">
        <f t="array" ref="AT250">AT196*(Houses_with_gas_28/Houses_with_plumbing_28)*(INDEX('DHW Mix'!$AI$7:$AS$30,Homes_calc!$B250-2006,Homes_calc!AT$35+1))</f>
        <v>#DIV/0!</v>
      </c>
      <c r="AU250" s="323" t="e" cm="1">
        <f t="array" ref="AU250">AU196*(Houses_with_gas_28/Houses_with_plumbing_28)*(INDEX('DHW Mix'!$AI$7:$AS$30,Homes_calc!$B250-2006,Homes_calc!AU$35+1))</f>
        <v>#DIV/0!</v>
      </c>
      <c r="AV250" s="323" t="e" cm="1">
        <f t="array" ref="AV250">AV196*(Houses_with_gas_28/Houses_with_plumbing_28)*(INDEX('DHW Mix'!$AI$7:$AS$30,Homes_calc!$B250-2006,Homes_calc!AV$35+1))</f>
        <v>#DIV/0!</v>
      </c>
      <c r="AW250" s="323" t="e" cm="1">
        <f t="array" ref="AW250">AW196*(Houses_with_gas_28/Houses_with_plumbing_28)*(INDEX('DHW Mix'!$AI$7:$AS$30,Homes_calc!$B250-2006,Homes_calc!AW$35+1))</f>
        <v>#DIV/0!</v>
      </c>
      <c r="AX250" s="323" t="e" cm="1">
        <f t="array" ref="AX250">AX196*(Houses_with_gas_28/Houses_with_plumbing_28)*(INDEX('DHW Mix'!$AI$7:$AS$30,Homes_calc!$B250-2006,Homes_calc!AX$35+1))</f>
        <v>#DIV/0!</v>
      </c>
      <c r="AY250" s="323" t="e" cm="1">
        <f t="array" ref="AY250">AY196*(Houses_with_gas_28/Houses_with_plumbing_28)*(INDEX('DHW Mix'!$AI$7:$AS$30,Homes_calc!$B250-2006,Homes_calc!AY$35+1))</f>
        <v>#DIV/0!</v>
      </c>
      <c r="AZ250" s="323" t="e" cm="1">
        <f t="array" ref="AZ250">AZ196*(Houses_with_gas_28/Houses_with_plumbing_28)*(INDEX('DHW Mix'!$AI$7:$AS$30,Homes_calc!$B250-2006,Homes_calc!AZ$35+1))</f>
        <v>#DIV/0!</v>
      </c>
      <c r="BA250" s="323" t="e" cm="1">
        <f t="array" ref="BA250">BA196*(Houses_with_gas_28/Houses_with_plumbing_28)*(INDEX('DHW Mix'!$AI$7:$AS$30,Homes_calc!$B250-2006,Homes_calc!BA$35+1))</f>
        <v>#DIV/0!</v>
      </c>
      <c r="BB250" s="21" t="e">
        <f t="shared" si="193"/>
        <v>#DIV/0!</v>
      </c>
    </row>
    <row r="251" spans="1:54">
      <c r="A251" s="456"/>
      <c r="B251" s="228">
        <v>2029</v>
      </c>
      <c r="C251" s="323" t="e" cm="1">
        <f t="array" ref="C251">C197*(Houses_with_gas_29/Houses_with_plumbing_29)*(INDEX('DHW Mix'!$AI$7:$AS$30,Homes_calc!$B251-2006,Homes_calc!C$35+1))</f>
        <v>#DIV/0!</v>
      </c>
      <c r="D251" s="323" t="e" cm="1">
        <f t="array" ref="D251">D197*(Houses_with_gas_29/Houses_with_plumbing_29)*(INDEX('DHW Mix'!$AI$7:$AS$30,Homes_calc!$B251-2006,Homes_calc!D$35+1))</f>
        <v>#DIV/0!</v>
      </c>
      <c r="E251" s="323" t="e" cm="1">
        <f t="array" ref="E251">E197*(Houses_with_gas_29/Houses_with_plumbing_29)*(INDEX('DHW Mix'!$AI$7:$AS$30,Homes_calc!$B251-2006,Homes_calc!E$35+1))</f>
        <v>#DIV/0!</v>
      </c>
      <c r="F251" s="323" t="e" cm="1">
        <f t="array" ref="F251">F197*(Houses_with_gas_29/Houses_with_plumbing_29)*(INDEX('DHW Mix'!$AI$7:$AS$30,Homes_calc!$B251-2006,Homes_calc!F$35+1))</f>
        <v>#DIV/0!</v>
      </c>
      <c r="G251" s="323" t="e" cm="1">
        <f t="array" ref="G251">G197*(Houses_with_gas_29/Houses_with_plumbing_29)*(INDEX('DHW Mix'!$AI$7:$AS$30,Homes_calc!$B251-2006,Homes_calc!G$35+1))</f>
        <v>#DIV/0!</v>
      </c>
      <c r="H251" s="323" t="e" cm="1">
        <f t="array" ref="H251">H197*(Houses_with_gas_29/Houses_with_plumbing_29)*(INDEX('DHW Mix'!$AI$7:$AS$30,Homes_calc!$B251-2006,Homes_calc!H$35+1))</f>
        <v>#DIV/0!</v>
      </c>
      <c r="I251" s="323" t="e" cm="1">
        <f t="array" ref="I251">I197*(Houses_with_gas_29/Houses_with_plumbing_29)*(INDEX('DHW Mix'!$AI$7:$AS$30,Homes_calc!$B251-2006,Homes_calc!I$35+1))</f>
        <v>#DIV/0!</v>
      </c>
      <c r="J251" s="323" t="e" cm="1">
        <f t="array" ref="J251">J197*(Houses_with_gas_29/Houses_with_plumbing_29)*(INDEX('DHW Mix'!$AI$7:$AS$30,Homes_calc!$B251-2006,Homes_calc!J$35+1))</f>
        <v>#DIV/0!</v>
      </c>
      <c r="K251" s="323" t="e" cm="1">
        <f t="array" ref="K251">K197*(Houses_with_gas_29/Houses_with_plumbing_29)*(INDEX('DHW Mix'!$AI$7:$AS$30,Homes_calc!$B251-2006,Homes_calc!K$35+1))</f>
        <v>#DIV/0!</v>
      </c>
      <c r="L251" s="323" t="e" cm="1">
        <f t="array" ref="L251">L197*(Houses_with_gas_29/Houses_with_plumbing_29)*(INDEX('DHW Mix'!$AI$7:$AS$30,Homes_calc!$B251-2006,Homes_calc!L$35+1))</f>
        <v>#DIV/0!</v>
      </c>
      <c r="M251" s="323" t="e" cm="1">
        <f t="array" ref="M251">M197*(Houses_with_gas_29/Houses_with_plumbing_29)*(INDEX('DHW Mix'!$AI$7:$AS$30,Homes_calc!$B251-2006,Homes_calc!M$35+1))</f>
        <v>#DIV/0!</v>
      </c>
      <c r="N251" s="323" t="e" cm="1">
        <f t="array" ref="N251">N197*(Houses_with_gas_29/Houses_with_plumbing_29)*(INDEX('DHW Mix'!$AI$7:$AS$30,Homes_calc!$B251-2006,Homes_calc!N$35+1))</f>
        <v>#DIV/0!</v>
      </c>
      <c r="O251" s="323" t="e" cm="1">
        <f t="array" ref="O251">O197*(Houses_with_gas_29/Houses_with_plumbing_29)*(INDEX('DHW Mix'!$AI$7:$AS$30,Homes_calc!$B251-2006,Homes_calc!O$35+1))</f>
        <v>#DIV/0!</v>
      </c>
      <c r="P251" s="323" t="e" cm="1">
        <f t="array" ref="P251">P197*(Houses_with_gas_29/Houses_with_plumbing_29)*(INDEX('DHW Mix'!$AI$7:$AS$30,Homes_calc!$B251-2006,Homes_calc!P$35+1))</f>
        <v>#DIV/0!</v>
      </c>
      <c r="Q251" s="323" t="e" cm="1">
        <f t="array" ref="Q251">Q197*(Houses_with_gas_29/Houses_with_plumbing_29)*(INDEX('DHW Mix'!$AI$7:$AS$30,Homes_calc!$B251-2006,Homes_calc!Q$35+1))</f>
        <v>#DIV/0!</v>
      </c>
      <c r="R251" s="323" t="e" cm="1">
        <f t="array" ref="R251">R197*(Houses_with_gas_29/Houses_with_plumbing_29)*(INDEX('DHW Mix'!$AI$7:$AS$30,Homes_calc!$B251-2006,Homes_calc!R$35+1))</f>
        <v>#DIV/0!</v>
      </c>
      <c r="S251" s="323" t="e" cm="1">
        <f t="array" ref="S251">S197*(Houses_with_gas_29/Houses_with_plumbing_29)*(INDEX('DHW Mix'!$AI$7:$AS$30,Homes_calc!$B251-2006,Homes_calc!S$35+1))</f>
        <v>#DIV/0!</v>
      </c>
      <c r="T251" s="323" t="e" cm="1">
        <f t="array" ref="T251">T197*(Houses_with_gas_29/Houses_with_plumbing_29)*(INDEX('DHW Mix'!$AI$7:$AS$30,Homes_calc!$B251-2006,Homes_calc!T$35+1))</f>
        <v>#DIV/0!</v>
      </c>
      <c r="U251" s="323" t="e" cm="1">
        <f t="array" ref="U251">U197*(Houses_with_gas_29/Houses_with_plumbing_29)*(INDEX('DHW Mix'!$AI$7:$AS$30,Homes_calc!$B251-2006,Homes_calc!U$35+1))</f>
        <v>#DIV/0!</v>
      </c>
      <c r="V251" s="323" t="e" cm="1">
        <f t="array" ref="V251">V197*(Houses_with_gas_29/Houses_with_plumbing_29)*(INDEX('DHW Mix'!$AI$7:$AS$30,Homes_calc!$B251-2006,Homes_calc!V$35+1))</f>
        <v>#DIV/0!</v>
      </c>
      <c r="W251" s="323" t="e" cm="1">
        <f t="array" ref="W251">W197*(Houses_with_gas_29/Houses_with_plumbing_29)*(INDEX('DHW Mix'!$AI$7:$AS$30,Homes_calc!$B251-2006,Homes_calc!W$35+1))</f>
        <v>#DIV/0!</v>
      </c>
      <c r="X251" s="323" t="e" cm="1">
        <f t="array" ref="X251">X197*(Houses_with_gas_29/Houses_with_plumbing_29)*(INDEX('DHW Mix'!$AI$7:$AS$30,Homes_calc!$B251-2006,Homes_calc!X$35+1))</f>
        <v>#DIV/0!</v>
      </c>
      <c r="Y251" s="323" t="e" cm="1">
        <f t="array" ref="Y251">Y197*(Houses_with_gas_29/Houses_with_plumbing_29)*(INDEX('DHW Mix'!$AI$7:$AS$30,Homes_calc!$B251-2006,Homes_calc!Y$35+1))</f>
        <v>#DIV/0!</v>
      </c>
      <c r="Z251" s="323" t="e" cm="1">
        <f t="array" ref="Z251">Z197*(Houses_with_gas_29/Houses_with_plumbing_29)*(INDEX('DHW Mix'!$AI$7:$AS$30,Homes_calc!$B251-2006,Homes_calc!Z$35+1))</f>
        <v>#DIV/0!</v>
      </c>
      <c r="AA251" s="323" t="e" cm="1">
        <f t="array" ref="AA251">AA197*(Houses_with_gas_29/Houses_with_plumbing_29)*(INDEX('DHW Mix'!$AI$7:$AS$30,Homes_calc!$B251-2006,Homes_calc!AA$35+1))</f>
        <v>#DIV/0!</v>
      </c>
      <c r="AB251" s="323" t="e" cm="1">
        <f t="array" ref="AB251">AB197*(Houses_with_gas_29/Houses_with_plumbing_29)*(INDEX('DHW Mix'!$AI$7:$AS$30,Homes_calc!$B251-2006,Homes_calc!AB$35+1))</f>
        <v>#DIV/0!</v>
      </c>
      <c r="AC251" s="323" t="e" cm="1">
        <f t="array" ref="AC251">AC197*(Houses_with_gas_29/Houses_with_plumbing_29)*(INDEX('DHW Mix'!$AI$7:$AS$30,Homes_calc!$B251-2006,Homes_calc!AC$35+1))</f>
        <v>#DIV/0!</v>
      </c>
      <c r="AD251" s="323" t="e" cm="1">
        <f t="array" ref="AD251">AD197*(Houses_with_gas_29/Houses_with_plumbing_29)*(INDEX('DHW Mix'!$AI$7:$AS$30,Homes_calc!$B251-2006,Homes_calc!AD$35+1))</f>
        <v>#DIV/0!</v>
      </c>
      <c r="AE251" s="323" t="e" cm="1">
        <f t="array" ref="AE251">AE197*(Houses_with_gas_29/Houses_with_plumbing_29)*(INDEX('DHW Mix'!$AI$7:$AS$30,Homes_calc!$B251-2006,Homes_calc!AE$35+1))</f>
        <v>#DIV/0!</v>
      </c>
      <c r="AF251" s="323" t="e" cm="1">
        <f t="array" ref="AF251">AF197*(Houses_with_gas_29/Houses_with_plumbing_29)*(INDEX('DHW Mix'!$AI$7:$AS$30,Homes_calc!$B251-2006,Homes_calc!AF$35+1))</f>
        <v>#DIV/0!</v>
      </c>
      <c r="AG251" s="323" t="e" cm="1">
        <f t="array" ref="AG251">AG197*(Houses_with_gas_29/Houses_with_plumbing_29)*(INDEX('DHW Mix'!$AI$7:$AS$30,Homes_calc!$B251-2006,Homes_calc!AG$35+1))</f>
        <v>#DIV/0!</v>
      </c>
      <c r="AH251" s="323" t="e" cm="1">
        <f t="array" ref="AH251">AH197*(Houses_with_gas_29/Houses_with_plumbing_29)*(INDEX('DHW Mix'!$AI$7:$AS$30,Homes_calc!$B251-2006,Homes_calc!AH$35+1))</f>
        <v>#DIV/0!</v>
      </c>
      <c r="AI251" s="323" t="e" cm="1">
        <f t="array" ref="AI251">AI197*(Houses_with_gas_29/Houses_with_plumbing_29)*(INDEX('DHW Mix'!$AI$7:$AS$30,Homes_calc!$B251-2006,Homes_calc!AI$35+1))</f>
        <v>#DIV/0!</v>
      </c>
      <c r="AJ251" s="323" t="e" cm="1">
        <f t="array" ref="AJ251">AJ197*(Houses_with_gas_29/Houses_with_plumbing_29)*(INDEX('DHW Mix'!$AI$7:$AS$30,Homes_calc!$B251-2006,Homes_calc!AJ$35+1))</f>
        <v>#DIV/0!</v>
      </c>
      <c r="AK251" s="323" t="e" cm="1">
        <f t="array" ref="AK251">AK197*(Houses_with_gas_29/Houses_with_plumbing_29)*(INDEX('DHW Mix'!$AI$7:$AS$30,Homes_calc!$B251-2006,Homes_calc!AK$35+1))</f>
        <v>#DIV/0!</v>
      </c>
      <c r="AL251" s="323" t="e" cm="1">
        <f t="array" ref="AL251">AL197*(Houses_with_gas_29/Houses_with_plumbing_29)*(INDEX('DHW Mix'!$AI$7:$AS$30,Homes_calc!$B251-2006,Homes_calc!AL$35+1))</f>
        <v>#DIV/0!</v>
      </c>
      <c r="AM251" s="323" t="e" cm="1">
        <f t="array" ref="AM251">AM197*(Houses_with_gas_29/Houses_with_plumbing_29)*(INDEX('DHW Mix'!$AI$7:$AS$30,Homes_calc!$B251-2006,Homes_calc!AM$35+1))</f>
        <v>#DIV/0!</v>
      </c>
      <c r="AN251" s="323" t="e" cm="1">
        <f t="array" ref="AN251">AN197*(Houses_with_gas_29/Houses_with_plumbing_29)*(INDEX('DHW Mix'!$AI$7:$AS$30,Homes_calc!$B251-2006,Homes_calc!AN$35+1))</f>
        <v>#DIV/0!</v>
      </c>
      <c r="AO251" s="323" t="e" cm="1">
        <f t="array" ref="AO251">AO197*(Houses_with_gas_29/Houses_with_plumbing_29)*(INDEX('DHW Mix'!$AI$7:$AS$30,Homes_calc!$B251-2006,Homes_calc!AO$35+1))</f>
        <v>#DIV/0!</v>
      </c>
      <c r="AP251" s="323" t="e" cm="1">
        <f t="array" ref="AP251">AP197*(Houses_with_gas_29/Houses_with_plumbing_29)*(INDEX('DHW Mix'!$AI$7:$AS$30,Homes_calc!$B251-2006,Homes_calc!AP$35+1))</f>
        <v>#DIV/0!</v>
      </c>
      <c r="AQ251" s="323" t="e" cm="1">
        <f t="array" ref="AQ251">AQ197*(Houses_with_gas_29/Houses_with_plumbing_29)*(INDEX('DHW Mix'!$AI$7:$AS$30,Homes_calc!$B251-2006,Homes_calc!AQ$35+1))</f>
        <v>#DIV/0!</v>
      </c>
      <c r="AR251" s="323" t="e" cm="1">
        <f t="array" ref="AR251">AR197*(Houses_with_gas_29/Houses_with_plumbing_29)*(INDEX('DHW Mix'!$AI$7:$AS$30,Homes_calc!$B251-2006,Homes_calc!AR$35+1))</f>
        <v>#DIV/0!</v>
      </c>
      <c r="AS251" s="323" t="e" cm="1">
        <f t="array" ref="AS251">AS197*(Houses_with_gas_29/Houses_with_plumbing_29)*(INDEX('DHW Mix'!$AI$7:$AS$30,Homes_calc!$B251-2006,Homes_calc!AS$35+1))</f>
        <v>#DIV/0!</v>
      </c>
      <c r="AT251" s="323" t="e" cm="1">
        <f t="array" ref="AT251">AT197*(Houses_with_gas_29/Houses_with_plumbing_29)*(INDEX('DHW Mix'!$AI$7:$AS$30,Homes_calc!$B251-2006,Homes_calc!AT$35+1))</f>
        <v>#DIV/0!</v>
      </c>
      <c r="AU251" s="323" t="e" cm="1">
        <f t="array" ref="AU251">AU197*(Houses_with_gas_29/Houses_with_plumbing_29)*(INDEX('DHW Mix'!$AI$7:$AS$30,Homes_calc!$B251-2006,Homes_calc!AU$35+1))</f>
        <v>#DIV/0!</v>
      </c>
      <c r="AV251" s="323" t="e" cm="1">
        <f t="array" ref="AV251">AV197*(Houses_with_gas_29/Houses_with_plumbing_29)*(INDEX('DHW Mix'!$AI$7:$AS$30,Homes_calc!$B251-2006,Homes_calc!AV$35+1))</f>
        <v>#DIV/0!</v>
      </c>
      <c r="AW251" s="323" t="e" cm="1">
        <f t="array" ref="AW251">AW197*(Houses_with_gas_29/Houses_with_plumbing_29)*(INDEX('DHW Mix'!$AI$7:$AS$30,Homes_calc!$B251-2006,Homes_calc!AW$35+1))</f>
        <v>#DIV/0!</v>
      </c>
      <c r="AX251" s="323" t="e" cm="1">
        <f t="array" ref="AX251">AX197*(Houses_with_gas_29/Houses_with_plumbing_29)*(INDEX('DHW Mix'!$AI$7:$AS$30,Homes_calc!$B251-2006,Homes_calc!AX$35+1))</f>
        <v>#DIV/0!</v>
      </c>
      <c r="AY251" s="323" t="e" cm="1">
        <f t="array" ref="AY251">AY197*(Houses_with_gas_29/Houses_with_plumbing_29)*(INDEX('DHW Mix'!$AI$7:$AS$30,Homes_calc!$B251-2006,Homes_calc!AY$35+1))</f>
        <v>#DIV/0!</v>
      </c>
      <c r="AZ251" s="323" t="e" cm="1">
        <f t="array" ref="AZ251">AZ197*(Houses_with_gas_29/Houses_with_plumbing_29)*(INDEX('DHW Mix'!$AI$7:$AS$30,Homes_calc!$B251-2006,Homes_calc!AZ$35+1))</f>
        <v>#DIV/0!</v>
      </c>
      <c r="BA251" s="323" t="e" cm="1">
        <f t="array" ref="BA251">BA197*(Houses_with_gas_29/Houses_with_plumbing_29)*(INDEX('DHW Mix'!$AI$7:$AS$30,Homes_calc!$B251-2006,Homes_calc!BA$35+1))</f>
        <v>#DIV/0!</v>
      </c>
      <c r="BB251" s="21" t="e">
        <f t="shared" si="193"/>
        <v>#DIV/0!</v>
      </c>
    </row>
    <row r="252" spans="1:54">
      <c r="A252" s="456"/>
      <c r="B252" s="226">
        <v>2030</v>
      </c>
      <c r="C252" s="323" t="e" cm="1">
        <f t="array" ref="C252">C198*(Houses_with_gas_30/Houses_with_plumbing_30)*(INDEX('DHW Mix'!$AI$7:$AS$30,Homes_calc!$B252-2006,Homes_calc!C$35+1))</f>
        <v>#DIV/0!</v>
      </c>
      <c r="D252" s="323" t="e" cm="1">
        <f t="array" ref="D252">D198*(Houses_with_gas_30/Houses_with_plumbing_30)*(INDEX('DHW Mix'!$AI$7:$AS$30,Homes_calc!$B252-2006,Homes_calc!D$35+1))</f>
        <v>#DIV/0!</v>
      </c>
      <c r="E252" s="323" t="e" cm="1">
        <f t="array" ref="E252">E198*(Houses_with_gas_30/Houses_with_plumbing_30)*(INDEX('DHW Mix'!$AI$7:$AS$30,Homes_calc!$B252-2006,Homes_calc!E$35+1))</f>
        <v>#DIV/0!</v>
      </c>
      <c r="F252" s="323" t="e" cm="1">
        <f t="array" ref="F252">F198*(Houses_with_gas_30/Houses_with_plumbing_30)*(INDEX('DHW Mix'!$AI$7:$AS$30,Homes_calc!$B252-2006,Homes_calc!F$35+1))</f>
        <v>#DIV/0!</v>
      </c>
      <c r="G252" s="323" t="e" cm="1">
        <f t="array" ref="G252">G198*(Houses_with_gas_30/Houses_with_plumbing_30)*(INDEX('DHW Mix'!$AI$7:$AS$30,Homes_calc!$B252-2006,Homes_calc!G$35+1))</f>
        <v>#DIV/0!</v>
      </c>
      <c r="H252" s="323" t="e" cm="1">
        <f t="array" ref="H252">H198*(Houses_with_gas_30/Houses_with_plumbing_30)*(INDEX('DHW Mix'!$AI$7:$AS$30,Homes_calc!$B252-2006,Homes_calc!H$35+1))</f>
        <v>#DIV/0!</v>
      </c>
      <c r="I252" s="323" t="e" cm="1">
        <f t="array" ref="I252">I198*(Houses_with_gas_30/Houses_with_plumbing_30)*(INDEX('DHW Mix'!$AI$7:$AS$30,Homes_calc!$B252-2006,Homes_calc!I$35+1))</f>
        <v>#DIV/0!</v>
      </c>
      <c r="J252" s="323" t="e" cm="1">
        <f t="array" ref="J252">J198*(Houses_with_gas_30/Houses_with_plumbing_30)*(INDEX('DHW Mix'!$AI$7:$AS$30,Homes_calc!$B252-2006,Homes_calc!J$35+1))</f>
        <v>#DIV/0!</v>
      </c>
      <c r="K252" s="323" t="e" cm="1">
        <f t="array" ref="K252">K198*(Houses_with_gas_30/Houses_with_plumbing_30)*(INDEX('DHW Mix'!$AI$7:$AS$30,Homes_calc!$B252-2006,Homes_calc!K$35+1))</f>
        <v>#DIV/0!</v>
      </c>
      <c r="L252" s="323" t="e" cm="1">
        <f t="array" ref="L252">L198*(Houses_with_gas_30/Houses_with_plumbing_30)*(INDEX('DHW Mix'!$AI$7:$AS$30,Homes_calc!$B252-2006,Homes_calc!L$35+1))</f>
        <v>#DIV/0!</v>
      </c>
      <c r="M252" s="323" t="e" cm="1">
        <f t="array" ref="M252">M198*(Houses_with_gas_30/Houses_with_plumbing_30)*(INDEX('DHW Mix'!$AI$7:$AS$30,Homes_calc!$B252-2006,Homes_calc!M$35+1))</f>
        <v>#DIV/0!</v>
      </c>
      <c r="N252" s="323" t="e" cm="1">
        <f t="array" ref="N252">N198*(Houses_with_gas_30/Houses_with_plumbing_30)*(INDEX('DHW Mix'!$AI$7:$AS$30,Homes_calc!$B252-2006,Homes_calc!N$35+1))</f>
        <v>#DIV/0!</v>
      </c>
      <c r="O252" s="323" t="e" cm="1">
        <f t="array" ref="O252">O198*(Houses_with_gas_30/Houses_with_plumbing_30)*(INDEX('DHW Mix'!$AI$7:$AS$30,Homes_calc!$B252-2006,Homes_calc!O$35+1))</f>
        <v>#DIV/0!</v>
      </c>
      <c r="P252" s="323" t="e" cm="1">
        <f t="array" ref="P252">P198*(Houses_with_gas_30/Houses_with_plumbing_30)*(INDEX('DHW Mix'!$AI$7:$AS$30,Homes_calc!$B252-2006,Homes_calc!P$35+1))</f>
        <v>#DIV/0!</v>
      </c>
      <c r="Q252" s="323" t="e" cm="1">
        <f t="array" ref="Q252">Q198*(Houses_with_gas_30/Houses_with_plumbing_30)*(INDEX('DHW Mix'!$AI$7:$AS$30,Homes_calc!$B252-2006,Homes_calc!Q$35+1))</f>
        <v>#DIV/0!</v>
      </c>
      <c r="R252" s="323" t="e" cm="1">
        <f t="array" ref="R252">R198*(Houses_with_gas_30/Houses_with_plumbing_30)*(INDEX('DHW Mix'!$AI$7:$AS$30,Homes_calc!$B252-2006,Homes_calc!R$35+1))</f>
        <v>#DIV/0!</v>
      </c>
      <c r="S252" s="323" t="e" cm="1">
        <f t="array" ref="S252">S198*(Houses_with_gas_30/Houses_with_plumbing_30)*(INDEX('DHW Mix'!$AI$7:$AS$30,Homes_calc!$B252-2006,Homes_calc!S$35+1))</f>
        <v>#DIV/0!</v>
      </c>
      <c r="T252" s="323" t="e" cm="1">
        <f t="array" ref="T252">T198*(Houses_with_gas_30/Houses_with_plumbing_30)*(INDEX('DHW Mix'!$AI$7:$AS$30,Homes_calc!$B252-2006,Homes_calc!T$35+1))</f>
        <v>#DIV/0!</v>
      </c>
      <c r="U252" s="323" t="e" cm="1">
        <f t="array" ref="U252">U198*(Houses_with_gas_30/Houses_with_plumbing_30)*(INDEX('DHW Mix'!$AI$7:$AS$30,Homes_calc!$B252-2006,Homes_calc!U$35+1))</f>
        <v>#DIV/0!</v>
      </c>
      <c r="V252" s="323" t="e" cm="1">
        <f t="array" ref="V252">V198*(Houses_with_gas_30/Houses_with_plumbing_30)*(INDEX('DHW Mix'!$AI$7:$AS$30,Homes_calc!$B252-2006,Homes_calc!V$35+1))</f>
        <v>#DIV/0!</v>
      </c>
      <c r="W252" s="323" t="e" cm="1">
        <f t="array" ref="W252">W198*(Houses_with_gas_30/Houses_with_plumbing_30)*(INDEX('DHW Mix'!$AI$7:$AS$30,Homes_calc!$B252-2006,Homes_calc!W$35+1))</f>
        <v>#DIV/0!</v>
      </c>
      <c r="X252" s="323" t="e" cm="1">
        <f t="array" ref="X252">X198*(Houses_with_gas_30/Houses_with_plumbing_30)*(INDEX('DHW Mix'!$AI$7:$AS$30,Homes_calc!$B252-2006,Homes_calc!X$35+1))</f>
        <v>#DIV/0!</v>
      </c>
      <c r="Y252" s="323" t="e" cm="1">
        <f t="array" ref="Y252">Y198*(Houses_with_gas_30/Houses_with_plumbing_30)*(INDEX('DHW Mix'!$AI$7:$AS$30,Homes_calc!$B252-2006,Homes_calc!Y$35+1))</f>
        <v>#DIV/0!</v>
      </c>
      <c r="Z252" s="323" t="e" cm="1">
        <f t="array" ref="Z252">Z198*(Houses_with_gas_30/Houses_with_plumbing_30)*(INDEX('DHW Mix'!$AI$7:$AS$30,Homes_calc!$B252-2006,Homes_calc!Z$35+1))</f>
        <v>#DIV/0!</v>
      </c>
      <c r="AA252" s="323" t="e" cm="1">
        <f t="array" ref="AA252">AA198*(Houses_with_gas_30/Houses_with_plumbing_30)*(INDEX('DHW Mix'!$AI$7:$AS$30,Homes_calc!$B252-2006,Homes_calc!AA$35+1))</f>
        <v>#DIV/0!</v>
      </c>
      <c r="AB252" s="323" t="e" cm="1">
        <f t="array" ref="AB252">AB198*(Houses_with_gas_30/Houses_with_plumbing_30)*(INDEX('DHW Mix'!$AI$7:$AS$30,Homes_calc!$B252-2006,Homes_calc!AB$35+1))</f>
        <v>#DIV/0!</v>
      </c>
      <c r="AC252" s="323" t="e" cm="1">
        <f t="array" ref="AC252">AC198*(Houses_with_gas_30/Houses_with_plumbing_30)*(INDEX('DHW Mix'!$AI$7:$AS$30,Homes_calc!$B252-2006,Homes_calc!AC$35+1))</f>
        <v>#DIV/0!</v>
      </c>
      <c r="AD252" s="323" t="e" cm="1">
        <f t="array" ref="AD252">AD198*(Houses_with_gas_30/Houses_with_plumbing_30)*(INDEX('DHW Mix'!$AI$7:$AS$30,Homes_calc!$B252-2006,Homes_calc!AD$35+1))</f>
        <v>#DIV/0!</v>
      </c>
      <c r="AE252" s="323" t="e" cm="1">
        <f t="array" ref="AE252">AE198*(Houses_with_gas_30/Houses_with_plumbing_30)*(INDEX('DHW Mix'!$AI$7:$AS$30,Homes_calc!$B252-2006,Homes_calc!AE$35+1))</f>
        <v>#DIV/0!</v>
      </c>
      <c r="AF252" s="323" t="e" cm="1">
        <f t="array" ref="AF252">AF198*(Houses_with_gas_30/Houses_with_plumbing_30)*(INDEX('DHW Mix'!$AI$7:$AS$30,Homes_calc!$B252-2006,Homes_calc!AF$35+1))</f>
        <v>#DIV/0!</v>
      </c>
      <c r="AG252" s="323" t="e" cm="1">
        <f t="array" ref="AG252">AG198*(Houses_with_gas_30/Houses_with_plumbing_30)*(INDEX('DHW Mix'!$AI$7:$AS$30,Homes_calc!$B252-2006,Homes_calc!AG$35+1))</f>
        <v>#DIV/0!</v>
      </c>
      <c r="AH252" s="323" t="e" cm="1">
        <f t="array" ref="AH252">AH198*(Houses_with_gas_30/Houses_with_plumbing_30)*(INDEX('DHW Mix'!$AI$7:$AS$30,Homes_calc!$B252-2006,Homes_calc!AH$35+1))</f>
        <v>#DIV/0!</v>
      </c>
      <c r="AI252" s="323" t="e" cm="1">
        <f t="array" ref="AI252">AI198*(Houses_with_gas_30/Houses_with_plumbing_30)*(INDEX('DHW Mix'!$AI$7:$AS$30,Homes_calc!$B252-2006,Homes_calc!AI$35+1))</f>
        <v>#DIV/0!</v>
      </c>
      <c r="AJ252" s="323" t="e" cm="1">
        <f t="array" ref="AJ252">AJ198*(Houses_with_gas_30/Houses_with_plumbing_30)*(INDEX('DHW Mix'!$AI$7:$AS$30,Homes_calc!$B252-2006,Homes_calc!AJ$35+1))</f>
        <v>#DIV/0!</v>
      </c>
      <c r="AK252" s="323" t="e" cm="1">
        <f t="array" ref="AK252">AK198*(Houses_with_gas_30/Houses_with_plumbing_30)*(INDEX('DHW Mix'!$AI$7:$AS$30,Homes_calc!$B252-2006,Homes_calc!AK$35+1))</f>
        <v>#DIV/0!</v>
      </c>
      <c r="AL252" s="323" t="e" cm="1">
        <f t="array" ref="AL252">AL198*(Houses_with_gas_30/Houses_with_plumbing_30)*(INDEX('DHW Mix'!$AI$7:$AS$30,Homes_calc!$B252-2006,Homes_calc!AL$35+1))</f>
        <v>#DIV/0!</v>
      </c>
      <c r="AM252" s="323" t="e" cm="1">
        <f t="array" ref="AM252">AM198*(Houses_with_gas_30/Houses_with_plumbing_30)*(INDEX('DHW Mix'!$AI$7:$AS$30,Homes_calc!$B252-2006,Homes_calc!AM$35+1))</f>
        <v>#DIV/0!</v>
      </c>
      <c r="AN252" s="323" t="e" cm="1">
        <f t="array" ref="AN252">AN198*(Houses_with_gas_30/Houses_with_plumbing_30)*(INDEX('DHW Mix'!$AI$7:$AS$30,Homes_calc!$B252-2006,Homes_calc!AN$35+1))</f>
        <v>#DIV/0!</v>
      </c>
      <c r="AO252" s="323" t="e" cm="1">
        <f t="array" ref="AO252">AO198*(Houses_with_gas_30/Houses_with_plumbing_30)*(INDEX('DHW Mix'!$AI$7:$AS$30,Homes_calc!$B252-2006,Homes_calc!AO$35+1))</f>
        <v>#DIV/0!</v>
      </c>
      <c r="AP252" s="323" t="e" cm="1">
        <f t="array" ref="AP252">AP198*(Houses_with_gas_30/Houses_with_plumbing_30)*(INDEX('DHW Mix'!$AI$7:$AS$30,Homes_calc!$B252-2006,Homes_calc!AP$35+1))</f>
        <v>#DIV/0!</v>
      </c>
      <c r="AQ252" s="323" t="e" cm="1">
        <f t="array" ref="AQ252">AQ198*(Houses_with_gas_30/Houses_with_plumbing_30)*(INDEX('DHW Mix'!$AI$7:$AS$30,Homes_calc!$B252-2006,Homes_calc!AQ$35+1))</f>
        <v>#DIV/0!</v>
      </c>
      <c r="AR252" s="323" t="e" cm="1">
        <f t="array" ref="AR252">AR198*(Houses_with_gas_30/Houses_with_plumbing_30)*(INDEX('DHW Mix'!$AI$7:$AS$30,Homes_calc!$B252-2006,Homes_calc!AR$35+1))</f>
        <v>#DIV/0!</v>
      </c>
      <c r="AS252" s="323" t="e" cm="1">
        <f t="array" ref="AS252">AS198*(Houses_with_gas_30/Houses_with_plumbing_30)*(INDEX('DHW Mix'!$AI$7:$AS$30,Homes_calc!$B252-2006,Homes_calc!AS$35+1))</f>
        <v>#DIV/0!</v>
      </c>
      <c r="AT252" s="323" t="e" cm="1">
        <f t="array" ref="AT252">AT198*(Houses_with_gas_30/Houses_with_plumbing_30)*(INDEX('DHW Mix'!$AI$7:$AS$30,Homes_calc!$B252-2006,Homes_calc!AT$35+1))</f>
        <v>#DIV/0!</v>
      </c>
      <c r="AU252" s="323" t="e" cm="1">
        <f t="array" ref="AU252">AU198*(Houses_with_gas_30/Houses_with_plumbing_30)*(INDEX('DHW Mix'!$AI$7:$AS$30,Homes_calc!$B252-2006,Homes_calc!AU$35+1))</f>
        <v>#DIV/0!</v>
      </c>
      <c r="AV252" s="323" t="e" cm="1">
        <f t="array" ref="AV252">AV198*(Houses_with_gas_30/Houses_with_plumbing_30)*(INDEX('DHW Mix'!$AI$7:$AS$30,Homes_calc!$B252-2006,Homes_calc!AV$35+1))</f>
        <v>#DIV/0!</v>
      </c>
      <c r="AW252" s="323" t="e" cm="1">
        <f t="array" ref="AW252">AW198*(Houses_with_gas_30/Houses_with_plumbing_30)*(INDEX('DHW Mix'!$AI$7:$AS$30,Homes_calc!$B252-2006,Homes_calc!AW$35+1))</f>
        <v>#DIV/0!</v>
      </c>
      <c r="AX252" s="323" t="e" cm="1">
        <f t="array" ref="AX252">AX198*(Houses_with_gas_30/Houses_with_plumbing_30)*(INDEX('DHW Mix'!$AI$7:$AS$30,Homes_calc!$B252-2006,Homes_calc!AX$35+1))</f>
        <v>#DIV/0!</v>
      </c>
      <c r="AY252" s="323" t="e" cm="1">
        <f t="array" ref="AY252">AY198*(Houses_with_gas_30/Houses_with_plumbing_30)*(INDEX('DHW Mix'!$AI$7:$AS$30,Homes_calc!$B252-2006,Homes_calc!AY$35+1))</f>
        <v>#DIV/0!</v>
      </c>
      <c r="AZ252" s="323" t="e" cm="1">
        <f t="array" ref="AZ252">AZ198*(Houses_with_gas_30/Houses_with_plumbing_30)*(INDEX('DHW Mix'!$AI$7:$AS$30,Homes_calc!$B252-2006,Homes_calc!AZ$35+1))</f>
        <v>#DIV/0!</v>
      </c>
      <c r="BA252" s="323" t="e" cm="1">
        <f t="array" ref="BA252">BA198*(Houses_with_gas_30/Houses_with_plumbing_30)*(INDEX('DHW Mix'!$AI$7:$AS$30,Homes_calc!$B252-2006,Homes_calc!BA$35+1))</f>
        <v>#DIV/0!</v>
      </c>
      <c r="BB252" s="21" t="e">
        <f t="shared" si="193"/>
        <v>#DIV/0!</v>
      </c>
    </row>
    <row r="253" spans="1:54" s="63" customFormat="1"/>
    <row r="254" spans="1:54">
      <c r="A254" s="456" t="s">
        <v>202</v>
      </c>
      <c r="B254" s="226" t="s">
        <v>225</v>
      </c>
      <c r="C254" t="str">
        <f>C227</f>
        <v>AL</v>
      </c>
      <c r="D254" t="str">
        <f t="shared" ref="D254:BA254" si="194">D227</f>
        <v>AK</v>
      </c>
      <c r="E254" t="str">
        <f t="shared" si="194"/>
        <v>AZ</v>
      </c>
      <c r="F254" t="str">
        <f t="shared" si="194"/>
        <v>AR</v>
      </c>
      <c r="G254" t="str">
        <f t="shared" si="194"/>
        <v>CA</v>
      </c>
      <c r="H254" t="str">
        <f t="shared" si="194"/>
        <v>CO</v>
      </c>
      <c r="I254" t="str">
        <f t="shared" si="194"/>
        <v>CT</v>
      </c>
      <c r="J254" t="str">
        <f t="shared" si="194"/>
        <v>DE</v>
      </c>
      <c r="K254" t="str">
        <f t="shared" si="194"/>
        <v>DC</v>
      </c>
      <c r="L254" t="str">
        <f t="shared" si="194"/>
        <v>FL</v>
      </c>
      <c r="M254" t="str">
        <f t="shared" si="194"/>
        <v>GA</v>
      </c>
      <c r="N254" t="str">
        <f t="shared" si="194"/>
        <v>HI</v>
      </c>
      <c r="O254" t="str">
        <f t="shared" si="194"/>
        <v>ID</v>
      </c>
      <c r="P254" t="str">
        <f t="shared" si="194"/>
        <v>IL</v>
      </c>
      <c r="Q254" t="str">
        <f t="shared" si="194"/>
        <v>IN</v>
      </c>
      <c r="R254" t="str">
        <f t="shared" si="194"/>
        <v>IA</v>
      </c>
      <c r="S254" t="str">
        <f t="shared" si="194"/>
        <v>KS</v>
      </c>
      <c r="T254" t="str">
        <f t="shared" si="194"/>
        <v>KY</v>
      </c>
      <c r="U254" t="str">
        <f t="shared" si="194"/>
        <v>LA</v>
      </c>
      <c r="V254" t="str">
        <f t="shared" si="194"/>
        <v>ME</v>
      </c>
      <c r="W254" t="str">
        <f t="shared" si="194"/>
        <v>MD</v>
      </c>
      <c r="X254" t="str">
        <f t="shared" si="194"/>
        <v>MA</v>
      </c>
      <c r="Y254" t="str">
        <f t="shared" si="194"/>
        <v>MI</v>
      </c>
      <c r="Z254" t="str">
        <f t="shared" si="194"/>
        <v>MN</v>
      </c>
      <c r="AA254" t="str">
        <f t="shared" si="194"/>
        <v>MS</v>
      </c>
      <c r="AB254" t="str">
        <f t="shared" si="194"/>
        <v>MO</v>
      </c>
      <c r="AC254" t="str">
        <f t="shared" si="194"/>
        <v>MT</v>
      </c>
      <c r="AD254" t="str">
        <f t="shared" si="194"/>
        <v>NE</v>
      </c>
      <c r="AE254" t="str">
        <f t="shared" si="194"/>
        <v>NV</v>
      </c>
      <c r="AF254" t="str">
        <f t="shared" si="194"/>
        <v>NH</v>
      </c>
      <c r="AG254" t="str">
        <f t="shared" si="194"/>
        <v>NJ</v>
      </c>
      <c r="AH254" t="str">
        <f t="shared" si="194"/>
        <v>NM</v>
      </c>
      <c r="AI254" t="str">
        <f t="shared" si="194"/>
        <v>NY</v>
      </c>
      <c r="AJ254" t="str">
        <f t="shared" si="194"/>
        <v>NC</v>
      </c>
      <c r="AK254" t="str">
        <f t="shared" si="194"/>
        <v>ND</v>
      </c>
      <c r="AL254" t="str">
        <f t="shared" si="194"/>
        <v>OH</v>
      </c>
      <c r="AM254" t="str">
        <f t="shared" si="194"/>
        <v>OK</v>
      </c>
      <c r="AN254" t="str">
        <f t="shared" si="194"/>
        <v>OR</v>
      </c>
      <c r="AO254" t="str">
        <f t="shared" si="194"/>
        <v>PA</v>
      </c>
      <c r="AP254" t="str">
        <f t="shared" si="194"/>
        <v>RI</v>
      </c>
      <c r="AQ254" t="str">
        <f t="shared" si="194"/>
        <v>SC</v>
      </c>
      <c r="AR254" t="str">
        <f t="shared" si="194"/>
        <v>SD</v>
      </c>
      <c r="AS254" t="str">
        <f t="shared" si="194"/>
        <v>TN</v>
      </c>
      <c r="AT254" t="str">
        <f t="shared" si="194"/>
        <v>TX</v>
      </c>
      <c r="AU254" t="str">
        <f t="shared" si="194"/>
        <v>UT</v>
      </c>
      <c r="AV254" t="str">
        <f t="shared" si="194"/>
        <v>VT</v>
      </c>
      <c r="AW254" t="str">
        <f t="shared" si="194"/>
        <v>VA</v>
      </c>
      <c r="AX254" t="str">
        <f t="shared" si="194"/>
        <v>WA</v>
      </c>
      <c r="AY254" t="str">
        <f t="shared" si="194"/>
        <v>WV</v>
      </c>
      <c r="AZ254" t="str">
        <f t="shared" si="194"/>
        <v>WI</v>
      </c>
      <c r="BA254" t="str">
        <f t="shared" si="194"/>
        <v>WY</v>
      </c>
      <c r="BB254" t="s">
        <v>96</v>
      </c>
    </row>
    <row r="255" spans="1:54">
      <c r="A255" s="456"/>
      <c r="B255" s="226" t="s">
        <v>11</v>
      </c>
    </row>
    <row r="256" spans="1:54">
      <c r="A256" s="456"/>
      <c r="B256" s="228">
        <v>2007</v>
      </c>
      <c r="C256" s="21">
        <f t="shared" ref="C256:AH256" si="195">C148+C202+(C229*kwh_per_therm*therms_per_mcf)</f>
        <v>0</v>
      </c>
      <c r="D256" s="21">
        <f t="shared" si="195"/>
        <v>0</v>
      </c>
      <c r="E256" s="21">
        <f t="shared" si="195"/>
        <v>0</v>
      </c>
      <c r="F256" s="21">
        <f t="shared" si="195"/>
        <v>0</v>
      </c>
      <c r="G256" s="21">
        <f t="shared" si="195"/>
        <v>0</v>
      </c>
      <c r="H256" s="21">
        <f t="shared" si="195"/>
        <v>0</v>
      </c>
      <c r="I256" s="21">
        <f t="shared" si="195"/>
        <v>0</v>
      </c>
      <c r="J256" s="21">
        <f t="shared" si="195"/>
        <v>0</v>
      </c>
      <c r="K256" s="21">
        <f t="shared" si="195"/>
        <v>0</v>
      </c>
      <c r="L256" s="21">
        <f t="shared" si="195"/>
        <v>0</v>
      </c>
      <c r="M256" s="21">
        <f t="shared" si="195"/>
        <v>0</v>
      </c>
      <c r="N256" s="21">
        <f t="shared" si="195"/>
        <v>0</v>
      </c>
      <c r="O256" s="21">
        <f t="shared" si="195"/>
        <v>0</v>
      </c>
      <c r="P256" s="21">
        <f t="shared" si="195"/>
        <v>0</v>
      </c>
      <c r="Q256" s="21">
        <f t="shared" si="195"/>
        <v>0</v>
      </c>
      <c r="R256" s="21">
        <f t="shared" si="195"/>
        <v>0</v>
      </c>
      <c r="S256" s="21">
        <f t="shared" si="195"/>
        <v>0</v>
      </c>
      <c r="T256" s="21">
        <f t="shared" si="195"/>
        <v>0</v>
      </c>
      <c r="U256" s="21">
        <f t="shared" si="195"/>
        <v>0</v>
      </c>
      <c r="V256" s="21">
        <f t="shared" si="195"/>
        <v>0</v>
      </c>
      <c r="W256" s="21">
        <f t="shared" si="195"/>
        <v>0</v>
      </c>
      <c r="X256" s="21">
        <f t="shared" si="195"/>
        <v>0</v>
      </c>
      <c r="Y256" s="21">
        <f t="shared" si="195"/>
        <v>0</v>
      </c>
      <c r="Z256" s="21">
        <f t="shared" si="195"/>
        <v>0</v>
      </c>
      <c r="AA256" s="21">
        <f t="shared" si="195"/>
        <v>0</v>
      </c>
      <c r="AB256" s="21">
        <f t="shared" si="195"/>
        <v>0</v>
      </c>
      <c r="AC256" s="21">
        <f t="shared" si="195"/>
        <v>0</v>
      </c>
      <c r="AD256" s="21">
        <f t="shared" si="195"/>
        <v>0</v>
      </c>
      <c r="AE256" s="21">
        <f t="shared" si="195"/>
        <v>0</v>
      </c>
      <c r="AF256" s="21">
        <f t="shared" si="195"/>
        <v>0</v>
      </c>
      <c r="AG256" s="21">
        <f t="shared" si="195"/>
        <v>0</v>
      </c>
      <c r="AH256" s="21">
        <f t="shared" si="195"/>
        <v>0</v>
      </c>
      <c r="AI256" s="21">
        <f t="shared" ref="AI256:BA256" si="196">AI148+AI202+(AI229*kwh_per_therm*therms_per_mcf)</f>
        <v>0</v>
      </c>
      <c r="AJ256" s="21">
        <f t="shared" si="196"/>
        <v>0</v>
      </c>
      <c r="AK256" s="21">
        <f t="shared" si="196"/>
        <v>0</v>
      </c>
      <c r="AL256" s="21">
        <f t="shared" si="196"/>
        <v>0</v>
      </c>
      <c r="AM256" s="21">
        <f t="shared" si="196"/>
        <v>0</v>
      </c>
      <c r="AN256" s="21">
        <f t="shared" si="196"/>
        <v>0</v>
      </c>
      <c r="AO256" s="21">
        <f t="shared" si="196"/>
        <v>0</v>
      </c>
      <c r="AP256" s="21">
        <f t="shared" si="196"/>
        <v>0</v>
      </c>
      <c r="AQ256" s="21">
        <f t="shared" si="196"/>
        <v>0</v>
      </c>
      <c r="AR256" s="21">
        <f t="shared" si="196"/>
        <v>0</v>
      </c>
      <c r="AS256" s="21">
        <f t="shared" si="196"/>
        <v>0</v>
      </c>
      <c r="AT256" s="21">
        <f t="shared" si="196"/>
        <v>0</v>
      </c>
      <c r="AU256" s="21">
        <f t="shared" si="196"/>
        <v>0</v>
      </c>
      <c r="AV256" s="21">
        <f t="shared" si="196"/>
        <v>0</v>
      </c>
      <c r="AW256" s="21">
        <f t="shared" si="196"/>
        <v>0</v>
      </c>
      <c r="AX256" s="21">
        <f t="shared" si="196"/>
        <v>0</v>
      </c>
      <c r="AY256" s="21">
        <f t="shared" si="196"/>
        <v>0</v>
      </c>
      <c r="AZ256" s="21">
        <f t="shared" si="196"/>
        <v>0</v>
      </c>
      <c r="BA256" s="21">
        <f t="shared" si="196"/>
        <v>0</v>
      </c>
      <c r="BB256" s="145">
        <f t="shared" ref="BB256:BB279" si="197">SUM(C256:BA256)</f>
        <v>0</v>
      </c>
    </row>
    <row r="257" spans="1:54">
      <c r="A257" s="456"/>
      <c r="B257" s="226">
        <v>2008</v>
      </c>
      <c r="C257" s="21">
        <f t="shared" ref="C257:AH257" si="198">C149+C203+(C230*kwh_per_therm*therms_per_mcf)</f>
        <v>0</v>
      </c>
      <c r="D257" s="21">
        <f t="shared" si="198"/>
        <v>0</v>
      </c>
      <c r="E257" s="21">
        <f t="shared" si="198"/>
        <v>0</v>
      </c>
      <c r="F257" s="21">
        <f t="shared" si="198"/>
        <v>0</v>
      </c>
      <c r="G257" s="21">
        <f t="shared" si="198"/>
        <v>0</v>
      </c>
      <c r="H257" s="21">
        <f t="shared" si="198"/>
        <v>0</v>
      </c>
      <c r="I257" s="21">
        <f t="shared" si="198"/>
        <v>0</v>
      </c>
      <c r="J257" s="21">
        <f t="shared" si="198"/>
        <v>0</v>
      </c>
      <c r="K257" s="21">
        <f t="shared" si="198"/>
        <v>0</v>
      </c>
      <c r="L257" s="21">
        <f t="shared" si="198"/>
        <v>0</v>
      </c>
      <c r="M257" s="21">
        <f t="shared" si="198"/>
        <v>0</v>
      </c>
      <c r="N257" s="21">
        <f t="shared" si="198"/>
        <v>0</v>
      </c>
      <c r="O257" s="21">
        <f t="shared" si="198"/>
        <v>0</v>
      </c>
      <c r="P257" s="21">
        <f t="shared" si="198"/>
        <v>0</v>
      </c>
      <c r="Q257" s="21">
        <f t="shared" si="198"/>
        <v>0</v>
      </c>
      <c r="R257" s="21">
        <f t="shared" si="198"/>
        <v>0</v>
      </c>
      <c r="S257" s="21">
        <f t="shared" si="198"/>
        <v>0</v>
      </c>
      <c r="T257" s="21">
        <f t="shared" si="198"/>
        <v>0</v>
      </c>
      <c r="U257" s="21">
        <f t="shared" si="198"/>
        <v>0</v>
      </c>
      <c r="V257" s="21">
        <f t="shared" si="198"/>
        <v>0</v>
      </c>
      <c r="W257" s="21">
        <f t="shared" si="198"/>
        <v>0</v>
      </c>
      <c r="X257" s="21">
        <f t="shared" si="198"/>
        <v>0</v>
      </c>
      <c r="Y257" s="21">
        <f t="shared" si="198"/>
        <v>0</v>
      </c>
      <c r="Z257" s="21">
        <f t="shared" si="198"/>
        <v>0</v>
      </c>
      <c r="AA257" s="21">
        <f t="shared" si="198"/>
        <v>0</v>
      </c>
      <c r="AB257" s="21">
        <f t="shared" si="198"/>
        <v>0</v>
      </c>
      <c r="AC257" s="21">
        <f t="shared" si="198"/>
        <v>0</v>
      </c>
      <c r="AD257" s="21">
        <f t="shared" si="198"/>
        <v>0</v>
      </c>
      <c r="AE257" s="21">
        <f t="shared" si="198"/>
        <v>0</v>
      </c>
      <c r="AF257" s="21">
        <f t="shared" si="198"/>
        <v>0</v>
      </c>
      <c r="AG257" s="21">
        <f t="shared" si="198"/>
        <v>0</v>
      </c>
      <c r="AH257" s="21">
        <f t="shared" si="198"/>
        <v>0</v>
      </c>
      <c r="AI257" s="21">
        <f t="shared" ref="AI257:BA257" si="199">AI149+AI203+(AI230*kwh_per_therm*therms_per_mcf)</f>
        <v>0</v>
      </c>
      <c r="AJ257" s="21">
        <f t="shared" si="199"/>
        <v>0</v>
      </c>
      <c r="AK257" s="21">
        <f t="shared" si="199"/>
        <v>0</v>
      </c>
      <c r="AL257" s="21">
        <f t="shared" si="199"/>
        <v>0</v>
      </c>
      <c r="AM257" s="21">
        <f t="shared" si="199"/>
        <v>0</v>
      </c>
      <c r="AN257" s="21">
        <f t="shared" si="199"/>
        <v>0</v>
      </c>
      <c r="AO257" s="21">
        <f t="shared" si="199"/>
        <v>0</v>
      </c>
      <c r="AP257" s="21">
        <f t="shared" si="199"/>
        <v>0</v>
      </c>
      <c r="AQ257" s="21">
        <f t="shared" si="199"/>
        <v>0</v>
      </c>
      <c r="AR257" s="21">
        <f t="shared" si="199"/>
        <v>0</v>
      </c>
      <c r="AS257" s="21">
        <f t="shared" si="199"/>
        <v>0</v>
      </c>
      <c r="AT257" s="21">
        <f t="shared" si="199"/>
        <v>0</v>
      </c>
      <c r="AU257" s="21">
        <f t="shared" si="199"/>
        <v>0</v>
      </c>
      <c r="AV257" s="21">
        <f t="shared" si="199"/>
        <v>0</v>
      </c>
      <c r="AW257" s="21">
        <f t="shared" si="199"/>
        <v>0</v>
      </c>
      <c r="AX257" s="21">
        <f t="shared" si="199"/>
        <v>0</v>
      </c>
      <c r="AY257" s="21">
        <f t="shared" si="199"/>
        <v>0</v>
      </c>
      <c r="AZ257" s="21">
        <f t="shared" si="199"/>
        <v>0</v>
      </c>
      <c r="BA257" s="21">
        <f t="shared" si="199"/>
        <v>0</v>
      </c>
      <c r="BB257" s="145">
        <f t="shared" si="197"/>
        <v>0</v>
      </c>
    </row>
    <row r="258" spans="1:54">
      <c r="A258" s="456"/>
      <c r="B258" s="228">
        <v>2009</v>
      </c>
      <c r="C258" s="21">
        <f t="shared" ref="C258:AH258" si="200">C150+C204+(C231*kwh_per_therm*therms_per_mcf)</f>
        <v>0</v>
      </c>
      <c r="D258" s="21">
        <f t="shared" si="200"/>
        <v>0</v>
      </c>
      <c r="E258" s="21">
        <f t="shared" si="200"/>
        <v>0</v>
      </c>
      <c r="F258" s="21">
        <f>F150+F204+(F231*kwh_per_therm*therms_per_mcf)</f>
        <v>0</v>
      </c>
      <c r="G258" s="21">
        <f t="shared" si="200"/>
        <v>0</v>
      </c>
      <c r="H258" s="21">
        <f t="shared" si="200"/>
        <v>0</v>
      </c>
      <c r="I258" s="21">
        <f t="shared" si="200"/>
        <v>0</v>
      </c>
      <c r="J258" s="21">
        <f t="shared" si="200"/>
        <v>0</v>
      </c>
      <c r="K258" s="21">
        <f t="shared" si="200"/>
        <v>0</v>
      </c>
      <c r="L258" s="21">
        <f t="shared" si="200"/>
        <v>0</v>
      </c>
      <c r="M258" s="21">
        <f t="shared" si="200"/>
        <v>0</v>
      </c>
      <c r="N258" s="21">
        <f t="shared" si="200"/>
        <v>0</v>
      </c>
      <c r="O258" s="21">
        <f t="shared" si="200"/>
        <v>0</v>
      </c>
      <c r="P258" s="21">
        <f t="shared" si="200"/>
        <v>0</v>
      </c>
      <c r="Q258" s="21">
        <f t="shared" si="200"/>
        <v>0</v>
      </c>
      <c r="R258" s="21">
        <f t="shared" si="200"/>
        <v>0</v>
      </c>
      <c r="S258" s="21">
        <f t="shared" si="200"/>
        <v>0</v>
      </c>
      <c r="T258" s="21">
        <f t="shared" si="200"/>
        <v>0</v>
      </c>
      <c r="U258" s="21">
        <f t="shared" si="200"/>
        <v>0</v>
      </c>
      <c r="V258" s="21">
        <f t="shared" si="200"/>
        <v>0</v>
      </c>
      <c r="W258" s="21">
        <f t="shared" si="200"/>
        <v>0</v>
      </c>
      <c r="X258" s="21">
        <f t="shared" si="200"/>
        <v>0</v>
      </c>
      <c r="Y258" s="21">
        <f t="shared" si="200"/>
        <v>0</v>
      </c>
      <c r="Z258" s="21">
        <f t="shared" si="200"/>
        <v>0</v>
      </c>
      <c r="AA258" s="21">
        <f t="shared" si="200"/>
        <v>0</v>
      </c>
      <c r="AB258" s="21">
        <f t="shared" si="200"/>
        <v>0</v>
      </c>
      <c r="AC258" s="21">
        <f t="shared" si="200"/>
        <v>0</v>
      </c>
      <c r="AD258" s="21">
        <f t="shared" si="200"/>
        <v>0</v>
      </c>
      <c r="AE258" s="21">
        <f t="shared" si="200"/>
        <v>0</v>
      </c>
      <c r="AF258" s="21">
        <f t="shared" si="200"/>
        <v>0</v>
      </c>
      <c r="AG258" s="21">
        <f t="shared" si="200"/>
        <v>0</v>
      </c>
      <c r="AH258" s="21">
        <f t="shared" si="200"/>
        <v>0</v>
      </c>
      <c r="AI258" s="21">
        <f t="shared" ref="AI258:BA258" si="201">AI150+AI204+(AI231*kwh_per_therm*therms_per_mcf)</f>
        <v>0</v>
      </c>
      <c r="AJ258" s="21">
        <f t="shared" si="201"/>
        <v>0</v>
      </c>
      <c r="AK258" s="21">
        <f t="shared" si="201"/>
        <v>0</v>
      </c>
      <c r="AL258" s="21">
        <f t="shared" si="201"/>
        <v>0</v>
      </c>
      <c r="AM258" s="21">
        <f t="shared" si="201"/>
        <v>0</v>
      </c>
      <c r="AN258" s="21">
        <f t="shared" si="201"/>
        <v>0</v>
      </c>
      <c r="AO258" s="21">
        <f t="shared" si="201"/>
        <v>0</v>
      </c>
      <c r="AP258" s="21">
        <f t="shared" si="201"/>
        <v>0</v>
      </c>
      <c r="AQ258" s="21">
        <f t="shared" si="201"/>
        <v>0</v>
      </c>
      <c r="AR258" s="21">
        <f t="shared" si="201"/>
        <v>0</v>
      </c>
      <c r="AS258" s="21">
        <f t="shared" si="201"/>
        <v>0</v>
      </c>
      <c r="AT258" s="21">
        <f t="shared" si="201"/>
        <v>0</v>
      </c>
      <c r="AU258" s="21">
        <f t="shared" si="201"/>
        <v>0</v>
      </c>
      <c r="AV258" s="21">
        <f t="shared" si="201"/>
        <v>0</v>
      </c>
      <c r="AW258" s="21">
        <f t="shared" si="201"/>
        <v>0</v>
      </c>
      <c r="AX258" s="21">
        <f t="shared" si="201"/>
        <v>0</v>
      </c>
      <c r="AY258" s="21">
        <f t="shared" si="201"/>
        <v>0</v>
      </c>
      <c r="AZ258" s="21">
        <f t="shared" si="201"/>
        <v>0</v>
      </c>
      <c r="BA258" s="21">
        <f t="shared" si="201"/>
        <v>0</v>
      </c>
      <c r="BB258" s="145">
        <f t="shared" si="197"/>
        <v>0</v>
      </c>
    </row>
    <row r="259" spans="1:54">
      <c r="A259" s="456"/>
      <c r="B259" s="226">
        <v>2010</v>
      </c>
      <c r="C259" s="21">
        <f t="shared" ref="C259:AH259" si="202">C151+C205+(C232*kwh_per_therm*therms_per_mcf)</f>
        <v>0</v>
      </c>
      <c r="D259" s="21">
        <f t="shared" si="202"/>
        <v>0</v>
      </c>
      <c r="E259" s="21">
        <f t="shared" si="202"/>
        <v>0</v>
      </c>
      <c r="F259" s="21">
        <f t="shared" si="202"/>
        <v>0</v>
      </c>
      <c r="G259" s="21">
        <f t="shared" si="202"/>
        <v>0</v>
      </c>
      <c r="H259" s="21">
        <f t="shared" si="202"/>
        <v>0</v>
      </c>
      <c r="I259" s="21">
        <f t="shared" si="202"/>
        <v>0</v>
      </c>
      <c r="J259" s="21">
        <f t="shared" si="202"/>
        <v>0</v>
      </c>
      <c r="K259" s="21">
        <f t="shared" si="202"/>
        <v>0</v>
      </c>
      <c r="L259" s="21">
        <f t="shared" si="202"/>
        <v>0</v>
      </c>
      <c r="M259" s="21">
        <f t="shared" si="202"/>
        <v>0</v>
      </c>
      <c r="N259" s="21">
        <f t="shared" si="202"/>
        <v>0</v>
      </c>
      <c r="O259" s="21">
        <f t="shared" si="202"/>
        <v>0</v>
      </c>
      <c r="P259" s="21">
        <f t="shared" si="202"/>
        <v>0</v>
      </c>
      <c r="Q259" s="21">
        <f t="shared" si="202"/>
        <v>0</v>
      </c>
      <c r="R259" s="21">
        <f t="shared" si="202"/>
        <v>0</v>
      </c>
      <c r="S259" s="21">
        <f t="shared" si="202"/>
        <v>0</v>
      </c>
      <c r="T259" s="21">
        <f t="shared" si="202"/>
        <v>0</v>
      </c>
      <c r="U259" s="21">
        <f t="shared" si="202"/>
        <v>0</v>
      </c>
      <c r="V259" s="21">
        <f t="shared" si="202"/>
        <v>0</v>
      </c>
      <c r="W259" s="21">
        <f t="shared" si="202"/>
        <v>0</v>
      </c>
      <c r="X259" s="21">
        <f t="shared" si="202"/>
        <v>0</v>
      </c>
      <c r="Y259" s="21">
        <f t="shared" si="202"/>
        <v>0</v>
      </c>
      <c r="Z259" s="21">
        <f t="shared" si="202"/>
        <v>0</v>
      </c>
      <c r="AA259" s="21">
        <f t="shared" si="202"/>
        <v>0</v>
      </c>
      <c r="AB259" s="21">
        <f t="shared" si="202"/>
        <v>0</v>
      </c>
      <c r="AC259" s="21">
        <f t="shared" si="202"/>
        <v>0</v>
      </c>
      <c r="AD259" s="21">
        <f t="shared" si="202"/>
        <v>0</v>
      </c>
      <c r="AE259" s="21">
        <f t="shared" si="202"/>
        <v>0</v>
      </c>
      <c r="AF259" s="21">
        <f t="shared" si="202"/>
        <v>0</v>
      </c>
      <c r="AG259" s="21">
        <f t="shared" si="202"/>
        <v>0</v>
      </c>
      <c r="AH259" s="21">
        <f t="shared" si="202"/>
        <v>0</v>
      </c>
      <c r="AI259" s="21">
        <f t="shared" ref="AI259:BA259" si="203">AI151+AI205+(AI232*kwh_per_therm*therms_per_mcf)</f>
        <v>0</v>
      </c>
      <c r="AJ259" s="21">
        <f t="shared" si="203"/>
        <v>0</v>
      </c>
      <c r="AK259" s="21">
        <f t="shared" si="203"/>
        <v>0</v>
      </c>
      <c r="AL259" s="21">
        <f t="shared" si="203"/>
        <v>0</v>
      </c>
      <c r="AM259" s="21">
        <f t="shared" si="203"/>
        <v>0</v>
      </c>
      <c r="AN259" s="21">
        <f t="shared" si="203"/>
        <v>0</v>
      </c>
      <c r="AO259" s="21">
        <f t="shared" si="203"/>
        <v>0</v>
      </c>
      <c r="AP259" s="21">
        <f t="shared" si="203"/>
        <v>0</v>
      </c>
      <c r="AQ259" s="21">
        <f t="shared" si="203"/>
        <v>0</v>
      </c>
      <c r="AR259" s="21">
        <f t="shared" si="203"/>
        <v>0</v>
      </c>
      <c r="AS259" s="21">
        <f t="shared" si="203"/>
        <v>0</v>
      </c>
      <c r="AT259" s="21">
        <f t="shared" si="203"/>
        <v>0</v>
      </c>
      <c r="AU259" s="21">
        <f t="shared" si="203"/>
        <v>0</v>
      </c>
      <c r="AV259" s="21">
        <f t="shared" si="203"/>
        <v>0</v>
      </c>
      <c r="AW259" s="21">
        <f t="shared" si="203"/>
        <v>0</v>
      </c>
      <c r="AX259" s="21">
        <f t="shared" si="203"/>
        <v>0</v>
      </c>
      <c r="AY259" s="21">
        <f t="shared" si="203"/>
        <v>0</v>
      </c>
      <c r="AZ259" s="21">
        <f t="shared" si="203"/>
        <v>0</v>
      </c>
      <c r="BA259" s="21">
        <f t="shared" si="203"/>
        <v>0</v>
      </c>
      <c r="BB259" s="145">
        <f t="shared" si="197"/>
        <v>0</v>
      </c>
    </row>
    <row r="260" spans="1:54">
      <c r="A260" s="456"/>
      <c r="B260" s="228">
        <v>2011</v>
      </c>
      <c r="C260" s="21">
        <f t="shared" ref="C260:AH260" si="204">C152+C206+(C233*kwh_per_therm*therms_per_mcf)</f>
        <v>0</v>
      </c>
      <c r="D260" s="21">
        <f t="shared" si="204"/>
        <v>0</v>
      </c>
      <c r="E260" s="21">
        <f t="shared" si="204"/>
        <v>0</v>
      </c>
      <c r="F260" s="21">
        <f t="shared" si="204"/>
        <v>0</v>
      </c>
      <c r="G260" s="21">
        <f t="shared" si="204"/>
        <v>0</v>
      </c>
      <c r="H260" s="21">
        <f t="shared" si="204"/>
        <v>0</v>
      </c>
      <c r="I260" s="21">
        <f t="shared" si="204"/>
        <v>0</v>
      </c>
      <c r="J260" s="21">
        <f t="shared" si="204"/>
        <v>0</v>
      </c>
      <c r="K260" s="21">
        <f t="shared" si="204"/>
        <v>0</v>
      </c>
      <c r="L260" s="21">
        <f t="shared" si="204"/>
        <v>0</v>
      </c>
      <c r="M260" s="21">
        <f t="shared" si="204"/>
        <v>0</v>
      </c>
      <c r="N260" s="21">
        <f t="shared" si="204"/>
        <v>0</v>
      </c>
      <c r="O260" s="21">
        <f t="shared" si="204"/>
        <v>0</v>
      </c>
      <c r="P260" s="21">
        <f t="shared" si="204"/>
        <v>0</v>
      </c>
      <c r="Q260" s="21">
        <f t="shared" si="204"/>
        <v>0</v>
      </c>
      <c r="R260" s="21">
        <f t="shared" si="204"/>
        <v>0</v>
      </c>
      <c r="S260" s="21">
        <f t="shared" si="204"/>
        <v>0</v>
      </c>
      <c r="T260" s="21">
        <f t="shared" si="204"/>
        <v>0</v>
      </c>
      <c r="U260" s="21">
        <f t="shared" si="204"/>
        <v>0</v>
      </c>
      <c r="V260" s="21">
        <f t="shared" si="204"/>
        <v>0</v>
      </c>
      <c r="W260" s="21">
        <f t="shared" si="204"/>
        <v>0</v>
      </c>
      <c r="X260" s="21">
        <f t="shared" si="204"/>
        <v>0</v>
      </c>
      <c r="Y260" s="21">
        <f t="shared" si="204"/>
        <v>0</v>
      </c>
      <c r="Z260" s="21">
        <f t="shared" si="204"/>
        <v>0</v>
      </c>
      <c r="AA260" s="21">
        <f t="shared" si="204"/>
        <v>0</v>
      </c>
      <c r="AB260" s="21">
        <f t="shared" si="204"/>
        <v>0</v>
      </c>
      <c r="AC260" s="21">
        <f t="shared" si="204"/>
        <v>0</v>
      </c>
      <c r="AD260" s="21">
        <f t="shared" si="204"/>
        <v>0</v>
      </c>
      <c r="AE260" s="21">
        <f t="shared" si="204"/>
        <v>0</v>
      </c>
      <c r="AF260" s="21">
        <f t="shared" si="204"/>
        <v>0</v>
      </c>
      <c r="AG260" s="21">
        <f t="shared" si="204"/>
        <v>0</v>
      </c>
      <c r="AH260" s="21">
        <f t="shared" si="204"/>
        <v>0</v>
      </c>
      <c r="AI260" s="21">
        <f t="shared" ref="AI260:BA260" si="205">AI152+AI206+(AI233*kwh_per_therm*therms_per_mcf)</f>
        <v>0</v>
      </c>
      <c r="AJ260" s="21">
        <f t="shared" si="205"/>
        <v>0</v>
      </c>
      <c r="AK260" s="21">
        <f t="shared" si="205"/>
        <v>0</v>
      </c>
      <c r="AL260" s="21">
        <f t="shared" si="205"/>
        <v>0</v>
      </c>
      <c r="AM260" s="21">
        <f t="shared" si="205"/>
        <v>0</v>
      </c>
      <c r="AN260" s="21">
        <f t="shared" si="205"/>
        <v>0</v>
      </c>
      <c r="AO260" s="21">
        <f t="shared" si="205"/>
        <v>0</v>
      </c>
      <c r="AP260" s="21">
        <f t="shared" si="205"/>
        <v>0</v>
      </c>
      <c r="AQ260" s="21">
        <f t="shared" si="205"/>
        <v>0</v>
      </c>
      <c r="AR260" s="21">
        <f t="shared" si="205"/>
        <v>0</v>
      </c>
      <c r="AS260" s="21">
        <f t="shared" si="205"/>
        <v>0</v>
      </c>
      <c r="AT260" s="21">
        <f t="shared" si="205"/>
        <v>0</v>
      </c>
      <c r="AU260" s="21">
        <f t="shared" si="205"/>
        <v>0</v>
      </c>
      <c r="AV260" s="21">
        <f t="shared" si="205"/>
        <v>0</v>
      </c>
      <c r="AW260" s="21">
        <f t="shared" si="205"/>
        <v>0</v>
      </c>
      <c r="AX260" s="21">
        <f t="shared" si="205"/>
        <v>0</v>
      </c>
      <c r="AY260" s="21">
        <f t="shared" si="205"/>
        <v>0</v>
      </c>
      <c r="AZ260" s="21">
        <f t="shared" si="205"/>
        <v>0</v>
      </c>
      <c r="BA260" s="21">
        <f t="shared" si="205"/>
        <v>0</v>
      </c>
      <c r="BB260" s="145">
        <f t="shared" si="197"/>
        <v>0</v>
      </c>
    </row>
    <row r="261" spans="1:54">
      <c r="A261" s="456"/>
      <c r="B261" s="226">
        <v>2012</v>
      </c>
      <c r="C261" s="21">
        <f t="shared" ref="C261:AH261" si="206">C153+C207+(C234*kwh_per_therm*therms_per_mcf)</f>
        <v>0</v>
      </c>
      <c r="D261" s="21">
        <f t="shared" si="206"/>
        <v>0</v>
      </c>
      <c r="E261" s="21">
        <f t="shared" si="206"/>
        <v>0</v>
      </c>
      <c r="F261" s="21">
        <f t="shared" si="206"/>
        <v>0</v>
      </c>
      <c r="G261" s="21">
        <f t="shared" si="206"/>
        <v>0</v>
      </c>
      <c r="H261" s="21">
        <f t="shared" si="206"/>
        <v>0</v>
      </c>
      <c r="I261" s="21">
        <f t="shared" si="206"/>
        <v>0</v>
      </c>
      <c r="J261" s="21">
        <f t="shared" si="206"/>
        <v>0</v>
      </c>
      <c r="K261" s="21">
        <f t="shared" si="206"/>
        <v>0</v>
      </c>
      <c r="L261" s="21">
        <f t="shared" si="206"/>
        <v>0</v>
      </c>
      <c r="M261" s="21">
        <f t="shared" si="206"/>
        <v>0</v>
      </c>
      <c r="N261" s="21">
        <f t="shared" si="206"/>
        <v>0</v>
      </c>
      <c r="O261" s="21">
        <f t="shared" si="206"/>
        <v>0</v>
      </c>
      <c r="P261" s="21">
        <f t="shared" si="206"/>
        <v>0</v>
      </c>
      <c r="Q261" s="21">
        <f t="shared" si="206"/>
        <v>0</v>
      </c>
      <c r="R261" s="21">
        <f t="shared" si="206"/>
        <v>0</v>
      </c>
      <c r="S261" s="21">
        <f t="shared" si="206"/>
        <v>0</v>
      </c>
      <c r="T261" s="21">
        <f t="shared" si="206"/>
        <v>0</v>
      </c>
      <c r="U261" s="21">
        <f t="shared" si="206"/>
        <v>0</v>
      </c>
      <c r="V261" s="21">
        <f t="shared" si="206"/>
        <v>0</v>
      </c>
      <c r="W261" s="21">
        <f t="shared" si="206"/>
        <v>0</v>
      </c>
      <c r="X261" s="21">
        <f t="shared" si="206"/>
        <v>0</v>
      </c>
      <c r="Y261" s="21">
        <f t="shared" si="206"/>
        <v>0</v>
      </c>
      <c r="Z261" s="21">
        <f t="shared" si="206"/>
        <v>0</v>
      </c>
      <c r="AA261" s="21">
        <f t="shared" si="206"/>
        <v>0</v>
      </c>
      <c r="AB261" s="21">
        <f t="shared" si="206"/>
        <v>0</v>
      </c>
      <c r="AC261" s="21">
        <f t="shared" si="206"/>
        <v>0</v>
      </c>
      <c r="AD261" s="21">
        <f t="shared" si="206"/>
        <v>0</v>
      </c>
      <c r="AE261" s="21">
        <f t="shared" si="206"/>
        <v>0</v>
      </c>
      <c r="AF261" s="21">
        <f t="shared" si="206"/>
        <v>0</v>
      </c>
      <c r="AG261" s="21">
        <f t="shared" si="206"/>
        <v>0</v>
      </c>
      <c r="AH261" s="21">
        <f t="shared" si="206"/>
        <v>0</v>
      </c>
      <c r="AI261" s="21">
        <f t="shared" ref="AI261:BA261" si="207">AI153+AI207+(AI234*kwh_per_therm*therms_per_mcf)</f>
        <v>0</v>
      </c>
      <c r="AJ261" s="21">
        <f t="shared" si="207"/>
        <v>0</v>
      </c>
      <c r="AK261" s="21">
        <f t="shared" si="207"/>
        <v>0</v>
      </c>
      <c r="AL261" s="21">
        <f t="shared" si="207"/>
        <v>0</v>
      </c>
      <c r="AM261" s="21">
        <f t="shared" si="207"/>
        <v>0</v>
      </c>
      <c r="AN261" s="21">
        <f t="shared" si="207"/>
        <v>0</v>
      </c>
      <c r="AO261" s="21">
        <f t="shared" si="207"/>
        <v>0</v>
      </c>
      <c r="AP261" s="21">
        <f t="shared" si="207"/>
        <v>0</v>
      </c>
      <c r="AQ261" s="21">
        <f t="shared" si="207"/>
        <v>0</v>
      </c>
      <c r="AR261" s="21">
        <f t="shared" si="207"/>
        <v>0</v>
      </c>
      <c r="AS261" s="21">
        <f t="shared" si="207"/>
        <v>0</v>
      </c>
      <c r="AT261" s="21">
        <f t="shared" si="207"/>
        <v>0</v>
      </c>
      <c r="AU261" s="21">
        <f t="shared" si="207"/>
        <v>0</v>
      </c>
      <c r="AV261" s="21">
        <f t="shared" si="207"/>
        <v>0</v>
      </c>
      <c r="AW261" s="21">
        <f t="shared" si="207"/>
        <v>0</v>
      </c>
      <c r="AX261" s="21">
        <f t="shared" si="207"/>
        <v>0</v>
      </c>
      <c r="AY261" s="21">
        <f t="shared" si="207"/>
        <v>0</v>
      </c>
      <c r="AZ261" s="21">
        <f t="shared" si="207"/>
        <v>0</v>
      </c>
      <c r="BA261" s="21">
        <f t="shared" si="207"/>
        <v>0</v>
      </c>
      <c r="BB261" s="145">
        <f t="shared" si="197"/>
        <v>0</v>
      </c>
    </row>
    <row r="262" spans="1:54">
      <c r="A262" s="456"/>
      <c r="B262" s="228">
        <v>2013</v>
      </c>
      <c r="C262" s="21">
        <f t="shared" ref="C262:AH262" si="208">C154+C208+(C235*kwh_per_therm*therms_per_mcf)</f>
        <v>0</v>
      </c>
      <c r="D262" s="21">
        <f t="shared" si="208"/>
        <v>0</v>
      </c>
      <c r="E262" s="21">
        <f t="shared" si="208"/>
        <v>0</v>
      </c>
      <c r="F262" s="21">
        <f t="shared" si="208"/>
        <v>0</v>
      </c>
      <c r="G262" s="21">
        <f t="shared" si="208"/>
        <v>0</v>
      </c>
      <c r="H262" s="21">
        <f t="shared" si="208"/>
        <v>0</v>
      </c>
      <c r="I262" s="21">
        <f t="shared" si="208"/>
        <v>0</v>
      </c>
      <c r="J262" s="21">
        <f t="shared" si="208"/>
        <v>0</v>
      </c>
      <c r="K262" s="21">
        <f t="shared" si="208"/>
        <v>0</v>
      </c>
      <c r="L262" s="21">
        <f t="shared" si="208"/>
        <v>0</v>
      </c>
      <c r="M262" s="21">
        <f t="shared" si="208"/>
        <v>0</v>
      </c>
      <c r="N262" s="21">
        <f t="shared" si="208"/>
        <v>0</v>
      </c>
      <c r="O262" s="21">
        <f t="shared" si="208"/>
        <v>0</v>
      </c>
      <c r="P262" s="21">
        <f t="shared" si="208"/>
        <v>0</v>
      </c>
      <c r="Q262" s="21">
        <f t="shared" si="208"/>
        <v>0</v>
      </c>
      <c r="R262" s="21">
        <f t="shared" si="208"/>
        <v>0</v>
      </c>
      <c r="S262" s="21">
        <f t="shared" si="208"/>
        <v>0</v>
      </c>
      <c r="T262" s="21">
        <f t="shared" si="208"/>
        <v>0</v>
      </c>
      <c r="U262" s="21">
        <f t="shared" si="208"/>
        <v>0</v>
      </c>
      <c r="V262" s="21">
        <f t="shared" si="208"/>
        <v>0</v>
      </c>
      <c r="W262" s="21">
        <f t="shared" si="208"/>
        <v>0</v>
      </c>
      <c r="X262" s="21">
        <f t="shared" si="208"/>
        <v>0</v>
      </c>
      <c r="Y262" s="21">
        <f t="shared" si="208"/>
        <v>0</v>
      </c>
      <c r="Z262" s="21">
        <f t="shared" si="208"/>
        <v>0</v>
      </c>
      <c r="AA262" s="21">
        <f t="shared" si="208"/>
        <v>0</v>
      </c>
      <c r="AB262" s="21">
        <f t="shared" si="208"/>
        <v>0</v>
      </c>
      <c r="AC262" s="21">
        <f t="shared" si="208"/>
        <v>0</v>
      </c>
      <c r="AD262" s="21">
        <f t="shared" si="208"/>
        <v>0</v>
      </c>
      <c r="AE262" s="21">
        <f t="shared" si="208"/>
        <v>0</v>
      </c>
      <c r="AF262" s="21">
        <f t="shared" si="208"/>
        <v>0</v>
      </c>
      <c r="AG262" s="21">
        <f t="shared" si="208"/>
        <v>0</v>
      </c>
      <c r="AH262" s="21">
        <f t="shared" si="208"/>
        <v>0</v>
      </c>
      <c r="AI262" s="21">
        <f t="shared" ref="AI262:BA262" si="209">AI154+AI208+(AI235*kwh_per_therm*therms_per_mcf)</f>
        <v>0</v>
      </c>
      <c r="AJ262" s="21">
        <f t="shared" si="209"/>
        <v>0</v>
      </c>
      <c r="AK262" s="21">
        <f t="shared" si="209"/>
        <v>0</v>
      </c>
      <c r="AL262" s="21">
        <f t="shared" si="209"/>
        <v>0</v>
      </c>
      <c r="AM262" s="21">
        <f t="shared" si="209"/>
        <v>0</v>
      </c>
      <c r="AN262" s="21">
        <f t="shared" si="209"/>
        <v>0</v>
      </c>
      <c r="AO262" s="21">
        <f t="shared" si="209"/>
        <v>0</v>
      </c>
      <c r="AP262" s="21">
        <f t="shared" si="209"/>
        <v>0</v>
      </c>
      <c r="AQ262" s="21">
        <f t="shared" si="209"/>
        <v>0</v>
      </c>
      <c r="AR262" s="21">
        <f t="shared" si="209"/>
        <v>0</v>
      </c>
      <c r="AS262" s="21">
        <f t="shared" si="209"/>
        <v>0</v>
      </c>
      <c r="AT262" s="21">
        <f t="shared" si="209"/>
        <v>0</v>
      </c>
      <c r="AU262" s="21">
        <f t="shared" si="209"/>
        <v>0</v>
      </c>
      <c r="AV262" s="21">
        <f t="shared" si="209"/>
        <v>0</v>
      </c>
      <c r="AW262" s="21">
        <f t="shared" si="209"/>
        <v>0</v>
      </c>
      <c r="AX262" s="21">
        <f t="shared" si="209"/>
        <v>0</v>
      </c>
      <c r="AY262" s="21">
        <f t="shared" si="209"/>
        <v>0</v>
      </c>
      <c r="AZ262" s="21">
        <f t="shared" si="209"/>
        <v>0</v>
      </c>
      <c r="BA262" s="21">
        <f t="shared" si="209"/>
        <v>0</v>
      </c>
      <c r="BB262" s="145">
        <f t="shared" si="197"/>
        <v>0</v>
      </c>
    </row>
    <row r="263" spans="1:54">
      <c r="A263" s="456"/>
      <c r="B263" s="226">
        <v>2014</v>
      </c>
      <c r="C263" s="21">
        <f t="shared" ref="C263:AH263" si="210">C155+C209+(C236*kwh_per_therm*therms_per_mcf)</f>
        <v>0</v>
      </c>
      <c r="D263" s="21">
        <f t="shared" si="210"/>
        <v>0</v>
      </c>
      <c r="E263" s="21">
        <f t="shared" si="210"/>
        <v>0</v>
      </c>
      <c r="F263" s="21">
        <f t="shared" si="210"/>
        <v>0</v>
      </c>
      <c r="G263" s="21">
        <f t="shared" si="210"/>
        <v>0</v>
      </c>
      <c r="H263" s="21">
        <f t="shared" si="210"/>
        <v>0</v>
      </c>
      <c r="I263" s="21">
        <f t="shared" si="210"/>
        <v>0</v>
      </c>
      <c r="J263" s="21">
        <f t="shared" si="210"/>
        <v>0</v>
      </c>
      <c r="K263" s="21">
        <f t="shared" si="210"/>
        <v>0</v>
      </c>
      <c r="L263" s="21">
        <f t="shared" si="210"/>
        <v>0</v>
      </c>
      <c r="M263" s="21">
        <f t="shared" si="210"/>
        <v>0</v>
      </c>
      <c r="N263" s="21">
        <f t="shared" si="210"/>
        <v>0</v>
      </c>
      <c r="O263" s="21">
        <f t="shared" si="210"/>
        <v>0</v>
      </c>
      <c r="P263" s="21">
        <f t="shared" si="210"/>
        <v>0</v>
      </c>
      <c r="Q263" s="21">
        <f t="shared" si="210"/>
        <v>0</v>
      </c>
      <c r="R263" s="21">
        <f t="shared" si="210"/>
        <v>0</v>
      </c>
      <c r="S263" s="21">
        <f t="shared" si="210"/>
        <v>0</v>
      </c>
      <c r="T263" s="21">
        <f t="shared" si="210"/>
        <v>0</v>
      </c>
      <c r="U263" s="21">
        <f t="shared" si="210"/>
        <v>0</v>
      </c>
      <c r="V263" s="21">
        <f t="shared" si="210"/>
        <v>0</v>
      </c>
      <c r="W263" s="21">
        <f t="shared" si="210"/>
        <v>0</v>
      </c>
      <c r="X263" s="21">
        <f t="shared" si="210"/>
        <v>0</v>
      </c>
      <c r="Y263" s="21">
        <f t="shared" si="210"/>
        <v>0</v>
      </c>
      <c r="Z263" s="21">
        <f t="shared" si="210"/>
        <v>0</v>
      </c>
      <c r="AA263" s="21">
        <f t="shared" si="210"/>
        <v>0</v>
      </c>
      <c r="AB263" s="21">
        <f t="shared" si="210"/>
        <v>0</v>
      </c>
      <c r="AC263" s="21">
        <f t="shared" si="210"/>
        <v>0</v>
      </c>
      <c r="AD263" s="21">
        <f t="shared" si="210"/>
        <v>0</v>
      </c>
      <c r="AE263" s="21">
        <f t="shared" si="210"/>
        <v>0</v>
      </c>
      <c r="AF263" s="21">
        <f t="shared" si="210"/>
        <v>0</v>
      </c>
      <c r="AG263" s="21">
        <f t="shared" si="210"/>
        <v>0</v>
      </c>
      <c r="AH263" s="21">
        <f t="shared" si="210"/>
        <v>0</v>
      </c>
      <c r="AI263" s="21">
        <f t="shared" ref="AI263:BA263" si="211">AI155+AI209+(AI236*kwh_per_therm*therms_per_mcf)</f>
        <v>0</v>
      </c>
      <c r="AJ263" s="21">
        <f t="shared" si="211"/>
        <v>0</v>
      </c>
      <c r="AK263" s="21">
        <f t="shared" si="211"/>
        <v>0</v>
      </c>
      <c r="AL263" s="21">
        <f t="shared" si="211"/>
        <v>0</v>
      </c>
      <c r="AM263" s="21">
        <f t="shared" si="211"/>
        <v>0</v>
      </c>
      <c r="AN263" s="21">
        <f t="shared" si="211"/>
        <v>0</v>
      </c>
      <c r="AO263" s="21">
        <f t="shared" si="211"/>
        <v>0</v>
      </c>
      <c r="AP263" s="21">
        <f t="shared" si="211"/>
        <v>0</v>
      </c>
      <c r="AQ263" s="21">
        <f t="shared" si="211"/>
        <v>0</v>
      </c>
      <c r="AR263" s="21">
        <f t="shared" si="211"/>
        <v>0</v>
      </c>
      <c r="AS263" s="21">
        <f t="shared" si="211"/>
        <v>0</v>
      </c>
      <c r="AT263" s="21">
        <f t="shared" si="211"/>
        <v>0</v>
      </c>
      <c r="AU263" s="21">
        <f t="shared" si="211"/>
        <v>0</v>
      </c>
      <c r="AV263" s="21">
        <f t="shared" si="211"/>
        <v>0</v>
      </c>
      <c r="AW263" s="21">
        <f t="shared" si="211"/>
        <v>0</v>
      </c>
      <c r="AX263" s="21">
        <f t="shared" si="211"/>
        <v>0</v>
      </c>
      <c r="AY263" s="21">
        <f t="shared" si="211"/>
        <v>0</v>
      </c>
      <c r="AZ263" s="21">
        <f t="shared" si="211"/>
        <v>0</v>
      </c>
      <c r="BA263" s="21">
        <f t="shared" si="211"/>
        <v>0</v>
      </c>
      <c r="BB263" s="145">
        <f t="shared" si="197"/>
        <v>0</v>
      </c>
    </row>
    <row r="264" spans="1:54">
      <c r="A264" s="456"/>
      <c r="B264" s="228">
        <v>2015</v>
      </c>
      <c r="C264" s="21">
        <f t="shared" ref="C264:AH264" si="212">C156+C210+(C237*kwh_per_therm*therms_per_mcf)</f>
        <v>0</v>
      </c>
      <c r="D264" s="21">
        <f t="shared" si="212"/>
        <v>0</v>
      </c>
      <c r="E264" s="21">
        <f t="shared" si="212"/>
        <v>0</v>
      </c>
      <c r="F264" s="21">
        <f t="shared" si="212"/>
        <v>0</v>
      </c>
      <c r="G264" s="21">
        <f t="shared" si="212"/>
        <v>0</v>
      </c>
      <c r="H264" s="21">
        <f t="shared" si="212"/>
        <v>0</v>
      </c>
      <c r="I264" s="21">
        <f t="shared" si="212"/>
        <v>0</v>
      </c>
      <c r="J264" s="21">
        <f t="shared" si="212"/>
        <v>0</v>
      </c>
      <c r="K264" s="21">
        <f t="shared" si="212"/>
        <v>0</v>
      </c>
      <c r="L264" s="21">
        <f t="shared" si="212"/>
        <v>0</v>
      </c>
      <c r="M264" s="21">
        <f t="shared" si="212"/>
        <v>0</v>
      </c>
      <c r="N264" s="21">
        <f t="shared" si="212"/>
        <v>0</v>
      </c>
      <c r="O264" s="21">
        <f t="shared" si="212"/>
        <v>0</v>
      </c>
      <c r="P264" s="21">
        <f t="shared" si="212"/>
        <v>0</v>
      </c>
      <c r="Q264" s="21">
        <f t="shared" si="212"/>
        <v>0</v>
      </c>
      <c r="R264" s="21">
        <f t="shared" si="212"/>
        <v>0</v>
      </c>
      <c r="S264" s="21">
        <f t="shared" si="212"/>
        <v>0</v>
      </c>
      <c r="T264" s="21">
        <f t="shared" si="212"/>
        <v>0</v>
      </c>
      <c r="U264" s="21">
        <f t="shared" si="212"/>
        <v>0</v>
      </c>
      <c r="V264" s="21">
        <f t="shared" si="212"/>
        <v>0</v>
      </c>
      <c r="W264" s="21">
        <f t="shared" si="212"/>
        <v>0</v>
      </c>
      <c r="X264" s="21">
        <f t="shared" si="212"/>
        <v>0</v>
      </c>
      <c r="Y264" s="21">
        <f t="shared" si="212"/>
        <v>0</v>
      </c>
      <c r="Z264" s="21">
        <f t="shared" si="212"/>
        <v>0</v>
      </c>
      <c r="AA264" s="21">
        <f t="shared" si="212"/>
        <v>0</v>
      </c>
      <c r="AB264" s="21">
        <f t="shared" si="212"/>
        <v>0</v>
      </c>
      <c r="AC264" s="21">
        <f t="shared" si="212"/>
        <v>0</v>
      </c>
      <c r="AD264" s="21">
        <f t="shared" si="212"/>
        <v>0</v>
      </c>
      <c r="AE264" s="21">
        <f t="shared" si="212"/>
        <v>0</v>
      </c>
      <c r="AF264" s="21">
        <f t="shared" si="212"/>
        <v>0</v>
      </c>
      <c r="AG264" s="21">
        <f t="shared" si="212"/>
        <v>0</v>
      </c>
      <c r="AH264" s="21">
        <f t="shared" si="212"/>
        <v>0</v>
      </c>
      <c r="AI264" s="21">
        <f t="shared" ref="AI264:BA264" si="213">AI156+AI210+(AI237*kwh_per_therm*therms_per_mcf)</f>
        <v>0</v>
      </c>
      <c r="AJ264" s="21">
        <f t="shared" si="213"/>
        <v>0</v>
      </c>
      <c r="AK264" s="21">
        <f t="shared" si="213"/>
        <v>0</v>
      </c>
      <c r="AL264" s="21">
        <f t="shared" si="213"/>
        <v>0</v>
      </c>
      <c r="AM264" s="21">
        <f t="shared" si="213"/>
        <v>0</v>
      </c>
      <c r="AN264" s="21">
        <f t="shared" si="213"/>
        <v>0</v>
      </c>
      <c r="AO264" s="21">
        <f t="shared" si="213"/>
        <v>0</v>
      </c>
      <c r="AP264" s="21">
        <f t="shared" si="213"/>
        <v>0</v>
      </c>
      <c r="AQ264" s="21">
        <f t="shared" si="213"/>
        <v>0</v>
      </c>
      <c r="AR264" s="21">
        <f t="shared" si="213"/>
        <v>0</v>
      </c>
      <c r="AS264" s="21">
        <f t="shared" si="213"/>
        <v>0</v>
      </c>
      <c r="AT264" s="21">
        <f t="shared" si="213"/>
        <v>0</v>
      </c>
      <c r="AU264" s="21">
        <f t="shared" si="213"/>
        <v>0</v>
      </c>
      <c r="AV264" s="21">
        <f t="shared" si="213"/>
        <v>0</v>
      </c>
      <c r="AW264" s="21">
        <f t="shared" si="213"/>
        <v>0</v>
      </c>
      <c r="AX264" s="21">
        <f t="shared" si="213"/>
        <v>0</v>
      </c>
      <c r="AY264" s="21">
        <f t="shared" si="213"/>
        <v>0</v>
      </c>
      <c r="AZ264" s="21">
        <f t="shared" si="213"/>
        <v>0</v>
      </c>
      <c r="BA264" s="21">
        <f t="shared" si="213"/>
        <v>0</v>
      </c>
      <c r="BB264" s="145">
        <f t="shared" si="197"/>
        <v>0</v>
      </c>
    </row>
    <row r="265" spans="1:54">
      <c r="A265" s="456"/>
      <c r="B265" s="226">
        <v>2016</v>
      </c>
      <c r="C265" s="21">
        <f t="shared" ref="C265:AH265" si="214">C157+C211+(C238*kwh_per_therm*therms_per_mcf)</f>
        <v>0</v>
      </c>
      <c r="D265" s="21">
        <f t="shared" si="214"/>
        <v>0</v>
      </c>
      <c r="E265" s="21">
        <f t="shared" si="214"/>
        <v>0</v>
      </c>
      <c r="F265" s="21">
        <f t="shared" si="214"/>
        <v>0</v>
      </c>
      <c r="G265" s="21">
        <f t="shared" si="214"/>
        <v>0</v>
      </c>
      <c r="H265" s="21">
        <f t="shared" si="214"/>
        <v>0</v>
      </c>
      <c r="I265" s="21">
        <f t="shared" si="214"/>
        <v>0</v>
      </c>
      <c r="J265" s="21">
        <f t="shared" si="214"/>
        <v>0</v>
      </c>
      <c r="K265" s="21">
        <f t="shared" si="214"/>
        <v>0</v>
      </c>
      <c r="L265" s="21">
        <f t="shared" si="214"/>
        <v>0</v>
      </c>
      <c r="M265" s="21">
        <f t="shared" si="214"/>
        <v>0</v>
      </c>
      <c r="N265" s="21">
        <f t="shared" si="214"/>
        <v>0</v>
      </c>
      <c r="O265" s="21">
        <f t="shared" si="214"/>
        <v>0</v>
      </c>
      <c r="P265" s="21">
        <f t="shared" si="214"/>
        <v>0</v>
      </c>
      <c r="Q265" s="21">
        <f t="shared" si="214"/>
        <v>0</v>
      </c>
      <c r="R265" s="21">
        <f t="shared" si="214"/>
        <v>0</v>
      </c>
      <c r="S265" s="21">
        <f t="shared" si="214"/>
        <v>0</v>
      </c>
      <c r="T265" s="21">
        <f t="shared" si="214"/>
        <v>0</v>
      </c>
      <c r="U265" s="21">
        <f t="shared" si="214"/>
        <v>0</v>
      </c>
      <c r="V265" s="21">
        <f t="shared" si="214"/>
        <v>0</v>
      </c>
      <c r="W265" s="21">
        <f t="shared" si="214"/>
        <v>0</v>
      </c>
      <c r="X265" s="21">
        <f t="shared" si="214"/>
        <v>0</v>
      </c>
      <c r="Y265" s="21">
        <f t="shared" si="214"/>
        <v>0</v>
      </c>
      <c r="Z265" s="21">
        <f t="shared" si="214"/>
        <v>0</v>
      </c>
      <c r="AA265" s="21">
        <f t="shared" si="214"/>
        <v>0</v>
      </c>
      <c r="AB265" s="21">
        <f t="shared" si="214"/>
        <v>0</v>
      </c>
      <c r="AC265" s="21">
        <f t="shared" si="214"/>
        <v>0</v>
      </c>
      <c r="AD265" s="21">
        <f t="shared" si="214"/>
        <v>0</v>
      </c>
      <c r="AE265" s="21">
        <f t="shared" si="214"/>
        <v>0</v>
      </c>
      <c r="AF265" s="21">
        <f t="shared" si="214"/>
        <v>0</v>
      </c>
      <c r="AG265" s="21">
        <f t="shared" si="214"/>
        <v>0</v>
      </c>
      <c r="AH265" s="21">
        <f t="shared" si="214"/>
        <v>0</v>
      </c>
      <c r="AI265" s="21">
        <f t="shared" ref="AI265:BA265" si="215">AI157+AI211+(AI238*kwh_per_therm*therms_per_mcf)</f>
        <v>0</v>
      </c>
      <c r="AJ265" s="21">
        <f t="shared" si="215"/>
        <v>0</v>
      </c>
      <c r="AK265" s="21">
        <f t="shared" si="215"/>
        <v>0</v>
      </c>
      <c r="AL265" s="21">
        <f t="shared" si="215"/>
        <v>0</v>
      </c>
      <c r="AM265" s="21">
        <f t="shared" si="215"/>
        <v>0</v>
      </c>
      <c r="AN265" s="21">
        <f t="shared" si="215"/>
        <v>0</v>
      </c>
      <c r="AO265" s="21">
        <f t="shared" si="215"/>
        <v>0</v>
      </c>
      <c r="AP265" s="21">
        <f t="shared" si="215"/>
        <v>0</v>
      </c>
      <c r="AQ265" s="21">
        <f t="shared" si="215"/>
        <v>0</v>
      </c>
      <c r="AR265" s="21">
        <f t="shared" si="215"/>
        <v>0</v>
      </c>
      <c r="AS265" s="21">
        <f t="shared" si="215"/>
        <v>0</v>
      </c>
      <c r="AT265" s="21">
        <f t="shared" si="215"/>
        <v>0</v>
      </c>
      <c r="AU265" s="21">
        <f t="shared" si="215"/>
        <v>0</v>
      </c>
      <c r="AV265" s="21">
        <f t="shared" si="215"/>
        <v>0</v>
      </c>
      <c r="AW265" s="21">
        <f t="shared" si="215"/>
        <v>0</v>
      </c>
      <c r="AX265" s="21">
        <f t="shared" si="215"/>
        <v>0</v>
      </c>
      <c r="AY265" s="21">
        <f t="shared" si="215"/>
        <v>0</v>
      </c>
      <c r="AZ265" s="21">
        <f t="shared" si="215"/>
        <v>0</v>
      </c>
      <c r="BA265" s="21">
        <f t="shared" si="215"/>
        <v>0</v>
      </c>
      <c r="BB265" s="145">
        <f t="shared" si="197"/>
        <v>0</v>
      </c>
    </row>
    <row r="266" spans="1:54">
      <c r="A266" s="456"/>
      <c r="B266" s="228">
        <v>2017</v>
      </c>
      <c r="C266" s="21">
        <f t="shared" ref="C266:AH266" si="216">C158+C212+(C239*kwh_per_therm*therms_per_mcf)</f>
        <v>0</v>
      </c>
      <c r="D266" s="21">
        <f t="shared" si="216"/>
        <v>0</v>
      </c>
      <c r="E266" s="21">
        <f t="shared" si="216"/>
        <v>0</v>
      </c>
      <c r="F266" s="21">
        <f t="shared" si="216"/>
        <v>0</v>
      </c>
      <c r="G266" s="21">
        <f t="shared" si="216"/>
        <v>0</v>
      </c>
      <c r="H266" s="21">
        <f t="shared" si="216"/>
        <v>0</v>
      </c>
      <c r="I266" s="21">
        <f t="shared" si="216"/>
        <v>0</v>
      </c>
      <c r="J266" s="21">
        <f t="shared" si="216"/>
        <v>0</v>
      </c>
      <c r="K266" s="21">
        <f t="shared" si="216"/>
        <v>0</v>
      </c>
      <c r="L266" s="21">
        <f t="shared" si="216"/>
        <v>0</v>
      </c>
      <c r="M266" s="21">
        <f t="shared" si="216"/>
        <v>0</v>
      </c>
      <c r="N266" s="21">
        <f t="shared" si="216"/>
        <v>0</v>
      </c>
      <c r="O266" s="21">
        <f t="shared" si="216"/>
        <v>0</v>
      </c>
      <c r="P266" s="21">
        <f t="shared" si="216"/>
        <v>0</v>
      </c>
      <c r="Q266" s="21">
        <f t="shared" si="216"/>
        <v>0</v>
      </c>
      <c r="R266" s="21">
        <f t="shared" si="216"/>
        <v>0</v>
      </c>
      <c r="S266" s="21">
        <f t="shared" si="216"/>
        <v>0</v>
      </c>
      <c r="T266" s="21">
        <f t="shared" si="216"/>
        <v>0</v>
      </c>
      <c r="U266" s="21">
        <f t="shared" si="216"/>
        <v>0</v>
      </c>
      <c r="V266" s="21">
        <f t="shared" si="216"/>
        <v>0</v>
      </c>
      <c r="W266" s="21">
        <f t="shared" si="216"/>
        <v>0</v>
      </c>
      <c r="X266" s="21">
        <f t="shared" si="216"/>
        <v>0</v>
      </c>
      <c r="Y266" s="21">
        <f t="shared" si="216"/>
        <v>0</v>
      </c>
      <c r="Z266" s="21">
        <f t="shared" si="216"/>
        <v>0</v>
      </c>
      <c r="AA266" s="21">
        <f t="shared" si="216"/>
        <v>0</v>
      </c>
      <c r="AB266" s="21">
        <f t="shared" si="216"/>
        <v>0</v>
      </c>
      <c r="AC266" s="21">
        <f t="shared" si="216"/>
        <v>0</v>
      </c>
      <c r="AD266" s="21">
        <f t="shared" si="216"/>
        <v>0</v>
      </c>
      <c r="AE266" s="21">
        <f t="shared" si="216"/>
        <v>0</v>
      </c>
      <c r="AF266" s="21">
        <f t="shared" si="216"/>
        <v>0</v>
      </c>
      <c r="AG266" s="21">
        <f t="shared" si="216"/>
        <v>0</v>
      </c>
      <c r="AH266" s="21">
        <f t="shared" si="216"/>
        <v>0</v>
      </c>
      <c r="AI266" s="21">
        <f t="shared" ref="AI266:BA266" si="217">AI158+AI212+(AI239*kwh_per_therm*therms_per_mcf)</f>
        <v>0</v>
      </c>
      <c r="AJ266" s="21">
        <f t="shared" si="217"/>
        <v>0</v>
      </c>
      <c r="AK266" s="21">
        <f t="shared" si="217"/>
        <v>0</v>
      </c>
      <c r="AL266" s="21">
        <f t="shared" si="217"/>
        <v>0</v>
      </c>
      <c r="AM266" s="21">
        <f t="shared" si="217"/>
        <v>0</v>
      </c>
      <c r="AN266" s="21">
        <f t="shared" si="217"/>
        <v>0</v>
      </c>
      <c r="AO266" s="21">
        <f t="shared" si="217"/>
        <v>0</v>
      </c>
      <c r="AP266" s="21">
        <f t="shared" si="217"/>
        <v>0</v>
      </c>
      <c r="AQ266" s="21">
        <f t="shared" si="217"/>
        <v>0</v>
      </c>
      <c r="AR266" s="21">
        <f t="shared" si="217"/>
        <v>0</v>
      </c>
      <c r="AS266" s="21">
        <f t="shared" si="217"/>
        <v>0</v>
      </c>
      <c r="AT266" s="21">
        <f t="shared" si="217"/>
        <v>0</v>
      </c>
      <c r="AU266" s="21">
        <f t="shared" si="217"/>
        <v>0</v>
      </c>
      <c r="AV266" s="21">
        <f t="shared" si="217"/>
        <v>0</v>
      </c>
      <c r="AW266" s="21">
        <f t="shared" si="217"/>
        <v>0</v>
      </c>
      <c r="AX266" s="21">
        <f t="shared" si="217"/>
        <v>0</v>
      </c>
      <c r="AY266" s="21">
        <f t="shared" si="217"/>
        <v>0</v>
      </c>
      <c r="AZ266" s="21">
        <f t="shared" si="217"/>
        <v>0</v>
      </c>
      <c r="BA266" s="21">
        <f t="shared" si="217"/>
        <v>0</v>
      </c>
      <c r="BB266" s="145">
        <f t="shared" si="197"/>
        <v>0</v>
      </c>
    </row>
    <row r="267" spans="1:54">
      <c r="A267" s="456"/>
      <c r="B267" s="226">
        <v>2018</v>
      </c>
      <c r="C267" s="21">
        <f t="shared" ref="C267:AH267" si="218">C159+C213+(C240*kwh_per_therm*therms_per_mcf)</f>
        <v>0</v>
      </c>
      <c r="D267" s="21">
        <f t="shared" si="218"/>
        <v>0</v>
      </c>
      <c r="E267" s="21">
        <f t="shared" si="218"/>
        <v>0</v>
      </c>
      <c r="F267" s="21">
        <f t="shared" si="218"/>
        <v>0</v>
      </c>
      <c r="G267" s="21">
        <f t="shared" si="218"/>
        <v>0</v>
      </c>
      <c r="H267" s="21">
        <f t="shared" si="218"/>
        <v>0</v>
      </c>
      <c r="I267" s="21">
        <f t="shared" si="218"/>
        <v>0</v>
      </c>
      <c r="J267" s="21">
        <f t="shared" si="218"/>
        <v>0</v>
      </c>
      <c r="K267" s="21">
        <f t="shared" si="218"/>
        <v>0</v>
      </c>
      <c r="L267" s="21">
        <f t="shared" si="218"/>
        <v>0</v>
      </c>
      <c r="M267" s="21">
        <f t="shared" si="218"/>
        <v>0</v>
      </c>
      <c r="N267" s="21">
        <f t="shared" si="218"/>
        <v>0</v>
      </c>
      <c r="O267" s="21">
        <f t="shared" si="218"/>
        <v>0</v>
      </c>
      <c r="P267" s="21">
        <f t="shared" si="218"/>
        <v>0</v>
      </c>
      <c r="Q267" s="21">
        <f t="shared" si="218"/>
        <v>0</v>
      </c>
      <c r="R267" s="21">
        <f t="shared" si="218"/>
        <v>0</v>
      </c>
      <c r="S267" s="21">
        <f t="shared" si="218"/>
        <v>0</v>
      </c>
      <c r="T267" s="21">
        <f t="shared" si="218"/>
        <v>0</v>
      </c>
      <c r="U267" s="21">
        <f t="shared" si="218"/>
        <v>0</v>
      </c>
      <c r="V267" s="21">
        <f t="shared" si="218"/>
        <v>0</v>
      </c>
      <c r="W267" s="21">
        <f t="shared" si="218"/>
        <v>0</v>
      </c>
      <c r="X267" s="21">
        <f t="shared" si="218"/>
        <v>0</v>
      </c>
      <c r="Y267" s="21">
        <f t="shared" si="218"/>
        <v>0</v>
      </c>
      <c r="Z267" s="21">
        <f t="shared" si="218"/>
        <v>0</v>
      </c>
      <c r="AA267" s="21">
        <f t="shared" si="218"/>
        <v>0</v>
      </c>
      <c r="AB267" s="21">
        <f t="shared" si="218"/>
        <v>0</v>
      </c>
      <c r="AC267" s="21">
        <f t="shared" si="218"/>
        <v>0</v>
      </c>
      <c r="AD267" s="21">
        <f t="shared" si="218"/>
        <v>0</v>
      </c>
      <c r="AE267" s="21">
        <f t="shared" si="218"/>
        <v>0</v>
      </c>
      <c r="AF267" s="21">
        <f t="shared" si="218"/>
        <v>0</v>
      </c>
      <c r="AG267" s="21">
        <f t="shared" si="218"/>
        <v>0</v>
      </c>
      <c r="AH267" s="21">
        <f t="shared" si="218"/>
        <v>0</v>
      </c>
      <c r="AI267" s="21">
        <f t="shared" ref="AI267:BA267" si="219">AI159+AI213+(AI240*kwh_per_therm*therms_per_mcf)</f>
        <v>0</v>
      </c>
      <c r="AJ267" s="21">
        <f t="shared" si="219"/>
        <v>0</v>
      </c>
      <c r="AK267" s="21">
        <f t="shared" si="219"/>
        <v>0</v>
      </c>
      <c r="AL267" s="21">
        <f t="shared" si="219"/>
        <v>0</v>
      </c>
      <c r="AM267" s="21">
        <f t="shared" si="219"/>
        <v>0</v>
      </c>
      <c r="AN267" s="21">
        <f t="shared" si="219"/>
        <v>0</v>
      </c>
      <c r="AO267" s="21">
        <f t="shared" si="219"/>
        <v>0</v>
      </c>
      <c r="AP267" s="21">
        <f t="shared" si="219"/>
        <v>0</v>
      </c>
      <c r="AQ267" s="21">
        <f t="shared" si="219"/>
        <v>0</v>
      </c>
      <c r="AR267" s="21">
        <f t="shared" si="219"/>
        <v>0</v>
      </c>
      <c r="AS267" s="21">
        <f t="shared" si="219"/>
        <v>0</v>
      </c>
      <c r="AT267" s="21">
        <f t="shared" si="219"/>
        <v>0</v>
      </c>
      <c r="AU267" s="21">
        <f t="shared" si="219"/>
        <v>0</v>
      </c>
      <c r="AV267" s="21">
        <f t="shared" si="219"/>
        <v>0</v>
      </c>
      <c r="AW267" s="21">
        <f t="shared" si="219"/>
        <v>0</v>
      </c>
      <c r="AX267" s="21">
        <f t="shared" si="219"/>
        <v>0</v>
      </c>
      <c r="AY267" s="21">
        <f t="shared" si="219"/>
        <v>0</v>
      </c>
      <c r="AZ267" s="21">
        <f t="shared" si="219"/>
        <v>0</v>
      </c>
      <c r="BA267" s="21">
        <f t="shared" si="219"/>
        <v>0</v>
      </c>
      <c r="BB267" s="145">
        <f t="shared" si="197"/>
        <v>0</v>
      </c>
    </row>
    <row r="268" spans="1:54">
      <c r="A268" s="456"/>
      <c r="B268" s="228">
        <v>2019</v>
      </c>
      <c r="C268" s="21">
        <f t="shared" ref="C268:AH268" si="220">C160+C214+(C241*kwh_per_therm*therms_per_mcf)</f>
        <v>0</v>
      </c>
      <c r="D268" s="21">
        <f t="shared" si="220"/>
        <v>0</v>
      </c>
      <c r="E268" s="21">
        <f t="shared" si="220"/>
        <v>0</v>
      </c>
      <c r="F268" s="21">
        <f t="shared" si="220"/>
        <v>0</v>
      </c>
      <c r="G268" s="21">
        <f t="shared" si="220"/>
        <v>0</v>
      </c>
      <c r="H268" s="21">
        <f t="shared" si="220"/>
        <v>0</v>
      </c>
      <c r="I268" s="21">
        <f t="shared" si="220"/>
        <v>0</v>
      </c>
      <c r="J268" s="21">
        <f t="shared" si="220"/>
        <v>0</v>
      </c>
      <c r="K268" s="21">
        <f t="shared" si="220"/>
        <v>0</v>
      </c>
      <c r="L268" s="21">
        <f t="shared" si="220"/>
        <v>0</v>
      </c>
      <c r="M268" s="21">
        <f t="shared" si="220"/>
        <v>0</v>
      </c>
      <c r="N268" s="21">
        <f t="shared" si="220"/>
        <v>0</v>
      </c>
      <c r="O268" s="21">
        <f t="shared" si="220"/>
        <v>0</v>
      </c>
      <c r="P268" s="21">
        <f t="shared" si="220"/>
        <v>0</v>
      </c>
      <c r="Q268" s="21">
        <f t="shared" si="220"/>
        <v>0</v>
      </c>
      <c r="R268" s="21">
        <f t="shared" si="220"/>
        <v>0</v>
      </c>
      <c r="S268" s="21">
        <f t="shared" si="220"/>
        <v>0</v>
      </c>
      <c r="T268" s="21">
        <f t="shared" si="220"/>
        <v>0</v>
      </c>
      <c r="U268" s="21">
        <f t="shared" si="220"/>
        <v>0</v>
      </c>
      <c r="V268" s="21">
        <f t="shared" si="220"/>
        <v>0</v>
      </c>
      <c r="W268" s="21">
        <f t="shared" si="220"/>
        <v>0</v>
      </c>
      <c r="X268" s="21">
        <f t="shared" si="220"/>
        <v>0</v>
      </c>
      <c r="Y268" s="21">
        <f t="shared" si="220"/>
        <v>0</v>
      </c>
      <c r="Z268" s="21">
        <f t="shared" si="220"/>
        <v>0</v>
      </c>
      <c r="AA268" s="21">
        <f t="shared" si="220"/>
        <v>0</v>
      </c>
      <c r="AB268" s="21">
        <f t="shared" si="220"/>
        <v>0</v>
      </c>
      <c r="AC268" s="21">
        <f t="shared" si="220"/>
        <v>0</v>
      </c>
      <c r="AD268" s="21">
        <f t="shared" si="220"/>
        <v>0</v>
      </c>
      <c r="AE268" s="21">
        <f t="shared" si="220"/>
        <v>0</v>
      </c>
      <c r="AF268" s="21">
        <f t="shared" si="220"/>
        <v>0</v>
      </c>
      <c r="AG268" s="21">
        <f t="shared" si="220"/>
        <v>0</v>
      </c>
      <c r="AH268" s="21">
        <f t="shared" si="220"/>
        <v>0</v>
      </c>
      <c r="AI268" s="21">
        <f t="shared" ref="AI268:BA268" si="221">AI160+AI214+(AI241*kwh_per_therm*therms_per_mcf)</f>
        <v>0</v>
      </c>
      <c r="AJ268" s="21">
        <f t="shared" si="221"/>
        <v>0</v>
      </c>
      <c r="AK268" s="21">
        <f t="shared" si="221"/>
        <v>0</v>
      </c>
      <c r="AL268" s="21">
        <f t="shared" si="221"/>
        <v>0</v>
      </c>
      <c r="AM268" s="21">
        <f t="shared" si="221"/>
        <v>0</v>
      </c>
      <c r="AN268" s="21">
        <f t="shared" si="221"/>
        <v>0</v>
      </c>
      <c r="AO268" s="21">
        <f t="shared" si="221"/>
        <v>0</v>
      </c>
      <c r="AP268" s="21">
        <f t="shared" si="221"/>
        <v>0</v>
      </c>
      <c r="AQ268" s="21">
        <f t="shared" si="221"/>
        <v>0</v>
      </c>
      <c r="AR268" s="21">
        <f t="shared" si="221"/>
        <v>0</v>
      </c>
      <c r="AS268" s="21">
        <f t="shared" si="221"/>
        <v>0</v>
      </c>
      <c r="AT268" s="21">
        <f t="shared" si="221"/>
        <v>0</v>
      </c>
      <c r="AU268" s="21">
        <f t="shared" si="221"/>
        <v>0</v>
      </c>
      <c r="AV268" s="21">
        <f t="shared" si="221"/>
        <v>0</v>
      </c>
      <c r="AW268" s="21">
        <f t="shared" si="221"/>
        <v>0</v>
      </c>
      <c r="AX268" s="21">
        <f t="shared" si="221"/>
        <v>0</v>
      </c>
      <c r="AY268" s="21">
        <f t="shared" si="221"/>
        <v>0</v>
      </c>
      <c r="AZ268" s="21">
        <f t="shared" si="221"/>
        <v>0</v>
      </c>
      <c r="BA268" s="21">
        <f t="shared" si="221"/>
        <v>0</v>
      </c>
      <c r="BB268" s="145">
        <f t="shared" si="197"/>
        <v>0</v>
      </c>
    </row>
    <row r="269" spans="1:54">
      <c r="A269" s="456"/>
      <c r="B269" s="226">
        <v>2020</v>
      </c>
      <c r="C269" s="21">
        <f t="shared" ref="C269:AH269" si="222">C161+C215+(C242*kwh_per_therm*therms_per_mcf)</f>
        <v>0</v>
      </c>
      <c r="D269" s="21">
        <f t="shared" si="222"/>
        <v>0</v>
      </c>
      <c r="E269" s="21">
        <f t="shared" si="222"/>
        <v>0</v>
      </c>
      <c r="F269" s="21">
        <f t="shared" si="222"/>
        <v>0</v>
      </c>
      <c r="G269" s="21">
        <f t="shared" si="222"/>
        <v>0</v>
      </c>
      <c r="H269" s="21">
        <f t="shared" si="222"/>
        <v>0</v>
      </c>
      <c r="I269" s="21">
        <f t="shared" si="222"/>
        <v>0</v>
      </c>
      <c r="J269" s="21">
        <f t="shared" si="222"/>
        <v>0</v>
      </c>
      <c r="K269" s="21">
        <f t="shared" si="222"/>
        <v>0</v>
      </c>
      <c r="L269" s="21">
        <f t="shared" si="222"/>
        <v>0</v>
      </c>
      <c r="M269" s="21">
        <f t="shared" si="222"/>
        <v>0</v>
      </c>
      <c r="N269" s="21">
        <f t="shared" si="222"/>
        <v>0</v>
      </c>
      <c r="O269" s="21">
        <f t="shared" si="222"/>
        <v>0</v>
      </c>
      <c r="P269" s="21">
        <f t="shared" si="222"/>
        <v>0</v>
      </c>
      <c r="Q269" s="21">
        <f t="shared" si="222"/>
        <v>0</v>
      </c>
      <c r="R269" s="21">
        <f t="shared" si="222"/>
        <v>0</v>
      </c>
      <c r="S269" s="21">
        <f t="shared" si="222"/>
        <v>0</v>
      </c>
      <c r="T269" s="21">
        <f t="shared" si="222"/>
        <v>0</v>
      </c>
      <c r="U269" s="21">
        <f t="shared" si="222"/>
        <v>0</v>
      </c>
      <c r="V269" s="21">
        <f t="shared" si="222"/>
        <v>0</v>
      </c>
      <c r="W269" s="21">
        <f t="shared" si="222"/>
        <v>0</v>
      </c>
      <c r="X269" s="21">
        <f t="shared" si="222"/>
        <v>0</v>
      </c>
      <c r="Y269" s="21">
        <f t="shared" si="222"/>
        <v>0</v>
      </c>
      <c r="Z269" s="21">
        <f t="shared" si="222"/>
        <v>0</v>
      </c>
      <c r="AA269" s="21">
        <f t="shared" si="222"/>
        <v>0</v>
      </c>
      <c r="AB269" s="21">
        <f t="shared" si="222"/>
        <v>0</v>
      </c>
      <c r="AC269" s="21">
        <f t="shared" si="222"/>
        <v>0</v>
      </c>
      <c r="AD269" s="21">
        <f t="shared" si="222"/>
        <v>0</v>
      </c>
      <c r="AE269" s="21">
        <f t="shared" si="222"/>
        <v>0</v>
      </c>
      <c r="AF269" s="21">
        <f t="shared" si="222"/>
        <v>0</v>
      </c>
      <c r="AG269" s="21">
        <f t="shared" si="222"/>
        <v>0</v>
      </c>
      <c r="AH269" s="21">
        <f t="shared" si="222"/>
        <v>0</v>
      </c>
      <c r="AI269" s="21">
        <f t="shared" ref="AI269:BA269" si="223">AI161+AI215+(AI242*kwh_per_therm*therms_per_mcf)</f>
        <v>0</v>
      </c>
      <c r="AJ269" s="21">
        <f t="shared" si="223"/>
        <v>0</v>
      </c>
      <c r="AK269" s="21">
        <f t="shared" si="223"/>
        <v>0</v>
      </c>
      <c r="AL269" s="21">
        <f t="shared" si="223"/>
        <v>0</v>
      </c>
      <c r="AM269" s="21">
        <f t="shared" si="223"/>
        <v>0</v>
      </c>
      <c r="AN269" s="21">
        <f t="shared" si="223"/>
        <v>0</v>
      </c>
      <c r="AO269" s="21">
        <f t="shared" si="223"/>
        <v>0</v>
      </c>
      <c r="AP269" s="21">
        <f t="shared" si="223"/>
        <v>0</v>
      </c>
      <c r="AQ269" s="21">
        <f t="shared" si="223"/>
        <v>0</v>
      </c>
      <c r="AR269" s="21">
        <f t="shared" si="223"/>
        <v>0</v>
      </c>
      <c r="AS269" s="21">
        <f t="shared" si="223"/>
        <v>0</v>
      </c>
      <c r="AT269" s="21">
        <f t="shared" si="223"/>
        <v>0</v>
      </c>
      <c r="AU269" s="21">
        <f t="shared" si="223"/>
        <v>0</v>
      </c>
      <c r="AV269" s="21">
        <f t="shared" si="223"/>
        <v>0</v>
      </c>
      <c r="AW269" s="21">
        <f t="shared" si="223"/>
        <v>0</v>
      </c>
      <c r="AX269" s="21">
        <f t="shared" si="223"/>
        <v>0</v>
      </c>
      <c r="AY269" s="21">
        <f t="shared" si="223"/>
        <v>0</v>
      </c>
      <c r="AZ269" s="21">
        <f t="shared" si="223"/>
        <v>0</v>
      </c>
      <c r="BA269" s="21">
        <f t="shared" si="223"/>
        <v>0</v>
      </c>
      <c r="BB269" s="145">
        <f t="shared" si="197"/>
        <v>0</v>
      </c>
    </row>
    <row r="270" spans="1:54">
      <c r="A270" s="456"/>
      <c r="B270" s="228">
        <v>2021</v>
      </c>
      <c r="C270" s="21">
        <f t="shared" ref="C270:AH270" si="224">C162+C216+(C243*kwh_per_therm*therms_per_mcf)</f>
        <v>0</v>
      </c>
      <c r="D270" s="21">
        <f t="shared" si="224"/>
        <v>0</v>
      </c>
      <c r="E270" s="21">
        <f t="shared" si="224"/>
        <v>0</v>
      </c>
      <c r="F270" s="21">
        <f t="shared" si="224"/>
        <v>0</v>
      </c>
      <c r="G270" s="21">
        <f t="shared" si="224"/>
        <v>0</v>
      </c>
      <c r="H270" s="21">
        <f t="shared" si="224"/>
        <v>0</v>
      </c>
      <c r="I270" s="21">
        <f t="shared" si="224"/>
        <v>0</v>
      </c>
      <c r="J270" s="21">
        <f t="shared" si="224"/>
        <v>0</v>
      </c>
      <c r="K270" s="21">
        <f t="shared" si="224"/>
        <v>0</v>
      </c>
      <c r="L270" s="21">
        <f t="shared" si="224"/>
        <v>0</v>
      </c>
      <c r="M270" s="21">
        <f t="shared" si="224"/>
        <v>0</v>
      </c>
      <c r="N270" s="21">
        <f t="shared" si="224"/>
        <v>0</v>
      </c>
      <c r="O270" s="21">
        <f t="shared" si="224"/>
        <v>0</v>
      </c>
      <c r="P270" s="21">
        <f t="shared" si="224"/>
        <v>0</v>
      </c>
      <c r="Q270" s="21">
        <f t="shared" si="224"/>
        <v>0</v>
      </c>
      <c r="R270" s="21">
        <f t="shared" si="224"/>
        <v>0</v>
      </c>
      <c r="S270" s="21">
        <f t="shared" si="224"/>
        <v>0</v>
      </c>
      <c r="T270" s="21">
        <f t="shared" si="224"/>
        <v>0</v>
      </c>
      <c r="U270" s="21">
        <f t="shared" si="224"/>
        <v>0</v>
      </c>
      <c r="V270" s="21">
        <f t="shared" si="224"/>
        <v>0</v>
      </c>
      <c r="W270" s="21">
        <f t="shared" si="224"/>
        <v>0</v>
      </c>
      <c r="X270" s="21">
        <f t="shared" si="224"/>
        <v>0</v>
      </c>
      <c r="Y270" s="21">
        <f t="shared" si="224"/>
        <v>0</v>
      </c>
      <c r="Z270" s="21">
        <f t="shared" si="224"/>
        <v>0</v>
      </c>
      <c r="AA270" s="21">
        <f t="shared" si="224"/>
        <v>0</v>
      </c>
      <c r="AB270" s="21">
        <f t="shared" si="224"/>
        <v>0</v>
      </c>
      <c r="AC270" s="21">
        <f t="shared" si="224"/>
        <v>0</v>
      </c>
      <c r="AD270" s="21">
        <f t="shared" si="224"/>
        <v>0</v>
      </c>
      <c r="AE270" s="21">
        <f t="shared" si="224"/>
        <v>0</v>
      </c>
      <c r="AF270" s="21">
        <f t="shared" si="224"/>
        <v>0</v>
      </c>
      <c r="AG270" s="21">
        <f t="shared" si="224"/>
        <v>0</v>
      </c>
      <c r="AH270" s="21">
        <f t="shared" si="224"/>
        <v>0</v>
      </c>
      <c r="AI270" s="21">
        <f t="shared" ref="AI270:BA270" si="225">AI162+AI216+(AI243*kwh_per_therm*therms_per_mcf)</f>
        <v>0</v>
      </c>
      <c r="AJ270" s="21">
        <f t="shared" si="225"/>
        <v>0</v>
      </c>
      <c r="AK270" s="21">
        <f t="shared" si="225"/>
        <v>0</v>
      </c>
      <c r="AL270" s="21">
        <f t="shared" si="225"/>
        <v>0</v>
      </c>
      <c r="AM270" s="21">
        <f t="shared" si="225"/>
        <v>0</v>
      </c>
      <c r="AN270" s="21">
        <f t="shared" si="225"/>
        <v>0</v>
      </c>
      <c r="AO270" s="21">
        <f t="shared" si="225"/>
        <v>0</v>
      </c>
      <c r="AP270" s="21">
        <f t="shared" si="225"/>
        <v>0</v>
      </c>
      <c r="AQ270" s="21">
        <f t="shared" si="225"/>
        <v>0</v>
      </c>
      <c r="AR270" s="21">
        <f t="shared" si="225"/>
        <v>0</v>
      </c>
      <c r="AS270" s="21">
        <f t="shared" si="225"/>
        <v>0</v>
      </c>
      <c r="AT270" s="21">
        <f t="shared" si="225"/>
        <v>0</v>
      </c>
      <c r="AU270" s="21">
        <f t="shared" si="225"/>
        <v>0</v>
      </c>
      <c r="AV270" s="21">
        <f t="shared" si="225"/>
        <v>0</v>
      </c>
      <c r="AW270" s="21">
        <f t="shared" si="225"/>
        <v>0</v>
      </c>
      <c r="AX270" s="21">
        <f t="shared" si="225"/>
        <v>0</v>
      </c>
      <c r="AY270" s="21">
        <f t="shared" si="225"/>
        <v>0</v>
      </c>
      <c r="AZ270" s="21">
        <f t="shared" si="225"/>
        <v>0</v>
      </c>
      <c r="BA270" s="21">
        <f t="shared" si="225"/>
        <v>0</v>
      </c>
      <c r="BB270" s="145">
        <f t="shared" si="197"/>
        <v>0</v>
      </c>
    </row>
    <row r="271" spans="1:54">
      <c r="A271" s="456"/>
      <c r="B271" s="226">
        <v>2022</v>
      </c>
      <c r="C271" s="21">
        <f t="shared" ref="C271:AH271" si="226">C163+C217+(C244*kwh_per_therm*therms_per_mcf)</f>
        <v>0</v>
      </c>
      <c r="D271" s="21">
        <f t="shared" si="226"/>
        <v>0</v>
      </c>
      <c r="E271" s="21">
        <f t="shared" si="226"/>
        <v>0</v>
      </c>
      <c r="F271" s="21">
        <f t="shared" si="226"/>
        <v>0</v>
      </c>
      <c r="G271" s="21">
        <f t="shared" si="226"/>
        <v>0</v>
      </c>
      <c r="H271" s="21">
        <f t="shared" si="226"/>
        <v>0</v>
      </c>
      <c r="I271" s="21">
        <f t="shared" si="226"/>
        <v>0</v>
      </c>
      <c r="J271" s="21">
        <f t="shared" si="226"/>
        <v>0</v>
      </c>
      <c r="K271" s="21">
        <f t="shared" si="226"/>
        <v>0</v>
      </c>
      <c r="L271" s="21">
        <f t="shared" si="226"/>
        <v>0</v>
      </c>
      <c r="M271" s="21">
        <f t="shared" si="226"/>
        <v>0</v>
      </c>
      <c r="N271" s="21">
        <f t="shared" si="226"/>
        <v>0</v>
      </c>
      <c r="O271" s="21">
        <f t="shared" si="226"/>
        <v>0</v>
      </c>
      <c r="P271" s="21">
        <f t="shared" si="226"/>
        <v>0</v>
      </c>
      <c r="Q271" s="21">
        <f t="shared" si="226"/>
        <v>0</v>
      </c>
      <c r="R271" s="21">
        <f t="shared" si="226"/>
        <v>0</v>
      </c>
      <c r="S271" s="21">
        <f t="shared" si="226"/>
        <v>0</v>
      </c>
      <c r="T271" s="21">
        <f t="shared" si="226"/>
        <v>0</v>
      </c>
      <c r="U271" s="21">
        <f t="shared" si="226"/>
        <v>0</v>
      </c>
      <c r="V271" s="21">
        <f t="shared" si="226"/>
        <v>0</v>
      </c>
      <c r="W271" s="21">
        <f t="shared" si="226"/>
        <v>0</v>
      </c>
      <c r="X271" s="21">
        <f t="shared" si="226"/>
        <v>0</v>
      </c>
      <c r="Y271" s="21">
        <f t="shared" si="226"/>
        <v>0</v>
      </c>
      <c r="Z271" s="21">
        <f t="shared" si="226"/>
        <v>0</v>
      </c>
      <c r="AA271" s="21">
        <f t="shared" si="226"/>
        <v>0</v>
      </c>
      <c r="AB271" s="21">
        <f t="shared" si="226"/>
        <v>0</v>
      </c>
      <c r="AC271" s="21">
        <f t="shared" si="226"/>
        <v>0</v>
      </c>
      <c r="AD271" s="21">
        <f t="shared" si="226"/>
        <v>0</v>
      </c>
      <c r="AE271" s="21">
        <f t="shared" si="226"/>
        <v>0</v>
      </c>
      <c r="AF271" s="21">
        <f t="shared" si="226"/>
        <v>0</v>
      </c>
      <c r="AG271" s="21">
        <f t="shared" si="226"/>
        <v>0</v>
      </c>
      <c r="AH271" s="21">
        <f t="shared" si="226"/>
        <v>0</v>
      </c>
      <c r="AI271" s="21">
        <f t="shared" ref="AI271:BA271" si="227">AI163+AI217+(AI244*kwh_per_therm*therms_per_mcf)</f>
        <v>0</v>
      </c>
      <c r="AJ271" s="21">
        <f t="shared" si="227"/>
        <v>0</v>
      </c>
      <c r="AK271" s="21">
        <f t="shared" si="227"/>
        <v>0</v>
      </c>
      <c r="AL271" s="21">
        <f t="shared" si="227"/>
        <v>0</v>
      </c>
      <c r="AM271" s="21">
        <f t="shared" si="227"/>
        <v>0</v>
      </c>
      <c r="AN271" s="21">
        <f t="shared" si="227"/>
        <v>0</v>
      </c>
      <c r="AO271" s="21">
        <f t="shared" si="227"/>
        <v>0</v>
      </c>
      <c r="AP271" s="21">
        <f t="shared" si="227"/>
        <v>0</v>
      </c>
      <c r="AQ271" s="21">
        <f t="shared" si="227"/>
        <v>0</v>
      </c>
      <c r="AR271" s="21">
        <f t="shared" si="227"/>
        <v>0</v>
      </c>
      <c r="AS271" s="21">
        <f t="shared" si="227"/>
        <v>0</v>
      </c>
      <c r="AT271" s="21">
        <f t="shared" si="227"/>
        <v>0</v>
      </c>
      <c r="AU271" s="21">
        <f t="shared" si="227"/>
        <v>0</v>
      </c>
      <c r="AV271" s="21">
        <f t="shared" si="227"/>
        <v>0</v>
      </c>
      <c r="AW271" s="21">
        <f t="shared" si="227"/>
        <v>0</v>
      </c>
      <c r="AX271" s="21">
        <f t="shared" si="227"/>
        <v>0</v>
      </c>
      <c r="AY271" s="21">
        <f t="shared" si="227"/>
        <v>0</v>
      </c>
      <c r="AZ271" s="21">
        <f t="shared" si="227"/>
        <v>0</v>
      </c>
      <c r="BA271" s="21">
        <f t="shared" si="227"/>
        <v>0</v>
      </c>
      <c r="BB271" s="145">
        <f t="shared" si="197"/>
        <v>0</v>
      </c>
    </row>
    <row r="272" spans="1:54">
      <c r="A272" s="456"/>
      <c r="B272" s="228">
        <v>2023</v>
      </c>
      <c r="C272" s="21">
        <f t="shared" ref="C272:AH272" si="228">C164+C218+(C245*kwh_per_therm*therms_per_mcf)</f>
        <v>0</v>
      </c>
      <c r="D272" s="21">
        <f t="shared" si="228"/>
        <v>0</v>
      </c>
      <c r="E272" s="21">
        <f t="shared" si="228"/>
        <v>0</v>
      </c>
      <c r="F272" s="21">
        <f t="shared" si="228"/>
        <v>0</v>
      </c>
      <c r="G272" s="21">
        <f t="shared" si="228"/>
        <v>0</v>
      </c>
      <c r="H272" s="21">
        <f t="shared" si="228"/>
        <v>0</v>
      </c>
      <c r="I272" s="21">
        <f t="shared" si="228"/>
        <v>0</v>
      </c>
      <c r="J272" s="21">
        <f t="shared" si="228"/>
        <v>0</v>
      </c>
      <c r="K272" s="21">
        <f t="shared" si="228"/>
        <v>0</v>
      </c>
      <c r="L272" s="21">
        <f t="shared" si="228"/>
        <v>0</v>
      </c>
      <c r="M272" s="21">
        <f t="shared" si="228"/>
        <v>0</v>
      </c>
      <c r="N272" s="21">
        <f t="shared" si="228"/>
        <v>0</v>
      </c>
      <c r="O272" s="21">
        <f t="shared" si="228"/>
        <v>0</v>
      </c>
      <c r="P272" s="21">
        <f t="shared" si="228"/>
        <v>0</v>
      </c>
      <c r="Q272" s="21">
        <f t="shared" si="228"/>
        <v>0</v>
      </c>
      <c r="R272" s="21">
        <f t="shared" si="228"/>
        <v>0</v>
      </c>
      <c r="S272" s="21">
        <f t="shared" si="228"/>
        <v>0</v>
      </c>
      <c r="T272" s="21">
        <f t="shared" si="228"/>
        <v>0</v>
      </c>
      <c r="U272" s="21">
        <f t="shared" si="228"/>
        <v>0</v>
      </c>
      <c r="V272" s="21">
        <f t="shared" si="228"/>
        <v>0</v>
      </c>
      <c r="W272" s="21">
        <f t="shared" si="228"/>
        <v>0</v>
      </c>
      <c r="X272" s="21">
        <f t="shared" si="228"/>
        <v>0</v>
      </c>
      <c r="Y272" s="21">
        <f t="shared" si="228"/>
        <v>0</v>
      </c>
      <c r="Z272" s="21">
        <f t="shared" si="228"/>
        <v>0</v>
      </c>
      <c r="AA272" s="21">
        <f t="shared" si="228"/>
        <v>0</v>
      </c>
      <c r="AB272" s="21">
        <f t="shared" si="228"/>
        <v>0</v>
      </c>
      <c r="AC272" s="21">
        <f t="shared" si="228"/>
        <v>0</v>
      </c>
      <c r="AD272" s="21">
        <f t="shared" si="228"/>
        <v>0</v>
      </c>
      <c r="AE272" s="21">
        <f t="shared" si="228"/>
        <v>0</v>
      </c>
      <c r="AF272" s="21">
        <f t="shared" si="228"/>
        <v>0</v>
      </c>
      <c r="AG272" s="21">
        <f t="shared" si="228"/>
        <v>0</v>
      </c>
      <c r="AH272" s="21">
        <f t="shared" si="228"/>
        <v>0</v>
      </c>
      <c r="AI272" s="21">
        <f t="shared" ref="AI272:BA272" si="229">AI164+AI218+(AI245*kwh_per_therm*therms_per_mcf)</f>
        <v>0</v>
      </c>
      <c r="AJ272" s="21">
        <f t="shared" si="229"/>
        <v>0</v>
      </c>
      <c r="AK272" s="21">
        <f t="shared" si="229"/>
        <v>0</v>
      </c>
      <c r="AL272" s="21">
        <f t="shared" si="229"/>
        <v>0</v>
      </c>
      <c r="AM272" s="21">
        <f t="shared" si="229"/>
        <v>0</v>
      </c>
      <c r="AN272" s="21">
        <f t="shared" si="229"/>
        <v>0</v>
      </c>
      <c r="AO272" s="21">
        <f t="shared" si="229"/>
        <v>0</v>
      </c>
      <c r="AP272" s="21">
        <f t="shared" si="229"/>
        <v>0</v>
      </c>
      <c r="AQ272" s="21">
        <f t="shared" si="229"/>
        <v>0</v>
      </c>
      <c r="AR272" s="21">
        <f t="shared" si="229"/>
        <v>0</v>
      </c>
      <c r="AS272" s="21">
        <f t="shared" si="229"/>
        <v>0</v>
      </c>
      <c r="AT272" s="21">
        <f t="shared" si="229"/>
        <v>0</v>
      </c>
      <c r="AU272" s="21">
        <f t="shared" si="229"/>
        <v>0</v>
      </c>
      <c r="AV272" s="21">
        <f t="shared" si="229"/>
        <v>0</v>
      </c>
      <c r="AW272" s="21">
        <f t="shared" si="229"/>
        <v>0</v>
      </c>
      <c r="AX272" s="21">
        <f t="shared" si="229"/>
        <v>0</v>
      </c>
      <c r="AY272" s="21">
        <f t="shared" si="229"/>
        <v>0</v>
      </c>
      <c r="AZ272" s="21">
        <f t="shared" si="229"/>
        <v>0</v>
      </c>
      <c r="BA272" s="21">
        <f t="shared" si="229"/>
        <v>0</v>
      </c>
      <c r="BB272" s="145">
        <f t="shared" si="197"/>
        <v>0</v>
      </c>
    </row>
    <row r="273" spans="1:54">
      <c r="A273" s="456"/>
      <c r="B273" s="226">
        <v>2024</v>
      </c>
      <c r="C273" s="21">
        <f t="shared" ref="C273:AH273" si="230">C165+C219+(C246*kwh_per_therm*therms_per_mcf)</f>
        <v>0</v>
      </c>
      <c r="D273" s="21">
        <f t="shared" si="230"/>
        <v>0</v>
      </c>
      <c r="E273" s="21">
        <f t="shared" si="230"/>
        <v>0</v>
      </c>
      <c r="F273" s="21">
        <f t="shared" si="230"/>
        <v>0</v>
      </c>
      <c r="G273" s="21">
        <f t="shared" si="230"/>
        <v>0</v>
      </c>
      <c r="H273" s="21">
        <f t="shared" si="230"/>
        <v>0</v>
      </c>
      <c r="I273" s="21">
        <f t="shared" si="230"/>
        <v>0</v>
      </c>
      <c r="J273" s="21">
        <f t="shared" si="230"/>
        <v>0</v>
      </c>
      <c r="K273" s="21">
        <f t="shared" si="230"/>
        <v>0</v>
      </c>
      <c r="L273" s="21">
        <f t="shared" si="230"/>
        <v>0</v>
      </c>
      <c r="M273" s="21">
        <f t="shared" si="230"/>
        <v>0</v>
      </c>
      <c r="N273" s="21">
        <f t="shared" si="230"/>
        <v>0</v>
      </c>
      <c r="O273" s="21">
        <f t="shared" si="230"/>
        <v>0</v>
      </c>
      <c r="P273" s="21">
        <f t="shared" si="230"/>
        <v>0</v>
      </c>
      <c r="Q273" s="21">
        <f t="shared" si="230"/>
        <v>0</v>
      </c>
      <c r="R273" s="21">
        <f t="shared" si="230"/>
        <v>0</v>
      </c>
      <c r="S273" s="21">
        <f t="shared" si="230"/>
        <v>0</v>
      </c>
      <c r="T273" s="21">
        <f t="shared" si="230"/>
        <v>0</v>
      </c>
      <c r="U273" s="21">
        <f t="shared" si="230"/>
        <v>0</v>
      </c>
      <c r="V273" s="21">
        <f t="shared" si="230"/>
        <v>0</v>
      </c>
      <c r="W273" s="21">
        <f t="shared" si="230"/>
        <v>0</v>
      </c>
      <c r="X273" s="21">
        <f t="shared" si="230"/>
        <v>0</v>
      </c>
      <c r="Y273" s="21">
        <f t="shared" si="230"/>
        <v>0</v>
      </c>
      <c r="Z273" s="21">
        <f t="shared" si="230"/>
        <v>0</v>
      </c>
      <c r="AA273" s="21">
        <f t="shared" si="230"/>
        <v>0</v>
      </c>
      <c r="AB273" s="21">
        <f t="shared" si="230"/>
        <v>0</v>
      </c>
      <c r="AC273" s="21">
        <f t="shared" si="230"/>
        <v>0</v>
      </c>
      <c r="AD273" s="21">
        <f t="shared" si="230"/>
        <v>0</v>
      </c>
      <c r="AE273" s="21">
        <f t="shared" si="230"/>
        <v>0</v>
      </c>
      <c r="AF273" s="21">
        <f t="shared" si="230"/>
        <v>0</v>
      </c>
      <c r="AG273" s="21">
        <f t="shared" si="230"/>
        <v>0</v>
      </c>
      <c r="AH273" s="21">
        <f t="shared" si="230"/>
        <v>0</v>
      </c>
      <c r="AI273" s="21">
        <f t="shared" ref="AI273:BA273" si="231">AI165+AI219+(AI246*kwh_per_therm*therms_per_mcf)</f>
        <v>0</v>
      </c>
      <c r="AJ273" s="21">
        <f t="shared" si="231"/>
        <v>0</v>
      </c>
      <c r="AK273" s="21">
        <f t="shared" si="231"/>
        <v>0</v>
      </c>
      <c r="AL273" s="21">
        <f t="shared" si="231"/>
        <v>0</v>
      </c>
      <c r="AM273" s="21">
        <f t="shared" si="231"/>
        <v>0</v>
      </c>
      <c r="AN273" s="21">
        <f t="shared" si="231"/>
        <v>0</v>
      </c>
      <c r="AO273" s="21">
        <f t="shared" si="231"/>
        <v>0</v>
      </c>
      <c r="AP273" s="21">
        <f t="shared" si="231"/>
        <v>0</v>
      </c>
      <c r="AQ273" s="21">
        <f t="shared" si="231"/>
        <v>0</v>
      </c>
      <c r="AR273" s="21">
        <f t="shared" si="231"/>
        <v>0</v>
      </c>
      <c r="AS273" s="21">
        <f t="shared" si="231"/>
        <v>0</v>
      </c>
      <c r="AT273" s="21">
        <f t="shared" si="231"/>
        <v>0</v>
      </c>
      <c r="AU273" s="21">
        <f t="shared" si="231"/>
        <v>0</v>
      </c>
      <c r="AV273" s="21">
        <f t="shared" si="231"/>
        <v>0</v>
      </c>
      <c r="AW273" s="21">
        <f t="shared" si="231"/>
        <v>0</v>
      </c>
      <c r="AX273" s="21">
        <f t="shared" si="231"/>
        <v>0</v>
      </c>
      <c r="AY273" s="21">
        <f t="shared" si="231"/>
        <v>0</v>
      </c>
      <c r="AZ273" s="21">
        <f t="shared" si="231"/>
        <v>0</v>
      </c>
      <c r="BA273" s="21">
        <f t="shared" si="231"/>
        <v>0</v>
      </c>
      <c r="BB273" s="145">
        <f t="shared" si="197"/>
        <v>0</v>
      </c>
    </row>
    <row r="274" spans="1:54">
      <c r="A274" s="456"/>
      <c r="B274" s="228">
        <v>2025</v>
      </c>
      <c r="C274" s="21" t="e">
        <f t="shared" ref="C274:AH274" si="232">C166+C220+(C247*kwh_per_therm*therms_per_mcf)</f>
        <v>#DIV/0!</v>
      </c>
      <c r="D274" s="21" t="e">
        <f t="shared" si="232"/>
        <v>#DIV/0!</v>
      </c>
      <c r="E274" s="21" t="e">
        <f t="shared" si="232"/>
        <v>#DIV/0!</v>
      </c>
      <c r="F274" s="21" t="e">
        <f t="shared" si="232"/>
        <v>#DIV/0!</v>
      </c>
      <c r="G274" s="21" t="e">
        <f t="shared" si="232"/>
        <v>#DIV/0!</v>
      </c>
      <c r="H274" s="21" t="e">
        <f t="shared" si="232"/>
        <v>#DIV/0!</v>
      </c>
      <c r="I274" s="21" t="e">
        <f t="shared" si="232"/>
        <v>#DIV/0!</v>
      </c>
      <c r="J274" s="21" t="e">
        <f t="shared" si="232"/>
        <v>#DIV/0!</v>
      </c>
      <c r="K274" s="21" t="e">
        <f t="shared" si="232"/>
        <v>#DIV/0!</v>
      </c>
      <c r="L274" s="21" t="e">
        <f t="shared" si="232"/>
        <v>#DIV/0!</v>
      </c>
      <c r="M274" s="21" t="e">
        <f t="shared" si="232"/>
        <v>#DIV/0!</v>
      </c>
      <c r="N274" s="21" t="e">
        <f t="shared" si="232"/>
        <v>#DIV/0!</v>
      </c>
      <c r="O274" s="21" t="e">
        <f t="shared" si="232"/>
        <v>#DIV/0!</v>
      </c>
      <c r="P274" s="21" t="e">
        <f t="shared" si="232"/>
        <v>#DIV/0!</v>
      </c>
      <c r="Q274" s="21" t="e">
        <f t="shared" si="232"/>
        <v>#DIV/0!</v>
      </c>
      <c r="R274" s="21" t="e">
        <f t="shared" si="232"/>
        <v>#DIV/0!</v>
      </c>
      <c r="S274" s="21" t="e">
        <f t="shared" si="232"/>
        <v>#DIV/0!</v>
      </c>
      <c r="T274" s="21" t="e">
        <f t="shared" si="232"/>
        <v>#DIV/0!</v>
      </c>
      <c r="U274" s="21" t="e">
        <f t="shared" si="232"/>
        <v>#DIV/0!</v>
      </c>
      <c r="V274" s="21" t="e">
        <f t="shared" si="232"/>
        <v>#DIV/0!</v>
      </c>
      <c r="W274" s="21" t="e">
        <f t="shared" si="232"/>
        <v>#DIV/0!</v>
      </c>
      <c r="X274" s="21" t="e">
        <f t="shared" si="232"/>
        <v>#DIV/0!</v>
      </c>
      <c r="Y274" s="21" t="e">
        <f t="shared" si="232"/>
        <v>#DIV/0!</v>
      </c>
      <c r="Z274" s="21" t="e">
        <f t="shared" si="232"/>
        <v>#DIV/0!</v>
      </c>
      <c r="AA274" s="21" t="e">
        <f t="shared" si="232"/>
        <v>#DIV/0!</v>
      </c>
      <c r="AB274" s="21" t="e">
        <f t="shared" si="232"/>
        <v>#DIV/0!</v>
      </c>
      <c r="AC274" s="21" t="e">
        <f t="shared" si="232"/>
        <v>#DIV/0!</v>
      </c>
      <c r="AD274" s="21" t="e">
        <f t="shared" si="232"/>
        <v>#DIV/0!</v>
      </c>
      <c r="AE274" s="21" t="e">
        <f t="shared" si="232"/>
        <v>#DIV/0!</v>
      </c>
      <c r="AF274" s="21" t="e">
        <f t="shared" si="232"/>
        <v>#DIV/0!</v>
      </c>
      <c r="AG274" s="21" t="e">
        <f t="shared" si="232"/>
        <v>#DIV/0!</v>
      </c>
      <c r="AH274" s="21" t="e">
        <f t="shared" si="232"/>
        <v>#DIV/0!</v>
      </c>
      <c r="AI274" s="21" t="e">
        <f t="shared" ref="AI274:BA274" si="233">AI166+AI220+(AI247*kwh_per_therm*therms_per_mcf)</f>
        <v>#DIV/0!</v>
      </c>
      <c r="AJ274" s="21" t="e">
        <f t="shared" si="233"/>
        <v>#DIV/0!</v>
      </c>
      <c r="AK274" s="21" t="e">
        <f t="shared" si="233"/>
        <v>#DIV/0!</v>
      </c>
      <c r="AL274" s="21" t="e">
        <f t="shared" si="233"/>
        <v>#DIV/0!</v>
      </c>
      <c r="AM274" s="21" t="e">
        <f t="shared" si="233"/>
        <v>#DIV/0!</v>
      </c>
      <c r="AN274" s="21" t="e">
        <f t="shared" si="233"/>
        <v>#DIV/0!</v>
      </c>
      <c r="AO274" s="21" t="e">
        <f t="shared" si="233"/>
        <v>#DIV/0!</v>
      </c>
      <c r="AP274" s="21" t="e">
        <f t="shared" si="233"/>
        <v>#DIV/0!</v>
      </c>
      <c r="AQ274" s="21" t="e">
        <f t="shared" si="233"/>
        <v>#DIV/0!</v>
      </c>
      <c r="AR274" s="21" t="e">
        <f t="shared" si="233"/>
        <v>#DIV/0!</v>
      </c>
      <c r="AS274" s="21" t="e">
        <f t="shared" si="233"/>
        <v>#DIV/0!</v>
      </c>
      <c r="AT274" s="21" t="e">
        <f t="shared" si="233"/>
        <v>#DIV/0!</v>
      </c>
      <c r="AU274" s="21" t="e">
        <f t="shared" si="233"/>
        <v>#DIV/0!</v>
      </c>
      <c r="AV274" s="21" t="e">
        <f t="shared" si="233"/>
        <v>#DIV/0!</v>
      </c>
      <c r="AW274" s="21" t="e">
        <f t="shared" si="233"/>
        <v>#DIV/0!</v>
      </c>
      <c r="AX274" s="21" t="e">
        <f t="shared" si="233"/>
        <v>#DIV/0!</v>
      </c>
      <c r="AY274" s="21" t="e">
        <f t="shared" si="233"/>
        <v>#DIV/0!</v>
      </c>
      <c r="AZ274" s="21" t="e">
        <f t="shared" si="233"/>
        <v>#DIV/0!</v>
      </c>
      <c r="BA274" s="21" t="e">
        <f t="shared" si="233"/>
        <v>#DIV/0!</v>
      </c>
      <c r="BB274" s="145" t="e">
        <f t="shared" si="197"/>
        <v>#DIV/0!</v>
      </c>
    </row>
    <row r="275" spans="1:54">
      <c r="A275" s="456"/>
      <c r="B275" s="226">
        <v>2026</v>
      </c>
      <c r="C275" s="21" t="e">
        <f t="shared" ref="C275:AH275" si="234">C167+C221+(C248*kwh_per_therm*therms_per_mcf)</f>
        <v>#DIV/0!</v>
      </c>
      <c r="D275" s="21" t="e">
        <f t="shared" si="234"/>
        <v>#DIV/0!</v>
      </c>
      <c r="E275" s="21" t="e">
        <f t="shared" si="234"/>
        <v>#DIV/0!</v>
      </c>
      <c r="F275" s="21" t="e">
        <f t="shared" si="234"/>
        <v>#DIV/0!</v>
      </c>
      <c r="G275" s="21" t="e">
        <f t="shared" si="234"/>
        <v>#DIV/0!</v>
      </c>
      <c r="H275" s="21" t="e">
        <f t="shared" si="234"/>
        <v>#DIV/0!</v>
      </c>
      <c r="I275" s="21" t="e">
        <f t="shared" si="234"/>
        <v>#DIV/0!</v>
      </c>
      <c r="J275" s="21" t="e">
        <f t="shared" si="234"/>
        <v>#DIV/0!</v>
      </c>
      <c r="K275" s="21" t="e">
        <f t="shared" si="234"/>
        <v>#DIV/0!</v>
      </c>
      <c r="L275" s="21" t="e">
        <f t="shared" si="234"/>
        <v>#DIV/0!</v>
      </c>
      <c r="M275" s="21" t="e">
        <f t="shared" si="234"/>
        <v>#DIV/0!</v>
      </c>
      <c r="N275" s="21" t="e">
        <f t="shared" si="234"/>
        <v>#DIV/0!</v>
      </c>
      <c r="O275" s="21" t="e">
        <f t="shared" si="234"/>
        <v>#DIV/0!</v>
      </c>
      <c r="P275" s="21" t="e">
        <f t="shared" si="234"/>
        <v>#DIV/0!</v>
      </c>
      <c r="Q275" s="21" t="e">
        <f t="shared" si="234"/>
        <v>#DIV/0!</v>
      </c>
      <c r="R275" s="21" t="e">
        <f t="shared" si="234"/>
        <v>#DIV/0!</v>
      </c>
      <c r="S275" s="21" t="e">
        <f t="shared" si="234"/>
        <v>#DIV/0!</v>
      </c>
      <c r="T275" s="21" t="e">
        <f t="shared" si="234"/>
        <v>#DIV/0!</v>
      </c>
      <c r="U275" s="21" t="e">
        <f t="shared" si="234"/>
        <v>#DIV/0!</v>
      </c>
      <c r="V275" s="21" t="e">
        <f t="shared" si="234"/>
        <v>#DIV/0!</v>
      </c>
      <c r="W275" s="21" t="e">
        <f t="shared" si="234"/>
        <v>#DIV/0!</v>
      </c>
      <c r="X275" s="21" t="e">
        <f t="shared" si="234"/>
        <v>#DIV/0!</v>
      </c>
      <c r="Y275" s="21" t="e">
        <f t="shared" si="234"/>
        <v>#DIV/0!</v>
      </c>
      <c r="Z275" s="21" t="e">
        <f t="shared" si="234"/>
        <v>#DIV/0!</v>
      </c>
      <c r="AA275" s="21" t="e">
        <f t="shared" si="234"/>
        <v>#DIV/0!</v>
      </c>
      <c r="AB275" s="21" t="e">
        <f t="shared" si="234"/>
        <v>#DIV/0!</v>
      </c>
      <c r="AC275" s="21" t="e">
        <f t="shared" si="234"/>
        <v>#DIV/0!</v>
      </c>
      <c r="AD275" s="21" t="e">
        <f t="shared" si="234"/>
        <v>#DIV/0!</v>
      </c>
      <c r="AE275" s="21" t="e">
        <f t="shared" si="234"/>
        <v>#DIV/0!</v>
      </c>
      <c r="AF275" s="21" t="e">
        <f t="shared" si="234"/>
        <v>#DIV/0!</v>
      </c>
      <c r="AG275" s="21" t="e">
        <f t="shared" si="234"/>
        <v>#DIV/0!</v>
      </c>
      <c r="AH275" s="21" t="e">
        <f t="shared" si="234"/>
        <v>#DIV/0!</v>
      </c>
      <c r="AI275" s="21" t="e">
        <f t="shared" ref="AI275:BA275" si="235">AI167+AI221+(AI248*kwh_per_therm*therms_per_mcf)</f>
        <v>#DIV/0!</v>
      </c>
      <c r="AJ275" s="21" t="e">
        <f t="shared" si="235"/>
        <v>#DIV/0!</v>
      </c>
      <c r="AK275" s="21" t="e">
        <f t="shared" si="235"/>
        <v>#DIV/0!</v>
      </c>
      <c r="AL275" s="21" t="e">
        <f t="shared" si="235"/>
        <v>#DIV/0!</v>
      </c>
      <c r="AM275" s="21" t="e">
        <f t="shared" si="235"/>
        <v>#DIV/0!</v>
      </c>
      <c r="AN275" s="21" t="e">
        <f t="shared" si="235"/>
        <v>#DIV/0!</v>
      </c>
      <c r="AO275" s="21" t="e">
        <f t="shared" si="235"/>
        <v>#DIV/0!</v>
      </c>
      <c r="AP275" s="21" t="e">
        <f t="shared" si="235"/>
        <v>#DIV/0!</v>
      </c>
      <c r="AQ275" s="21" t="e">
        <f t="shared" si="235"/>
        <v>#DIV/0!</v>
      </c>
      <c r="AR275" s="21" t="e">
        <f t="shared" si="235"/>
        <v>#DIV/0!</v>
      </c>
      <c r="AS275" s="21" t="e">
        <f t="shared" si="235"/>
        <v>#DIV/0!</v>
      </c>
      <c r="AT275" s="21" t="e">
        <f t="shared" si="235"/>
        <v>#DIV/0!</v>
      </c>
      <c r="AU275" s="21" t="e">
        <f t="shared" si="235"/>
        <v>#DIV/0!</v>
      </c>
      <c r="AV275" s="21" t="e">
        <f t="shared" si="235"/>
        <v>#DIV/0!</v>
      </c>
      <c r="AW275" s="21" t="e">
        <f t="shared" si="235"/>
        <v>#DIV/0!</v>
      </c>
      <c r="AX275" s="21" t="e">
        <f t="shared" si="235"/>
        <v>#DIV/0!</v>
      </c>
      <c r="AY275" s="21" t="e">
        <f t="shared" si="235"/>
        <v>#DIV/0!</v>
      </c>
      <c r="AZ275" s="21" t="e">
        <f t="shared" si="235"/>
        <v>#DIV/0!</v>
      </c>
      <c r="BA275" s="21" t="e">
        <f t="shared" si="235"/>
        <v>#DIV/0!</v>
      </c>
      <c r="BB275" s="145" t="e">
        <f t="shared" si="197"/>
        <v>#DIV/0!</v>
      </c>
    </row>
    <row r="276" spans="1:54">
      <c r="A276" s="456"/>
      <c r="B276" s="228">
        <v>2027</v>
      </c>
      <c r="C276" s="21" t="e">
        <f t="shared" ref="C276:AH276" si="236">C168+C222+(C249*kwh_per_therm*therms_per_mcf)</f>
        <v>#DIV/0!</v>
      </c>
      <c r="D276" s="21" t="e">
        <f t="shared" si="236"/>
        <v>#DIV/0!</v>
      </c>
      <c r="E276" s="21" t="e">
        <f t="shared" si="236"/>
        <v>#DIV/0!</v>
      </c>
      <c r="F276" s="21" t="e">
        <f t="shared" si="236"/>
        <v>#DIV/0!</v>
      </c>
      <c r="G276" s="21" t="e">
        <f t="shared" si="236"/>
        <v>#DIV/0!</v>
      </c>
      <c r="H276" s="21" t="e">
        <f t="shared" si="236"/>
        <v>#DIV/0!</v>
      </c>
      <c r="I276" s="21" t="e">
        <f t="shared" si="236"/>
        <v>#DIV/0!</v>
      </c>
      <c r="J276" s="21" t="e">
        <f t="shared" si="236"/>
        <v>#DIV/0!</v>
      </c>
      <c r="K276" s="21" t="e">
        <f t="shared" si="236"/>
        <v>#DIV/0!</v>
      </c>
      <c r="L276" s="21" t="e">
        <f t="shared" si="236"/>
        <v>#DIV/0!</v>
      </c>
      <c r="M276" s="21" t="e">
        <f t="shared" si="236"/>
        <v>#DIV/0!</v>
      </c>
      <c r="N276" s="21" t="e">
        <f t="shared" si="236"/>
        <v>#DIV/0!</v>
      </c>
      <c r="O276" s="21" t="e">
        <f t="shared" si="236"/>
        <v>#DIV/0!</v>
      </c>
      <c r="P276" s="21" t="e">
        <f t="shared" si="236"/>
        <v>#DIV/0!</v>
      </c>
      <c r="Q276" s="21" t="e">
        <f t="shared" si="236"/>
        <v>#DIV/0!</v>
      </c>
      <c r="R276" s="21" t="e">
        <f t="shared" si="236"/>
        <v>#DIV/0!</v>
      </c>
      <c r="S276" s="21" t="e">
        <f t="shared" si="236"/>
        <v>#DIV/0!</v>
      </c>
      <c r="T276" s="21" t="e">
        <f t="shared" si="236"/>
        <v>#DIV/0!</v>
      </c>
      <c r="U276" s="21" t="e">
        <f t="shared" si="236"/>
        <v>#DIV/0!</v>
      </c>
      <c r="V276" s="21" t="e">
        <f t="shared" si="236"/>
        <v>#DIV/0!</v>
      </c>
      <c r="W276" s="21" t="e">
        <f t="shared" si="236"/>
        <v>#DIV/0!</v>
      </c>
      <c r="X276" s="21" t="e">
        <f t="shared" si="236"/>
        <v>#DIV/0!</v>
      </c>
      <c r="Y276" s="21" t="e">
        <f t="shared" si="236"/>
        <v>#DIV/0!</v>
      </c>
      <c r="Z276" s="21" t="e">
        <f t="shared" si="236"/>
        <v>#DIV/0!</v>
      </c>
      <c r="AA276" s="21" t="e">
        <f t="shared" si="236"/>
        <v>#DIV/0!</v>
      </c>
      <c r="AB276" s="21" t="e">
        <f t="shared" si="236"/>
        <v>#DIV/0!</v>
      </c>
      <c r="AC276" s="21" t="e">
        <f t="shared" si="236"/>
        <v>#DIV/0!</v>
      </c>
      <c r="AD276" s="21" t="e">
        <f t="shared" si="236"/>
        <v>#DIV/0!</v>
      </c>
      <c r="AE276" s="21" t="e">
        <f t="shared" si="236"/>
        <v>#DIV/0!</v>
      </c>
      <c r="AF276" s="21" t="e">
        <f t="shared" si="236"/>
        <v>#DIV/0!</v>
      </c>
      <c r="AG276" s="21" t="e">
        <f t="shared" si="236"/>
        <v>#DIV/0!</v>
      </c>
      <c r="AH276" s="21" t="e">
        <f t="shared" si="236"/>
        <v>#DIV/0!</v>
      </c>
      <c r="AI276" s="21" t="e">
        <f t="shared" ref="AI276:BA276" si="237">AI168+AI222+(AI249*kwh_per_therm*therms_per_mcf)</f>
        <v>#DIV/0!</v>
      </c>
      <c r="AJ276" s="21" t="e">
        <f t="shared" si="237"/>
        <v>#DIV/0!</v>
      </c>
      <c r="AK276" s="21" t="e">
        <f t="shared" si="237"/>
        <v>#DIV/0!</v>
      </c>
      <c r="AL276" s="21" t="e">
        <f t="shared" si="237"/>
        <v>#DIV/0!</v>
      </c>
      <c r="AM276" s="21" t="e">
        <f t="shared" si="237"/>
        <v>#DIV/0!</v>
      </c>
      <c r="AN276" s="21" t="e">
        <f t="shared" si="237"/>
        <v>#DIV/0!</v>
      </c>
      <c r="AO276" s="21" t="e">
        <f t="shared" si="237"/>
        <v>#DIV/0!</v>
      </c>
      <c r="AP276" s="21" t="e">
        <f t="shared" si="237"/>
        <v>#DIV/0!</v>
      </c>
      <c r="AQ276" s="21" t="e">
        <f t="shared" si="237"/>
        <v>#DIV/0!</v>
      </c>
      <c r="AR276" s="21" t="e">
        <f t="shared" si="237"/>
        <v>#DIV/0!</v>
      </c>
      <c r="AS276" s="21" t="e">
        <f t="shared" si="237"/>
        <v>#DIV/0!</v>
      </c>
      <c r="AT276" s="21" t="e">
        <f t="shared" si="237"/>
        <v>#DIV/0!</v>
      </c>
      <c r="AU276" s="21" t="e">
        <f t="shared" si="237"/>
        <v>#DIV/0!</v>
      </c>
      <c r="AV276" s="21" t="e">
        <f t="shared" si="237"/>
        <v>#DIV/0!</v>
      </c>
      <c r="AW276" s="21" t="e">
        <f t="shared" si="237"/>
        <v>#DIV/0!</v>
      </c>
      <c r="AX276" s="21" t="e">
        <f t="shared" si="237"/>
        <v>#DIV/0!</v>
      </c>
      <c r="AY276" s="21" t="e">
        <f t="shared" si="237"/>
        <v>#DIV/0!</v>
      </c>
      <c r="AZ276" s="21" t="e">
        <f t="shared" si="237"/>
        <v>#DIV/0!</v>
      </c>
      <c r="BA276" s="21" t="e">
        <f t="shared" si="237"/>
        <v>#DIV/0!</v>
      </c>
      <c r="BB276" s="145" t="e">
        <f t="shared" si="197"/>
        <v>#DIV/0!</v>
      </c>
    </row>
    <row r="277" spans="1:54">
      <c r="A277" s="456"/>
      <c r="B277" s="226">
        <v>2028</v>
      </c>
      <c r="C277" s="21" t="e">
        <f t="shared" ref="C277:AH277" si="238">C169+C223+(C250*kwh_per_therm*therms_per_mcf)</f>
        <v>#DIV/0!</v>
      </c>
      <c r="D277" s="21" t="e">
        <f t="shared" si="238"/>
        <v>#DIV/0!</v>
      </c>
      <c r="E277" s="21" t="e">
        <f t="shared" si="238"/>
        <v>#DIV/0!</v>
      </c>
      <c r="F277" s="21" t="e">
        <f t="shared" si="238"/>
        <v>#DIV/0!</v>
      </c>
      <c r="G277" s="21" t="e">
        <f t="shared" si="238"/>
        <v>#DIV/0!</v>
      </c>
      <c r="H277" s="21" t="e">
        <f t="shared" si="238"/>
        <v>#DIV/0!</v>
      </c>
      <c r="I277" s="21" t="e">
        <f t="shared" si="238"/>
        <v>#DIV/0!</v>
      </c>
      <c r="J277" s="21" t="e">
        <f t="shared" si="238"/>
        <v>#DIV/0!</v>
      </c>
      <c r="K277" s="21" t="e">
        <f t="shared" si="238"/>
        <v>#DIV/0!</v>
      </c>
      <c r="L277" s="21" t="e">
        <f t="shared" si="238"/>
        <v>#DIV/0!</v>
      </c>
      <c r="M277" s="21" t="e">
        <f t="shared" si="238"/>
        <v>#DIV/0!</v>
      </c>
      <c r="N277" s="21" t="e">
        <f t="shared" si="238"/>
        <v>#DIV/0!</v>
      </c>
      <c r="O277" s="21" t="e">
        <f t="shared" si="238"/>
        <v>#DIV/0!</v>
      </c>
      <c r="P277" s="21" t="e">
        <f t="shared" si="238"/>
        <v>#DIV/0!</v>
      </c>
      <c r="Q277" s="21" t="e">
        <f t="shared" si="238"/>
        <v>#DIV/0!</v>
      </c>
      <c r="R277" s="21" t="e">
        <f t="shared" si="238"/>
        <v>#DIV/0!</v>
      </c>
      <c r="S277" s="21" t="e">
        <f t="shared" si="238"/>
        <v>#DIV/0!</v>
      </c>
      <c r="T277" s="21" t="e">
        <f t="shared" si="238"/>
        <v>#DIV/0!</v>
      </c>
      <c r="U277" s="21" t="e">
        <f t="shared" si="238"/>
        <v>#DIV/0!</v>
      </c>
      <c r="V277" s="21" t="e">
        <f t="shared" si="238"/>
        <v>#DIV/0!</v>
      </c>
      <c r="W277" s="21" t="e">
        <f t="shared" si="238"/>
        <v>#DIV/0!</v>
      </c>
      <c r="X277" s="21" t="e">
        <f t="shared" si="238"/>
        <v>#DIV/0!</v>
      </c>
      <c r="Y277" s="21" t="e">
        <f t="shared" si="238"/>
        <v>#DIV/0!</v>
      </c>
      <c r="Z277" s="21" t="e">
        <f t="shared" si="238"/>
        <v>#DIV/0!</v>
      </c>
      <c r="AA277" s="21" t="e">
        <f t="shared" si="238"/>
        <v>#DIV/0!</v>
      </c>
      <c r="AB277" s="21" t="e">
        <f t="shared" si="238"/>
        <v>#DIV/0!</v>
      </c>
      <c r="AC277" s="21" t="e">
        <f t="shared" si="238"/>
        <v>#DIV/0!</v>
      </c>
      <c r="AD277" s="21" t="e">
        <f t="shared" si="238"/>
        <v>#DIV/0!</v>
      </c>
      <c r="AE277" s="21" t="e">
        <f t="shared" si="238"/>
        <v>#DIV/0!</v>
      </c>
      <c r="AF277" s="21" t="e">
        <f t="shared" si="238"/>
        <v>#DIV/0!</v>
      </c>
      <c r="AG277" s="21" t="e">
        <f t="shared" si="238"/>
        <v>#DIV/0!</v>
      </c>
      <c r="AH277" s="21" t="e">
        <f t="shared" si="238"/>
        <v>#DIV/0!</v>
      </c>
      <c r="AI277" s="21" t="e">
        <f t="shared" ref="AI277:BA277" si="239">AI169+AI223+(AI250*kwh_per_therm*therms_per_mcf)</f>
        <v>#DIV/0!</v>
      </c>
      <c r="AJ277" s="21" t="e">
        <f t="shared" si="239"/>
        <v>#DIV/0!</v>
      </c>
      <c r="AK277" s="21" t="e">
        <f t="shared" si="239"/>
        <v>#DIV/0!</v>
      </c>
      <c r="AL277" s="21" t="e">
        <f t="shared" si="239"/>
        <v>#DIV/0!</v>
      </c>
      <c r="AM277" s="21" t="e">
        <f t="shared" si="239"/>
        <v>#DIV/0!</v>
      </c>
      <c r="AN277" s="21" t="e">
        <f t="shared" si="239"/>
        <v>#DIV/0!</v>
      </c>
      <c r="AO277" s="21" t="e">
        <f t="shared" si="239"/>
        <v>#DIV/0!</v>
      </c>
      <c r="AP277" s="21" t="e">
        <f t="shared" si="239"/>
        <v>#DIV/0!</v>
      </c>
      <c r="AQ277" s="21" t="e">
        <f t="shared" si="239"/>
        <v>#DIV/0!</v>
      </c>
      <c r="AR277" s="21" t="e">
        <f t="shared" si="239"/>
        <v>#DIV/0!</v>
      </c>
      <c r="AS277" s="21" t="e">
        <f t="shared" si="239"/>
        <v>#DIV/0!</v>
      </c>
      <c r="AT277" s="21" t="e">
        <f t="shared" si="239"/>
        <v>#DIV/0!</v>
      </c>
      <c r="AU277" s="21" t="e">
        <f t="shared" si="239"/>
        <v>#DIV/0!</v>
      </c>
      <c r="AV277" s="21" t="e">
        <f t="shared" si="239"/>
        <v>#DIV/0!</v>
      </c>
      <c r="AW277" s="21" t="e">
        <f t="shared" si="239"/>
        <v>#DIV/0!</v>
      </c>
      <c r="AX277" s="21" t="e">
        <f t="shared" si="239"/>
        <v>#DIV/0!</v>
      </c>
      <c r="AY277" s="21" t="e">
        <f t="shared" si="239"/>
        <v>#DIV/0!</v>
      </c>
      <c r="AZ277" s="21" t="e">
        <f t="shared" si="239"/>
        <v>#DIV/0!</v>
      </c>
      <c r="BA277" s="21" t="e">
        <f t="shared" si="239"/>
        <v>#DIV/0!</v>
      </c>
      <c r="BB277" s="145" t="e">
        <f t="shared" si="197"/>
        <v>#DIV/0!</v>
      </c>
    </row>
    <row r="278" spans="1:54">
      <c r="A278" s="456"/>
      <c r="B278" s="228">
        <v>2029</v>
      </c>
      <c r="C278" s="21" t="e">
        <f t="shared" ref="C278:AH278" si="240">C170+C224+(C251*kwh_per_therm*therms_per_mcf)</f>
        <v>#DIV/0!</v>
      </c>
      <c r="D278" s="21" t="e">
        <f t="shared" si="240"/>
        <v>#DIV/0!</v>
      </c>
      <c r="E278" s="21" t="e">
        <f t="shared" si="240"/>
        <v>#DIV/0!</v>
      </c>
      <c r="F278" s="21" t="e">
        <f t="shared" si="240"/>
        <v>#DIV/0!</v>
      </c>
      <c r="G278" s="21" t="e">
        <f t="shared" si="240"/>
        <v>#DIV/0!</v>
      </c>
      <c r="H278" s="21" t="e">
        <f t="shared" si="240"/>
        <v>#DIV/0!</v>
      </c>
      <c r="I278" s="21" t="e">
        <f t="shared" si="240"/>
        <v>#DIV/0!</v>
      </c>
      <c r="J278" s="21" t="e">
        <f t="shared" si="240"/>
        <v>#DIV/0!</v>
      </c>
      <c r="K278" s="21" t="e">
        <f t="shared" si="240"/>
        <v>#DIV/0!</v>
      </c>
      <c r="L278" s="21" t="e">
        <f t="shared" si="240"/>
        <v>#DIV/0!</v>
      </c>
      <c r="M278" s="21" t="e">
        <f t="shared" si="240"/>
        <v>#DIV/0!</v>
      </c>
      <c r="N278" s="21" t="e">
        <f t="shared" si="240"/>
        <v>#DIV/0!</v>
      </c>
      <c r="O278" s="21" t="e">
        <f t="shared" si="240"/>
        <v>#DIV/0!</v>
      </c>
      <c r="P278" s="21" t="e">
        <f t="shared" si="240"/>
        <v>#DIV/0!</v>
      </c>
      <c r="Q278" s="21" t="e">
        <f t="shared" si="240"/>
        <v>#DIV/0!</v>
      </c>
      <c r="R278" s="21" t="e">
        <f t="shared" si="240"/>
        <v>#DIV/0!</v>
      </c>
      <c r="S278" s="21" t="e">
        <f t="shared" si="240"/>
        <v>#DIV/0!</v>
      </c>
      <c r="T278" s="21" t="e">
        <f t="shared" si="240"/>
        <v>#DIV/0!</v>
      </c>
      <c r="U278" s="21" t="e">
        <f t="shared" si="240"/>
        <v>#DIV/0!</v>
      </c>
      <c r="V278" s="21" t="e">
        <f t="shared" si="240"/>
        <v>#DIV/0!</v>
      </c>
      <c r="W278" s="21" t="e">
        <f t="shared" si="240"/>
        <v>#DIV/0!</v>
      </c>
      <c r="X278" s="21" t="e">
        <f t="shared" si="240"/>
        <v>#DIV/0!</v>
      </c>
      <c r="Y278" s="21" t="e">
        <f t="shared" si="240"/>
        <v>#DIV/0!</v>
      </c>
      <c r="Z278" s="21" t="e">
        <f t="shared" si="240"/>
        <v>#DIV/0!</v>
      </c>
      <c r="AA278" s="21" t="e">
        <f t="shared" si="240"/>
        <v>#DIV/0!</v>
      </c>
      <c r="AB278" s="21" t="e">
        <f t="shared" si="240"/>
        <v>#DIV/0!</v>
      </c>
      <c r="AC278" s="21" t="e">
        <f t="shared" si="240"/>
        <v>#DIV/0!</v>
      </c>
      <c r="AD278" s="21" t="e">
        <f t="shared" si="240"/>
        <v>#DIV/0!</v>
      </c>
      <c r="AE278" s="21" t="e">
        <f t="shared" si="240"/>
        <v>#DIV/0!</v>
      </c>
      <c r="AF278" s="21" t="e">
        <f t="shared" si="240"/>
        <v>#DIV/0!</v>
      </c>
      <c r="AG278" s="21" t="e">
        <f t="shared" si="240"/>
        <v>#DIV/0!</v>
      </c>
      <c r="AH278" s="21" t="e">
        <f t="shared" si="240"/>
        <v>#DIV/0!</v>
      </c>
      <c r="AI278" s="21" t="e">
        <f t="shared" ref="AI278:BA278" si="241">AI170+AI224+(AI251*kwh_per_therm*therms_per_mcf)</f>
        <v>#DIV/0!</v>
      </c>
      <c r="AJ278" s="21" t="e">
        <f t="shared" si="241"/>
        <v>#DIV/0!</v>
      </c>
      <c r="AK278" s="21" t="e">
        <f t="shared" si="241"/>
        <v>#DIV/0!</v>
      </c>
      <c r="AL278" s="21" t="e">
        <f t="shared" si="241"/>
        <v>#DIV/0!</v>
      </c>
      <c r="AM278" s="21" t="e">
        <f t="shared" si="241"/>
        <v>#DIV/0!</v>
      </c>
      <c r="AN278" s="21" t="e">
        <f t="shared" si="241"/>
        <v>#DIV/0!</v>
      </c>
      <c r="AO278" s="21" t="e">
        <f t="shared" si="241"/>
        <v>#DIV/0!</v>
      </c>
      <c r="AP278" s="21" t="e">
        <f t="shared" si="241"/>
        <v>#DIV/0!</v>
      </c>
      <c r="AQ278" s="21" t="e">
        <f t="shared" si="241"/>
        <v>#DIV/0!</v>
      </c>
      <c r="AR278" s="21" t="e">
        <f t="shared" si="241"/>
        <v>#DIV/0!</v>
      </c>
      <c r="AS278" s="21" t="e">
        <f t="shared" si="241"/>
        <v>#DIV/0!</v>
      </c>
      <c r="AT278" s="21" t="e">
        <f t="shared" si="241"/>
        <v>#DIV/0!</v>
      </c>
      <c r="AU278" s="21" t="e">
        <f t="shared" si="241"/>
        <v>#DIV/0!</v>
      </c>
      <c r="AV278" s="21" t="e">
        <f t="shared" si="241"/>
        <v>#DIV/0!</v>
      </c>
      <c r="AW278" s="21" t="e">
        <f t="shared" si="241"/>
        <v>#DIV/0!</v>
      </c>
      <c r="AX278" s="21" t="e">
        <f t="shared" si="241"/>
        <v>#DIV/0!</v>
      </c>
      <c r="AY278" s="21" t="e">
        <f t="shared" si="241"/>
        <v>#DIV/0!</v>
      </c>
      <c r="AZ278" s="21" t="e">
        <f t="shared" si="241"/>
        <v>#DIV/0!</v>
      </c>
      <c r="BA278" s="21" t="e">
        <f t="shared" si="241"/>
        <v>#DIV/0!</v>
      </c>
      <c r="BB278" s="145" t="e">
        <f t="shared" si="197"/>
        <v>#DIV/0!</v>
      </c>
    </row>
    <row r="279" spans="1:54">
      <c r="A279" s="456"/>
      <c r="B279" s="226">
        <v>2030</v>
      </c>
      <c r="C279" s="21" t="e">
        <f t="shared" ref="C279:AH279" si="242">C171+C225+(C252*kwh_per_therm*therms_per_mcf)</f>
        <v>#DIV/0!</v>
      </c>
      <c r="D279" s="21" t="e">
        <f t="shared" si="242"/>
        <v>#DIV/0!</v>
      </c>
      <c r="E279" s="21" t="e">
        <f t="shared" si="242"/>
        <v>#DIV/0!</v>
      </c>
      <c r="F279" s="21" t="e">
        <f t="shared" si="242"/>
        <v>#DIV/0!</v>
      </c>
      <c r="G279" s="21" t="e">
        <f t="shared" si="242"/>
        <v>#DIV/0!</v>
      </c>
      <c r="H279" s="21" t="e">
        <f t="shared" si="242"/>
        <v>#DIV/0!</v>
      </c>
      <c r="I279" s="21" t="e">
        <f t="shared" si="242"/>
        <v>#DIV/0!</v>
      </c>
      <c r="J279" s="21" t="e">
        <f t="shared" si="242"/>
        <v>#DIV/0!</v>
      </c>
      <c r="K279" s="21" t="e">
        <f t="shared" si="242"/>
        <v>#DIV/0!</v>
      </c>
      <c r="L279" s="21" t="e">
        <f t="shared" si="242"/>
        <v>#DIV/0!</v>
      </c>
      <c r="M279" s="21" t="e">
        <f t="shared" si="242"/>
        <v>#DIV/0!</v>
      </c>
      <c r="N279" s="21" t="e">
        <f t="shared" si="242"/>
        <v>#DIV/0!</v>
      </c>
      <c r="O279" s="21" t="e">
        <f t="shared" si="242"/>
        <v>#DIV/0!</v>
      </c>
      <c r="P279" s="21" t="e">
        <f t="shared" si="242"/>
        <v>#DIV/0!</v>
      </c>
      <c r="Q279" s="21" t="e">
        <f t="shared" si="242"/>
        <v>#DIV/0!</v>
      </c>
      <c r="R279" s="21" t="e">
        <f t="shared" si="242"/>
        <v>#DIV/0!</v>
      </c>
      <c r="S279" s="21" t="e">
        <f t="shared" si="242"/>
        <v>#DIV/0!</v>
      </c>
      <c r="T279" s="21" t="e">
        <f t="shared" si="242"/>
        <v>#DIV/0!</v>
      </c>
      <c r="U279" s="21" t="e">
        <f t="shared" si="242"/>
        <v>#DIV/0!</v>
      </c>
      <c r="V279" s="21" t="e">
        <f t="shared" si="242"/>
        <v>#DIV/0!</v>
      </c>
      <c r="W279" s="21" t="e">
        <f t="shared" si="242"/>
        <v>#DIV/0!</v>
      </c>
      <c r="X279" s="21" t="e">
        <f t="shared" si="242"/>
        <v>#DIV/0!</v>
      </c>
      <c r="Y279" s="21" t="e">
        <f t="shared" si="242"/>
        <v>#DIV/0!</v>
      </c>
      <c r="Z279" s="21" t="e">
        <f t="shared" si="242"/>
        <v>#DIV/0!</v>
      </c>
      <c r="AA279" s="21" t="e">
        <f t="shared" si="242"/>
        <v>#DIV/0!</v>
      </c>
      <c r="AB279" s="21" t="e">
        <f t="shared" si="242"/>
        <v>#DIV/0!</v>
      </c>
      <c r="AC279" s="21" t="e">
        <f t="shared" si="242"/>
        <v>#DIV/0!</v>
      </c>
      <c r="AD279" s="21" t="e">
        <f t="shared" si="242"/>
        <v>#DIV/0!</v>
      </c>
      <c r="AE279" s="21" t="e">
        <f t="shared" si="242"/>
        <v>#DIV/0!</v>
      </c>
      <c r="AF279" s="21" t="e">
        <f t="shared" si="242"/>
        <v>#DIV/0!</v>
      </c>
      <c r="AG279" s="21" t="e">
        <f t="shared" si="242"/>
        <v>#DIV/0!</v>
      </c>
      <c r="AH279" s="21" t="e">
        <f t="shared" si="242"/>
        <v>#DIV/0!</v>
      </c>
      <c r="AI279" s="21" t="e">
        <f t="shared" ref="AI279:BA279" si="243">AI171+AI225+(AI252*kwh_per_therm*therms_per_mcf)</f>
        <v>#DIV/0!</v>
      </c>
      <c r="AJ279" s="21" t="e">
        <f t="shared" si="243"/>
        <v>#DIV/0!</v>
      </c>
      <c r="AK279" s="21" t="e">
        <f t="shared" si="243"/>
        <v>#DIV/0!</v>
      </c>
      <c r="AL279" s="21" t="e">
        <f t="shared" si="243"/>
        <v>#DIV/0!</v>
      </c>
      <c r="AM279" s="21" t="e">
        <f t="shared" si="243"/>
        <v>#DIV/0!</v>
      </c>
      <c r="AN279" s="21" t="e">
        <f t="shared" si="243"/>
        <v>#DIV/0!</v>
      </c>
      <c r="AO279" s="21" t="e">
        <f t="shared" si="243"/>
        <v>#DIV/0!</v>
      </c>
      <c r="AP279" s="21" t="e">
        <f t="shared" si="243"/>
        <v>#DIV/0!</v>
      </c>
      <c r="AQ279" s="21" t="e">
        <f t="shared" si="243"/>
        <v>#DIV/0!</v>
      </c>
      <c r="AR279" s="21" t="e">
        <f t="shared" si="243"/>
        <v>#DIV/0!</v>
      </c>
      <c r="AS279" s="21" t="e">
        <f t="shared" si="243"/>
        <v>#DIV/0!</v>
      </c>
      <c r="AT279" s="21" t="e">
        <f t="shared" si="243"/>
        <v>#DIV/0!</v>
      </c>
      <c r="AU279" s="21" t="e">
        <f t="shared" si="243"/>
        <v>#DIV/0!</v>
      </c>
      <c r="AV279" s="21" t="e">
        <f t="shared" si="243"/>
        <v>#DIV/0!</v>
      </c>
      <c r="AW279" s="21" t="e">
        <f t="shared" si="243"/>
        <v>#DIV/0!</v>
      </c>
      <c r="AX279" s="21" t="e">
        <f t="shared" si="243"/>
        <v>#DIV/0!</v>
      </c>
      <c r="AY279" s="21" t="e">
        <f t="shared" si="243"/>
        <v>#DIV/0!</v>
      </c>
      <c r="AZ279" s="21" t="e">
        <f t="shared" si="243"/>
        <v>#DIV/0!</v>
      </c>
      <c r="BA279" s="21" t="e">
        <f t="shared" si="243"/>
        <v>#DIV/0!</v>
      </c>
      <c r="BB279" s="145" t="e">
        <f t="shared" si="197"/>
        <v>#DIV/0!</v>
      </c>
    </row>
    <row r="280" spans="1:54" s="63" customFormat="1"/>
    <row r="281" spans="1:54">
      <c r="A281" s="456" t="s">
        <v>417</v>
      </c>
      <c r="B281" s="226" t="s">
        <v>225</v>
      </c>
      <c r="C281" t="str">
        <f>C254</f>
        <v>AL</v>
      </c>
      <c r="D281" t="str">
        <f t="shared" ref="D281:BA281" si="244">D254</f>
        <v>AK</v>
      </c>
      <c r="E281" t="str">
        <f t="shared" si="244"/>
        <v>AZ</v>
      </c>
      <c r="F281" t="str">
        <f t="shared" si="244"/>
        <v>AR</v>
      </c>
      <c r="G281" t="str">
        <f t="shared" si="244"/>
        <v>CA</v>
      </c>
      <c r="H281" t="str">
        <f t="shared" si="244"/>
        <v>CO</v>
      </c>
      <c r="I281" t="str">
        <f t="shared" si="244"/>
        <v>CT</v>
      </c>
      <c r="J281" t="str">
        <f t="shared" si="244"/>
        <v>DE</v>
      </c>
      <c r="K281" t="str">
        <f t="shared" si="244"/>
        <v>DC</v>
      </c>
      <c r="L281" t="str">
        <f t="shared" si="244"/>
        <v>FL</v>
      </c>
      <c r="M281" t="str">
        <f t="shared" si="244"/>
        <v>GA</v>
      </c>
      <c r="N281" t="str">
        <f t="shared" si="244"/>
        <v>HI</v>
      </c>
      <c r="O281" t="str">
        <f t="shared" si="244"/>
        <v>ID</v>
      </c>
      <c r="P281" t="str">
        <f t="shared" si="244"/>
        <v>IL</v>
      </c>
      <c r="Q281" t="str">
        <f t="shared" si="244"/>
        <v>IN</v>
      </c>
      <c r="R281" t="str">
        <f t="shared" si="244"/>
        <v>IA</v>
      </c>
      <c r="S281" t="str">
        <f t="shared" si="244"/>
        <v>KS</v>
      </c>
      <c r="T281" t="str">
        <f t="shared" si="244"/>
        <v>KY</v>
      </c>
      <c r="U281" t="str">
        <f t="shared" si="244"/>
        <v>LA</v>
      </c>
      <c r="V281" t="str">
        <f t="shared" si="244"/>
        <v>ME</v>
      </c>
      <c r="W281" t="str">
        <f t="shared" si="244"/>
        <v>MD</v>
      </c>
      <c r="X281" t="str">
        <f t="shared" si="244"/>
        <v>MA</v>
      </c>
      <c r="Y281" t="str">
        <f t="shared" si="244"/>
        <v>MI</v>
      </c>
      <c r="Z281" t="str">
        <f t="shared" si="244"/>
        <v>MN</v>
      </c>
      <c r="AA281" t="str">
        <f t="shared" si="244"/>
        <v>MS</v>
      </c>
      <c r="AB281" t="str">
        <f t="shared" si="244"/>
        <v>MO</v>
      </c>
      <c r="AC281" t="str">
        <f t="shared" si="244"/>
        <v>MT</v>
      </c>
      <c r="AD281" t="str">
        <f t="shared" si="244"/>
        <v>NE</v>
      </c>
      <c r="AE281" t="str">
        <f t="shared" si="244"/>
        <v>NV</v>
      </c>
      <c r="AF281" t="str">
        <f t="shared" si="244"/>
        <v>NH</v>
      </c>
      <c r="AG281" t="str">
        <f t="shared" si="244"/>
        <v>NJ</v>
      </c>
      <c r="AH281" t="str">
        <f t="shared" si="244"/>
        <v>NM</v>
      </c>
      <c r="AI281" t="str">
        <f t="shared" si="244"/>
        <v>NY</v>
      </c>
      <c r="AJ281" t="str">
        <f t="shared" si="244"/>
        <v>NC</v>
      </c>
      <c r="AK281" t="str">
        <f t="shared" si="244"/>
        <v>ND</v>
      </c>
      <c r="AL281" t="str">
        <f t="shared" si="244"/>
        <v>OH</v>
      </c>
      <c r="AM281" t="str">
        <f t="shared" si="244"/>
        <v>OK</v>
      </c>
      <c r="AN281" t="str">
        <f t="shared" si="244"/>
        <v>OR</v>
      </c>
      <c r="AO281" t="str">
        <f t="shared" si="244"/>
        <v>PA</v>
      </c>
      <c r="AP281" t="str">
        <f t="shared" si="244"/>
        <v>RI</v>
      </c>
      <c r="AQ281" t="str">
        <f t="shared" si="244"/>
        <v>SC</v>
      </c>
      <c r="AR281" t="str">
        <f t="shared" si="244"/>
        <v>SD</v>
      </c>
      <c r="AS281" t="str">
        <f t="shared" si="244"/>
        <v>TN</v>
      </c>
      <c r="AT281" t="str">
        <f t="shared" si="244"/>
        <v>TX</v>
      </c>
      <c r="AU281" t="str">
        <f t="shared" si="244"/>
        <v>UT</v>
      </c>
      <c r="AV281" t="str">
        <f t="shared" si="244"/>
        <v>VT</v>
      </c>
      <c r="AW281" t="str">
        <f t="shared" si="244"/>
        <v>VA</v>
      </c>
      <c r="AX281" t="str">
        <f t="shared" si="244"/>
        <v>WA</v>
      </c>
      <c r="AY281" t="str">
        <f t="shared" si="244"/>
        <v>WV</v>
      </c>
      <c r="AZ281" t="str">
        <f t="shared" si="244"/>
        <v>WI</v>
      </c>
      <c r="BA281" t="str">
        <f t="shared" si="244"/>
        <v>WY</v>
      </c>
      <c r="BB281" t="s">
        <v>96</v>
      </c>
    </row>
    <row r="282" spans="1:54">
      <c r="A282" s="456"/>
      <c r="B282" s="226" t="s">
        <v>11</v>
      </c>
    </row>
    <row r="283" spans="1:54">
      <c r="A283" s="456"/>
      <c r="B283" s="228">
        <v>2007</v>
      </c>
      <c r="C283" s="21">
        <f>((C148+C202)*_xlfn.XLOOKUP(C$281,tons_kWh!$C$2:$BA$2,tons_kWh!$C3:$BA3))+(C229*tons_co2_per_therm*therms_per_mcf)</f>
        <v>0</v>
      </c>
      <c r="D283" s="21">
        <f>((D148+D202)*_xlfn.XLOOKUP(D$281,tons_kWh!$C$2:$BA$2,tons_kWh!$C3:$BA3))+(D229*tons_co2_per_therm*therms_per_mcf)</f>
        <v>0</v>
      </c>
      <c r="E283" s="21">
        <f>((E148+E202)*_xlfn.XLOOKUP(E$281,tons_kWh!$C$2:$BA$2,tons_kWh!$C3:$BA3))+(E229*tons_co2_per_therm*therms_per_mcf)</f>
        <v>0</v>
      </c>
      <c r="F283" s="21">
        <f>((F148+F202)*_xlfn.XLOOKUP(F$281,tons_kWh!$C$2:$BA$2,tons_kWh!$C3:$BA3))+(F229*tons_co2_per_therm*therms_per_mcf)</f>
        <v>0</v>
      </c>
      <c r="G283" s="21">
        <f>((G148+G202)*_xlfn.XLOOKUP(G$281,tons_kWh!$C$2:$BA$2,tons_kWh!$C3:$BA3))+(G229*tons_co2_per_therm*therms_per_mcf)</f>
        <v>0</v>
      </c>
      <c r="H283" s="21">
        <f>((H148+H202)*_xlfn.XLOOKUP(H$281,tons_kWh!$C$2:$BA$2,tons_kWh!$C3:$BA3))+(H229*tons_co2_per_therm*therms_per_mcf)</f>
        <v>0</v>
      </c>
      <c r="I283" s="21">
        <f>((I148+I202)*_xlfn.XLOOKUP(I$281,tons_kWh!$C$2:$BA$2,tons_kWh!$C3:$BA3))+(I229*tons_co2_per_therm*therms_per_mcf)</f>
        <v>0</v>
      </c>
      <c r="J283" s="21">
        <f>((J148+J202)*_xlfn.XLOOKUP(J$281,tons_kWh!$C$2:$BA$2,tons_kWh!$C3:$BA3))+(J229*tons_co2_per_therm*therms_per_mcf)</f>
        <v>0</v>
      </c>
      <c r="K283" s="21">
        <f>((K148+K202)*_xlfn.XLOOKUP(K$281,tons_kWh!$C$2:$BA$2,tons_kWh!$C3:$BA3))+(K229*tons_co2_per_therm*therms_per_mcf)</f>
        <v>0</v>
      </c>
      <c r="L283" s="21">
        <f>((L148+L202)*_xlfn.XLOOKUP(L$281,tons_kWh!$C$2:$BA$2,tons_kWh!$C3:$BA3))+(L229*tons_co2_per_therm*therms_per_mcf)</f>
        <v>0</v>
      </c>
      <c r="M283" s="21">
        <f>((M148+M202)*_xlfn.XLOOKUP(M$281,tons_kWh!$C$2:$BA$2,tons_kWh!$C3:$BA3))+(M229*tons_co2_per_therm*therms_per_mcf)</f>
        <v>0</v>
      </c>
      <c r="N283" s="21">
        <f>((N148+N202)*_xlfn.XLOOKUP(N$281,tons_kWh!$C$2:$BA$2,tons_kWh!$C3:$BA3))+(N229*tons_co2_per_therm*therms_per_mcf)</f>
        <v>0</v>
      </c>
      <c r="O283" s="21">
        <f>((O148+O202)*_xlfn.XLOOKUP(O$281,tons_kWh!$C$2:$BA$2,tons_kWh!$C3:$BA3))+(O229*tons_co2_per_therm*therms_per_mcf)</f>
        <v>0</v>
      </c>
      <c r="P283" s="21">
        <f>((P148+P202)*_xlfn.XLOOKUP(P$281,tons_kWh!$C$2:$BA$2,tons_kWh!$C3:$BA3))+(P229*tons_co2_per_therm*therms_per_mcf)</f>
        <v>0</v>
      </c>
      <c r="Q283" s="21">
        <f>((Q148+Q202)*_xlfn.XLOOKUP(Q$281,tons_kWh!$C$2:$BA$2,tons_kWh!$C3:$BA3))+(Q229*tons_co2_per_therm*therms_per_mcf)</f>
        <v>0</v>
      </c>
      <c r="R283" s="21">
        <f>((R148+R202)*_xlfn.XLOOKUP(R$281,tons_kWh!$C$2:$BA$2,tons_kWh!$C3:$BA3))+(R229*tons_co2_per_therm*therms_per_mcf)</f>
        <v>0</v>
      </c>
      <c r="S283" s="21">
        <f>((S148+S202)*_xlfn.XLOOKUP(S$281,tons_kWh!$C$2:$BA$2,tons_kWh!$C3:$BA3))+(S229*tons_co2_per_therm*therms_per_mcf)</f>
        <v>0</v>
      </c>
      <c r="T283" s="21">
        <f>((T148+T202)*_xlfn.XLOOKUP(T$281,tons_kWh!$C$2:$BA$2,tons_kWh!$C3:$BA3))+(T229*tons_co2_per_therm*therms_per_mcf)</f>
        <v>0</v>
      </c>
      <c r="U283" s="21">
        <f>((U148+U202)*_xlfn.XLOOKUP(U$281,tons_kWh!$C$2:$BA$2,tons_kWh!$C3:$BA3))+(U229*tons_co2_per_therm*therms_per_mcf)</f>
        <v>0</v>
      </c>
      <c r="V283" s="21">
        <f>((V148+V202)*_xlfn.XLOOKUP(V$281,tons_kWh!$C$2:$BA$2,tons_kWh!$C3:$BA3))+(V229*tons_co2_per_therm*therms_per_mcf)</f>
        <v>0</v>
      </c>
      <c r="W283" s="21">
        <f>((W148+W202)*_xlfn.XLOOKUP(W$281,tons_kWh!$C$2:$BA$2,tons_kWh!$C3:$BA3))+(W229*tons_co2_per_therm*therms_per_mcf)</f>
        <v>0</v>
      </c>
      <c r="X283" s="21">
        <f>((X148+X202)*_xlfn.XLOOKUP(X$281,tons_kWh!$C$2:$BA$2,tons_kWh!$C3:$BA3))+(X229*tons_co2_per_therm*therms_per_mcf)</f>
        <v>0</v>
      </c>
      <c r="Y283" s="21">
        <f>((Y148+Y202)*_xlfn.XLOOKUP(Y$281,tons_kWh!$C$2:$BA$2,tons_kWh!$C3:$BA3))+(Y229*tons_co2_per_therm*therms_per_mcf)</f>
        <v>0</v>
      </c>
      <c r="Z283" s="21">
        <f>((Z148+Z202)*_xlfn.XLOOKUP(Z$281,tons_kWh!$C$2:$BA$2,tons_kWh!$C3:$BA3))+(Z229*tons_co2_per_therm*therms_per_mcf)</f>
        <v>0</v>
      </c>
      <c r="AA283" s="21">
        <f>((AA148+AA202)*_xlfn.XLOOKUP(AA$281,tons_kWh!$C$2:$BA$2,tons_kWh!$C3:$BA3))+(AA229*tons_co2_per_therm*therms_per_mcf)</f>
        <v>0</v>
      </c>
      <c r="AB283" s="21">
        <f>((AB148+AB202)*_xlfn.XLOOKUP(AB$281,tons_kWh!$C$2:$BA$2,tons_kWh!$C3:$BA3))+(AB229*tons_co2_per_therm*therms_per_mcf)</f>
        <v>0</v>
      </c>
      <c r="AC283" s="21">
        <f>((AC148+AC202)*_xlfn.XLOOKUP(AC$281,tons_kWh!$C$2:$BA$2,tons_kWh!$C3:$BA3))+(AC229*tons_co2_per_therm*therms_per_mcf)</f>
        <v>0</v>
      </c>
      <c r="AD283" s="21">
        <f>((AD148+AD202)*_xlfn.XLOOKUP(AD$281,tons_kWh!$C$2:$BA$2,tons_kWh!$C3:$BA3))+(AD229*tons_co2_per_therm*therms_per_mcf)</f>
        <v>0</v>
      </c>
      <c r="AE283" s="21">
        <f>((AE148+AE202)*_xlfn.XLOOKUP(AE$281,tons_kWh!$C$2:$BA$2,tons_kWh!$C3:$BA3))+(AE229*tons_co2_per_therm*therms_per_mcf)</f>
        <v>0</v>
      </c>
      <c r="AF283" s="21">
        <f>((AF148+AF202)*_xlfn.XLOOKUP(AF$281,tons_kWh!$C$2:$BA$2,tons_kWh!$C3:$BA3))+(AF229*tons_co2_per_therm*therms_per_mcf)</f>
        <v>0</v>
      </c>
      <c r="AG283" s="21">
        <f>((AG148+AG202)*_xlfn.XLOOKUP(AG$281,tons_kWh!$C$2:$BA$2,tons_kWh!$C3:$BA3))+(AG229*tons_co2_per_therm*therms_per_mcf)</f>
        <v>0</v>
      </c>
      <c r="AH283" s="21">
        <f>((AH148+AH202)*_xlfn.XLOOKUP(AH$281,tons_kWh!$C$2:$BA$2,tons_kWh!$C3:$BA3))+(AH229*tons_co2_per_therm*therms_per_mcf)</f>
        <v>0</v>
      </c>
      <c r="AI283" s="21">
        <f>((AI148+AI202)*_xlfn.XLOOKUP(AI$281,tons_kWh!$C$2:$BA$2,tons_kWh!$C3:$BA3))+(AI229*tons_co2_per_therm*therms_per_mcf)</f>
        <v>0</v>
      </c>
      <c r="AJ283" s="21">
        <f>((AJ148+AJ202)*_xlfn.XLOOKUP(AJ$281,tons_kWh!$C$2:$BA$2,tons_kWh!$C3:$BA3))+(AJ229*tons_co2_per_therm*therms_per_mcf)</f>
        <v>0</v>
      </c>
      <c r="AK283" s="21">
        <f>((AK148+AK202)*_xlfn.XLOOKUP(AK$281,tons_kWh!$C$2:$BA$2,tons_kWh!$C3:$BA3))+(AK229*tons_co2_per_therm*therms_per_mcf)</f>
        <v>0</v>
      </c>
      <c r="AL283" s="21">
        <f>((AL148+AL202)*_xlfn.XLOOKUP(AL$281,tons_kWh!$C$2:$BA$2,tons_kWh!$C3:$BA3))+(AL229*tons_co2_per_therm*therms_per_mcf)</f>
        <v>0</v>
      </c>
      <c r="AM283" s="21">
        <f>((AM148+AM202)*_xlfn.XLOOKUP(AM$281,tons_kWh!$C$2:$BA$2,tons_kWh!$C3:$BA3))+(AM229*tons_co2_per_therm*therms_per_mcf)</f>
        <v>0</v>
      </c>
      <c r="AN283" s="21">
        <f>((AN148+AN202)*_xlfn.XLOOKUP(AN$281,tons_kWh!$C$2:$BA$2,tons_kWh!$C3:$BA3))+(AN229*tons_co2_per_therm*therms_per_mcf)</f>
        <v>0</v>
      </c>
      <c r="AO283" s="21">
        <f>((AO148+AO202)*_xlfn.XLOOKUP(AO$281,tons_kWh!$C$2:$BA$2,tons_kWh!$C3:$BA3))+(AO229*tons_co2_per_therm*therms_per_mcf)</f>
        <v>0</v>
      </c>
      <c r="AP283" s="21">
        <f>((AP148+AP202)*_xlfn.XLOOKUP(AP$281,tons_kWh!$C$2:$BA$2,tons_kWh!$C3:$BA3))+(AP229*tons_co2_per_therm*therms_per_mcf)</f>
        <v>0</v>
      </c>
      <c r="AQ283" s="21">
        <f>((AQ148+AQ202)*_xlfn.XLOOKUP(AQ$281,tons_kWh!$C$2:$BA$2,tons_kWh!$C3:$BA3))+(AQ229*tons_co2_per_therm*therms_per_mcf)</f>
        <v>0</v>
      </c>
      <c r="AR283" s="21">
        <f>((AR148+AR202)*_xlfn.XLOOKUP(AR$281,tons_kWh!$C$2:$BA$2,tons_kWh!$C3:$BA3))+(AR229*tons_co2_per_therm*therms_per_mcf)</f>
        <v>0</v>
      </c>
      <c r="AS283" s="21">
        <f>((AS148+AS202)*_xlfn.XLOOKUP(AS$281,tons_kWh!$C$2:$BA$2,tons_kWh!$C3:$BA3))+(AS229*tons_co2_per_therm*therms_per_mcf)</f>
        <v>0</v>
      </c>
      <c r="AT283" s="21">
        <f>((AT148+AT202)*_xlfn.XLOOKUP(AT$281,tons_kWh!$C$2:$BA$2,tons_kWh!$C3:$BA3))+(AT229*tons_co2_per_therm*therms_per_mcf)</f>
        <v>0</v>
      </c>
      <c r="AU283" s="21">
        <f>((AU148+AU202)*_xlfn.XLOOKUP(AU$281,tons_kWh!$C$2:$BA$2,tons_kWh!$C3:$BA3))+(AU229*tons_co2_per_therm*therms_per_mcf)</f>
        <v>0</v>
      </c>
      <c r="AV283" s="21">
        <f>((AV148+AV202)*_xlfn.XLOOKUP(AV$281,tons_kWh!$C$2:$BA$2,tons_kWh!$C3:$BA3))+(AV229*tons_co2_per_therm*therms_per_mcf)</f>
        <v>0</v>
      </c>
      <c r="AW283" s="21">
        <f>((AW148+AW202)*_xlfn.XLOOKUP(AW$281,tons_kWh!$C$2:$BA$2,tons_kWh!$C3:$BA3))+(AW229*tons_co2_per_therm*therms_per_mcf)</f>
        <v>0</v>
      </c>
      <c r="AX283" s="21">
        <f>((AX148+AX202)*_xlfn.XLOOKUP(AX$281,tons_kWh!$C$2:$BA$2,tons_kWh!$C3:$BA3))+(AX229*tons_co2_per_therm*therms_per_mcf)</f>
        <v>0</v>
      </c>
      <c r="AY283" s="21">
        <f>((AY148+AY202)*_xlfn.XLOOKUP(AY$281,tons_kWh!$C$2:$BA$2,tons_kWh!$C3:$BA3))+(AY229*tons_co2_per_therm*therms_per_mcf)</f>
        <v>0</v>
      </c>
      <c r="AZ283" s="21">
        <f>((AZ148+AZ202)*_xlfn.XLOOKUP(AZ$281,tons_kWh!$C$2:$BA$2,tons_kWh!$C3:$BA3))+(AZ229*tons_co2_per_therm*therms_per_mcf)</f>
        <v>0</v>
      </c>
      <c r="BA283" s="21">
        <f>((BA148+BA202)*_xlfn.XLOOKUP(BA$281,tons_kWh!$C$2:$BA$2,tons_kWh!$C3:$BA3))+(BA229*tons_co2_per_therm*therms_per_mcf)</f>
        <v>0</v>
      </c>
      <c r="BB283" s="21">
        <f>SUM(C283:BA283)</f>
        <v>0</v>
      </c>
    </row>
    <row r="284" spans="1:54">
      <c r="A284" s="456"/>
      <c r="B284" s="226">
        <v>2008</v>
      </c>
      <c r="C284" s="21">
        <f>((C149+C203)*_xlfn.XLOOKUP(C$281,tons_kWh!$C$2:$BA$2,tons_kWh!$C4:$BA4))+(C230*tons_co2_per_therm*therms_per_mcf)</f>
        <v>0</v>
      </c>
      <c r="D284" s="21">
        <f>((D149+D203)*_xlfn.XLOOKUP(D$281,tons_kWh!$C$2:$BA$2,tons_kWh!$C4:$BA4))+(D230*tons_co2_per_therm*therms_per_mcf)</f>
        <v>0</v>
      </c>
      <c r="E284" s="21">
        <f>((E149+E203)*_xlfn.XLOOKUP(E$281,tons_kWh!$C$2:$BA$2,tons_kWh!$C4:$BA4))+(E230*tons_co2_per_therm*therms_per_mcf)</f>
        <v>0</v>
      </c>
      <c r="F284" s="21">
        <f>((F149+F203)*_xlfn.XLOOKUP(F$281,tons_kWh!$C$2:$BA$2,tons_kWh!$C4:$BA4))+(F230*tons_co2_per_therm*therms_per_mcf)</f>
        <v>0</v>
      </c>
      <c r="G284" s="21">
        <f>((G149+G203)*_xlfn.XLOOKUP(G$281,tons_kWh!$C$2:$BA$2,tons_kWh!$C4:$BA4))+(G230*tons_co2_per_therm*therms_per_mcf)</f>
        <v>0</v>
      </c>
      <c r="H284" s="21">
        <f>((H149+H203)*_xlfn.XLOOKUP(H$281,tons_kWh!$C$2:$BA$2,tons_kWh!$C4:$BA4))+(H230*tons_co2_per_therm*therms_per_mcf)</f>
        <v>0</v>
      </c>
      <c r="I284" s="21">
        <f>((I149+I203)*_xlfn.XLOOKUP(I$281,tons_kWh!$C$2:$BA$2,tons_kWh!$C4:$BA4))+(I230*tons_co2_per_therm*therms_per_mcf)</f>
        <v>0</v>
      </c>
      <c r="J284" s="21">
        <f>((J149+J203)*_xlfn.XLOOKUP(J$281,tons_kWh!$C$2:$BA$2,tons_kWh!$C4:$BA4))+(J230*tons_co2_per_therm*therms_per_mcf)</f>
        <v>0</v>
      </c>
      <c r="K284" s="21">
        <f>((K149+K203)*_xlfn.XLOOKUP(K$281,tons_kWh!$C$2:$BA$2,tons_kWh!$C4:$BA4))+(K230*tons_co2_per_therm*therms_per_mcf)</f>
        <v>0</v>
      </c>
      <c r="L284" s="21">
        <f>((L149+L203)*_xlfn.XLOOKUP(L$281,tons_kWh!$C$2:$BA$2,tons_kWh!$C4:$BA4))+(L230*tons_co2_per_therm*therms_per_mcf)</f>
        <v>0</v>
      </c>
      <c r="M284" s="21">
        <f>((M149+M203)*_xlfn.XLOOKUP(M$281,tons_kWh!$C$2:$BA$2,tons_kWh!$C4:$BA4))+(M230*tons_co2_per_therm*therms_per_mcf)</f>
        <v>0</v>
      </c>
      <c r="N284" s="21">
        <f>((N149+N203)*_xlfn.XLOOKUP(N$281,tons_kWh!$C$2:$BA$2,tons_kWh!$C4:$BA4))+(N230*tons_co2_per_therm*therms_per_mcf)</f>
        <v>0</v>
      </c>
      <c r="O284" s="21">
        <f>((O149+O203)*_xlfn.XLOOKUP(O$281,tons_kWh!$C$2:$BA$2,tons_kWh!$C4:$BA4))+(O230*tons_co2_per_therm*therms_per_mcf)</f>
        <v>0</v>
      </c>
      <c r="P284" s="21">
        <f>((P149+P203)*_xlfn.XLOOKUP(P$281,tons_kWh!$C$2:$BA$2,tons_kWh!$C4:$BA4))+(P230*tons_co2_per_therm*therms_per_mcf)</f>
        <v>0</v>
      </c>
      <c r="Q284" s="21">
        <f>((Q149+Q203)*_xlfn.XLOOKUP(Q$281,tons_kWh!$C$2:$BA$2,tons_kWh!$C4:$BA4))+(Q230*tons_co2_per_therm*therms_per_mcf)</f>
        <v>0</v>
      </c>
      <c r="R284" s="21">
        <f>((R149+R203)*_xlfn.XLOOKUP(R$281,tons_kWh!$C$2:$BA$2,tons_kWh!$C4:$BA4))+(R230*tons_co2_per_therm*therms_per_mcf)</f>
        <v>0</v>
      </c>
      <c r="S284" s="21">
        <f>((S149+S203)*_xlfn.XLOOKUP(S$281,tons_kWh!$C$2:$BA$2,tons_kWh!$C4:$BA4))+(S230*tons_co2_per_therm*therms_per_mcf)</f>
        <v>0</v>
      </c>
      <c r="T284" s="21">
        <f>((T149+T203)*_xlfn.XLOOKUP(T$281,tons_kWh!$C$2:$BA$2,tons_kWh!$C4:$BA4))+(T230*tons_co2_per_therm*therms_per_mcf)</f>
        <v>0</v>
      </c>
      <c r="U284" s="21">
        <f>((U149+U203)*_xlfn.XLOOKUP(U$281,tons_kWh!$C$2:$BA$2,tons_kWh!$C4:$BA4))+(U230*tons_co2_per_therm*therms_per_mcf)</f>
        <v>0</v>
      </c>
      <c r="V284" s="21">
        <f>((V149+V203)*_xlfn.XLOOKUP(V$281,tons_kWh!$C$2:$BA$2,tons_kWh!$C4:$BA4))+(V230*tons_co2_per_therm*therms_per_mcf)</f>
        <v>0</v>
      </c>
      <c r="W284" s="21">
        <f>((W149+W203)*_xlfn.XLOOKUP(W$281,tons_kWh!$C$2:$BA$2,tons_kWh!$C4:$BA4))+(W230*tons_co2_per_therm*therms_per_mcf)</f>
        <v>0</v>
      </c>
      <c r="X284" s="21">
        <f>((X149+X203)*_xlfn.XLOOKUP(X$281,tons_kWh!$C$2:$BA$2,tons_kWh!$C4:$BA4))+(X230*tons_co2_per_therm*therms_per_mcf)</f>
        <v>0</v>
      </c>
      <c r="Y284" s="21">
        <f>((Y149+Y203)*_xlfn.XLOOKUP(Y$281,tons_kWh!$C$2:$BA$2,tons_kWh!$C4:$BA4))+(Y230*tons_co2_per_therm*therms_per_mcf)</f>
        <v>0</v>
      </c>
      <c r="Z284" s="21">
        <f>((Z149+Z203)*_xlfn.XLOOKUP(Z$281,tons_kWh!$C$2:$BA$2,tons_kWh!$C4:$BA4))+(Z230*tons_co2_per_therm*therms_per_mcf)</f>
        <v>0</v>
      </c>
      <c r="AA284" s="21">
        <f>((AA149+AA203)*_xlfn.XLOOKUP(AA$281,tons_kWh!$C$2:$BA$2,tons_kWh!$C4:$BA4))+(AA230*tons_co2_per_therm*therms_per_mcf)</f>
        <v>0</v>
      </c>
      <c r="AB284" s="21">
        <f>((AB149+AB203)*_xlfn.XLOOKUP(AB$281,tons_kWh!$C$2:$BA$2,tons_kWh!$C4:$BA4))+(AB230*tons_co2_per_therm*therms_per_mcf)</f>
        <v>0</v>
      </c>
      <c r="AC284" s="21">
        <f>((AC149+AC203)*_xlfn.XLOOKUP(AC$281,tons_kWh!$C$2:$BA$2,tons_kWh!$C4:$BA4))+(AC230*tons_co2_per_therm*therms_per_mcf)</f>
        <v>0</v>
      </c>
      <c r="AD284" s="21">
        <f>((AD149+AD203)*_xlfn.XLOOKUP(AD$281,tons_kWh!$C$2:$BA$2,tons_kWh!$C4:$BA4))+(AD230*tons_co2_per_therm*therms_per_mcf)</f>
        <v>0</v>
      </c>
      <c r="AE284" s="21">
        <f>((AE149+AE203)*_xlfn.XLOOKUP(AE$281,tons_kWh!$C$2:$BA$2,tons_kWh!$C4:$BA4))+(AE230*tons_co2_per_therm*therms_per_mcf)</f>
        <v>0</v>
      </c>
      <c r="AF284" s="21">
        <f>((AF149+AF203)*_xlfn.XLOOKUP(AF$281,tons_kWh!$C$2:$BA$2,tons_kWh!$C4:$BA4))+(AF230*tons_co2_per_therm*therms_per_mcf)</f>
        <v>0</v>
      </c>
      <c r="AG284" s="21">
        <f>((AG149+AG203)*_xlfn.XLOOKUP(AG$281,tons_kWh!$C$2:$BA$2,tons_kWh!$C4:$BA4))+(AG230*tons_co2_per_therm*therms_per_mcf)</f>
        <v>0</v>
      </c>
      <c r="AH284" s="21">
        <f>((AH149+AH203)*_xlfn.XLOOKUP(AH$281,tons_kWh!$C$2:$BA$2,tons_kWh!$C4:$BA4))+(AH230*tons_co2_per_therm*therms_per_mcf)</f>
        <v>0</v>
      </c>
      <c r="AI284" s="21">
        <f>((AI149+AI203)*_xlfn.XLOOKUP(AI$281,tons_kWh!$C$2:$BA$2,tons_kWh!$C4:$BA4))+(AI230*tons_co2_per_therm*therms_per_mcf)</f>
        <v>0</v>
      </c>
      <c r="AJ284" s="21">
        <f>((AJ149+AJ203)*_xlfn.XLOOKUP(AJ$281,tons_kWh!$C$2:$BA$2,tons_kWh!$C4:$BA4))+(AJ230*tons_co2_per_therm*therms_per_mcf)</f>
        <v>0</v>
      </c>
      <c r="AK284" s="21">
        <f>((AK149+AK203)*_xlfn.XLOOKUP(AK$281,tons_kWh!$C$2:$BA$2,tons_kWh!$C4:$BA4))+(AK230*tons_co2_per_therm*therms_per_mcf)</f>
        <v>0</v>
      </c>
      <c r="AL284" s="21">
        <f>((AL149+AL203)*_xlfn.XLOOKUP(AL$281,tons_kWh!$C$2:$BA$2,tons_kWh!$C4:$BA4))+(AL230*tons_co2_per_therm*therms_per_mcf)</f>
        <v>0</v>
      </c>
      <c r="AM284" s="21">
        <f>((AM149+AM203)*_xlfn.XLOOKUP(AM$281,tons_kWh!$C$2:$BA$2,tons_kWh!$C4:$BA4))+(AM230*tons_co2_per_therm*therms_per_mcf)</f>
        <v>0</v>
      </c>
      <c r="AN284" s="21">
        <f>((AN149+AN203)*_xlfn.XLOOKUP(AN$281,tons_kWh!$C$2:$BA$2,tons_kWh!$C4:$BA4))+(AN230*tons_co2_per_therm*therms_per_mcf)</f>
        <v>0</v>
      </c>
      <c r="AO284" s="21">
        <f>((AO149+AO203)*_xlfn.XLOOKUP(AO$281,tons_kWh!$C$2:$BA$2,tons_kWh!$C4:$BA4))+(AO230*tons_co2_per_therm*therms_per_mcf)</f>
        <v>0</v>
      </c>
      <c r="AP284" s="21">
        <f>((AP149+AP203)*_xlfn.XLOOKUP(AP$281,tons_kWh!$C$2:$BA$2,tons_kWh!$C4:$BA4))+(AP230*tons_co2_per_therm*therms_per_mcf)</f>
        <v>0</v>
      </c>
      <c r="AQ284" s="21">
        <f>((AQ149+AQ203)*_xlfn.XLOOKUP(AQ$281,tons_kWh!$C$2:$BA$2,tons_kWh!$C4:$BA4))+(AQ230*tons_co2_per_therm*therms_per_mcf)</f>
        <v>0</v>
      </c>
      <c r="AR284" s="21">
        <f>((AR149+AR203)*_xlfn.XLOOKUP(AR$281,tons_kWh!$C$2:$BA$2,tons_kWh!$C4:$BA4))+(AR230*tons_co2_per_therm*therms_per_mcf)</f>
        <v>0</v>
      </c>
      <c r="AS284" s="21">
        <f>((AS149+AS203)*_xlfn.XLOOKUP(AS$281,tons_kWh!$C$2:$BA$2,tons_kWh!$C4:$BA4))+(AS230*tons_co2_per_therm*therms_per_mcf)</f>
        <v>0</v>
      </c>
      <c r="AT284" s="21">
        <f>((AT149+AT203)*_xlfn.XLOOKUP(AT$281,tons_kWh!$C$2:$BA$2,tons_kWh!$C4:$BA4))+(AT230*tons_co2_per_therm*therms_per_mcf)</f>
        <v>0</v>
      </c>
      <c r="AU284" s="21">
        <f>((AU149+AU203)*_xlfn.XLOOKUP(AU$281,tons_kWh!$C$2:$BA$2,tons_kWh!$C4:$BA4))+(AU230*tons_co2_per_therm*therms_per_mcf)</f>
        <v>0</v>
      </c>
      <c r="AV284" s="21">
        <f>((AV149+AV203)*_xlfn.XLOOKUP(AV$281,tons_kWh!$C$2:$BA$2,tons_kWh!$C4:$BA4))+(AV230*tons_co2_per_therm*therms_per_mcf)</f>
        <v>0</v>
      </c>
      <c r="AW284" s="21">
        <f>((AW149+AW203)*_xlfn.XLOOKUP(AW$281,tons_kWh!$C$2:$BA$2,tons_kWh!$C4:$BA4))+(AW230*tons_co2_per_therm*therms_per_mcf)</f>
        <v>0</v>
      </c>
      <c r="AX284" s="21">
        <f>((AX149+AX203)*_xlfn.XLOOKUP(AX$281,tons_kWh!$C$2:$BA$2,tons_kWh!$C4:$BA4))+(AX230*tons_co2_per_therm*therms_per_mcf)</f>
        <v>0</v>
      </c>
      <c r="AY284" s="21">
        <f>((AY149+AY203)*_xlfn.XLOOKUP(AY$281,tons_kWh!$C$2:$BA$2,tons_kWh!$C4:$BA4))+(AY230*tons_co2_per_therm*therms_per_mcf)</f>
        <v>0</v>
      </c>
      <c r="AZ284" s="21">
        <f>((AZ149+AZ203)*_xlfn.XLOOKUP(AZ$281,tons_kWh!$C$2:$BA$2,tons_kWh!$C4:$BA4))+(AZ230*tons_co2_per_therm*therms_per_mcf)</f>
        <v>0</v>
      </c>
      <c r="BA284" s="21">
        <f>((BA149+BA203)*_xlfn.XLOOKUP(BA$281,tons_kWh!$C$2:$BA$2,tons_kWh!$C4:$BA4))+(BA230*tons_co2_per_therm*therms_per_mcf)</f>
        <v>0</v>
      </c>
      <c r="BB284" s="21">
        <f t="shared" ref="BB284:BB306" si="245">SUM(C284:BA284)</f>
        <v>0</v>
      </c>
    </row>
    <row r="285" spans="1:54">
      <c r="A285" s="456"/>
      <c r="B285" s="228">
        <v>2009</v>
      </c>
      <c r="C285" s="21">
        <f>((C150+C204)*_xlfn.XLOOKUP(C$281,tons_kWh!$C$2:$BA$2,tons_kWh!$C5:$BA5))+(C231*tons_co2_per_therm*therms_per_mcf)</f>
        <v>0</v>
      </c>
      <c r="D285" s="21">
        <f>((D150+D204)*_xlfn.XLOOKUP(D$281,tons_kWh!$C$2:$BA$2,tons_kWh!$C5:$BA5))+(D231*tons_co2_per_therm*therms_per_mcf)</f>
        <v>0</v>
      </c>
      <c r="E285" s="21">
        <f>((E150+E204)*_xlfn.XLOOKUP(E$281,tons_kWh!$C$2:$BA$2,tons_kWh!$C5:$BA5))+(E231*tons_co2_per_therm*therms_per_mcf)</f>
        <v>0</v>
      </c>
      <c r="F285" s="21">
        <f>((F150+F204)*_xlfn.XLOOKUP(F$281,tons_kWh!$C$2:$BA$2,tons_kWh!$C5:$BA5))+(F231*tons_co2_per_therm*therms_per_mcf)</f>
        <v>0</v>
      </c>
      <c r="G285" s="21">
        <f>((G150+G204)*_xlfn.XLOOKUP(G$281,tons_kWh!$C$2:$BA$2,tons_kWh!$C5:$BA5))+(G231*tons_co2_per_therm*therms_per_mcf)</f>
        <v>0</v>
      </c>
      <c r="H285" s="21">
        <f>((H150+H204)*_xlfn.XLOOKUP(H$281,tons_kWh!$C$2:$BA$2,tons_kWh!$C5:$BA5))+(H231*tons_co2_per_therm*therms_per_mcf)</f>
        <v>0</v>
      </c>
      <c r="I285" s="21">
        <f>((I150+I204)*_xlfn.XLOOKUP(I$281,tons_kWh!$C$2:$BA$2,tons_kWh!$C5:$BA5))+(I231*tons_co2_per_therm*therms_per_mcf)</f>
        <v>0</v>
      </c>
      <c r="J285" s="21">
        <f>((J150+J204)*_xlfn.XLOOKUP(J$281,tons_kWh!$C$2:$BA$2,tons_kWh!$C5:$BA5))+(J231*tons_co2_per_therm*therms_per_mcf)</f>
        <v>0</v>
      </c>
      <c r="K285" s="21">
        <f>((K150+K204)*_xlfn.XLOOKUP(K$281,tons_kWh!$C$2:$BA$2,tons_kWh!$C5:$BA5))+(K231*tons_co2_per_therm*therms_per_mcf)</f>
        <v>0</v>
      </c>
      <c r="L285" s="21">
        <f>((L150+L204)*_xlfn.XLOOKUP(L$281,tons_kWh!$C$2:$BA$2,tons_kWh!$C5:$BA5))+(L231*tons_co2_per_therm*therms_per_mcf)</f>
        <v>0</v>
      </c>
      <c r="M285" s="21">
        <f>((M150+M204)*_xlfn.XLOOKUP(M$281,tons_kWh!$C$2:$BA$2,tons_kWh!$C5:$BA5))+(M231*tons_co2_per_therm*therms_per_mcf)</f>
        <v>0</v>
      </c>
      <c r="N285" s="21">
        <f>((N150+N204)*_xlfn.XLOOKUP(N$281,tons_kWh!$C$2:$BA$2,tons_kWh!$C5:$BA5))+(N231*tons_co2_per_therm*therms_per_mcf)</f>
        <v>0</v>
      </c>
      <c r="O285" s="21">
        <f>((O150+O204)*_xlfn.XLOOKUP(O$281,tons_kWh!$C$2:$BA$2,tons_kWh!$C5:$BA5))+(O231*tons_co2_per_therm*therms_per_mcf)</f>
        <v>0</v>
      </c>
      <c r="P285" s="21">
        <f>((P150+P204)*_xlfn.XLOOKUP(P$281,tons_kWh!$C$2:$BA$2,tons_kWh!$C5:$BA5))+(P231*tons_co2_per_therm*therms_per_mcf)</f>
        <v>0</v>
      </c>
      <c r="Q285" s="21">
        <f>((Q150+Q204)*_xlfn.XLOOKUP(Q$281,tons_kWh!$C$2:$BA$2,tons_kWh!$C5:$BA5))+(Q231*tons_co2_per_therm*therms_per_mcf)</f>
        <v>0</v>
      </c>
      <c r="R285" s="21">
        <f>((R150+R204)*_xlfn.XLOOKUP(R$281,tons_kWh!$C$2:$BA$2,tons_kWh!$C5:$BA5))+(R231*tons_co2_per_therm*therms_per_mcf)</f>
        <v>0</v>
      </c>
      <c r="S285" s="21">
        <f>((S150+S204)*_xlfn.XLOOKUP(S$281,tons_kWh!$C$2:$BA$2,tons_kWh!$C5:$BA5))+(S231*tons_co2_per_therm*therms_per_mcf)</f>
        <v>0</v>
      </c>
      <c r="T285" s="21">
        <f>((T150+T204)*_xlfn.XLOOKUP(T$281,tons_kWh!$C$2:$BA$2,tons_kWh!$C5:$BA5))+(T231*tons_co2_per_therm*therms_per_mcf)</f>
        <v>0</v>
      </c>
      <c r="U285" s="21">
        <f>((U150+U204)*_xlfn.XLOOKUP(U$281,tons_kWh!$C$2:$BA$2,tons_kWh!$C5:$BA5))+(U231*tons_co2_per_therm*therms_per_mcf)</f>
        <v>0</v>
      </c>
      <c r="V285" s="21">
        <f>((V150+V204)*_xlfn.XLOOKUP(V$281,tons_kWh!$C$2:$BA$2,tons_kWh!$C5:$BA5))+(V231*tons_co2_per_therm*therms_per_mcf)</f>
        <v>0</v>
      </c>
      <c r="W285" s="21">
        <f>((W150+W204)*_xlfn.XLOOKUP(W$281,tons_kWh!$C$2:$BA$2,tons_kWh!$C5:$BA5))+(W231*tons_co2_per_therm*therms_per_mcf)</f>
        <v>0</v>
      </c>
      <c r="X285" s="21">
        <f>((X150+X204)*_xlfn.XLOOKUP(X$281,tons_kWh!$C$2:$BA$2,tons_kWh!$C5:$BA5))+(X231*tons_co2_per_therm*therms_per_mcf)</f>
        <v>0</v>
      </c>
      <c r="Y285" s="21">
        <f>((Y150+Y204)*_xlfn.XLOOKUP(Y$281,tons_kWh!$C$2:$BA$2,tons_kWh!$C5:$BA5))+(Y231*tons_co2_per_therm*therms_per_mcf)</f>
        <v>0</v>
      </c>
      <c r="Z285" s="21">
        <f>((Z150+Z204)*_xlfn.XLOOKUP(Z$281,tons_kWh!$C$2:$BA$2,tons_kWh!$C5:$BA5))+(Z231*tons_co2_per_therm*therms_per_mcf)</f>
        <v>0</v>
      </c>
      <c r="AA285" s="21">
        <f>((AA150+AA204)*_xlfn.XLOOKUP(AA$281,tons_kWh!$C$2:$BA$2,tons_kWh!$C5:$BA5))+(AA231*tons_co2_per_therm*therms_per_mcf)</f>
        <v>0</v>
      </c>
      <c r="AB285" s="21">
        <f>((AB150+AB204)*_xlfn.XLOOKUP(AB$281,tons_kWh!$C$2:$BA$2,tons_kWh!$C5:$BA5))+(AB231*tons_co2_per_therm*therms_per_mcf)</f>
        <v>0</v>
      </c>
      <c r="AC285" s="21">
        <f>((AC150+AC204)*_xlfn.XLOOKUP(AC$281,tons_kWh!$C$2:$BA$2,tons_kWh!$C5:$BA5))+(AC231*tons_co2_per_therm*therms_per_mcf)</f>
        <v>0</v>
      </c>
      <c r="AD285" s="21">
        <f>((AD150+AD204)*_xlfn.XLOOKUP(AD$281,tons_kWh!$C$2:$BA$2,tons_kWh!$C5:$BA5))+(AD231*tons_co2_per_therm*therms_per_mcf)</f>
        <v>0</v>
      </c>
      <c r="AE285" s="21">
        <f>((AE150+AE204)*_xlfn.XLOOKUP(AE$281,tons_kWh!$C$2:$BA$2,tons_kWh!$C5:$BA5))+(AE231*tons_co2_per_therm*therms_per_mcf)</f>
        <v>0</v>
      </c>
      <c r="AF285" s="21">
        <f>((AF150+AF204)*_xlfn.XLOOKUP(AF$281,tons_kWh!$C$2:$BA$2,tons_kWh!$C5:$BA5))+(AF231*tons_co2_per_therm*therms_per_mcf)</f>
        <v>0</v>
      </c>
      <c r="AG285" s="21">
        <f>((AG150+AG204)*_xlfn.XLOOKUP(AG$281,tons_kWh!$C$2:$BA$2,tons_kWh!$C5:$BA5))+(AG231*tons_co2_per_therm*therms_per_mcf)</f>
        <v>0</v>
      </c>
      <c r="AH285" s="21">
        <f>((AH150+AH204)*_xlfn.XLOOKUP(AH$281,tons_kWh!$C$2:$BA$2,tons_kWh!$C5:$BA5))+(AH231*tons_co2_per_therm*therms_per_mcf)</f>
        <v>0</v>
      </c>
      <c r="AI285" s="21">
        <f>((AI150+AI204)*_xlfn.XLOOKUP(AI$281,tons_kWh!$C$2:$BA$2,tons_kWh!$C5:$BA5))+(AI231*tons_co2_per_therm*therms_per_mcf)</f>
        <v>0</v>
      </c>
      <c r="AJ285" s="21">
        <f>((AJ150+AJ204)*_xlfn.XLOOKUP(AJ$281,tons_kWh!$C$2:$BA$2,tons_kWh!$C5:$BA5))+(AJ231*tons_co2_per_therm*therms_per_mcf)</f>
        <v>0</v>
      </c>
      <c r="AK285" s="21">
        <f>((AK150+AK204)*_xlfn.XLOOKUP(AK$281,tons_kWh!$C$2:$BA$2,tons_kWh!$C5:$BA5))+(AK231*tons_co2_per_therm*therms_per_mcf)</f>
        <v>0</v>
      </c>
      <c r="AL285" s="21">
        <f>((AL150+AL204)*_xlfn.XLOOKUP(AL$281,tons_kWh!$C$2:$BA$2,tons_kWh!$C5:$BA5))+(AL231*tons_co2_per_therm*therms_per_mcf)</f>
        <v>0</v>
      </c>
      <c r="AM285" s="21">
        <f>((AM150+AM204)*_xlfn.XLOOKUP(AM$281,tons_kWh!$C$2:$BA$2,tons_kWh!$C5:$BA5))+(AM231*tons_co2_per_therm*therms_per_mcf)</f>
        <v>0</v>
      </c>
      <c r="AN285" s="21">
        <f>((AN150+AN204)*_xlfn.XLOOKUP(AN$281,tons_kWh!$C$2:$BA$2,tons_kWh!$C5:$BA5))+(AN231*tons_co2_per_therm*therms_per_mcf)</f>
        <v>0</v>
      </c>
      <c r="AO285" s="21">
        <f>((AO150+AO204)*_xlfn.XLOOKUP(AO$281,tons_kWh!$C$2:$BA$2,tons_kWh!$C5:$BA5))+(AO231*tons_co2_per_therm*therms_per_mcf)</f>
        <v>0</v>
      </c>
      <c r="AP285" s="21">
        <f>((AP150+AP204)*_xlfn.XLOOKUP(AP$281,tons_kWh!$C$2:$BA$2,tons_kWh!$C5:$BA5))+(AP231*tons_co2_per_therm*therms_per_mcf)</f>
        <v>0</v>
      </c>
      <c r="AQ285" s="21">
        <f>((AQ150+AQ204)*_xlfn.XLOOKUP(AQ$281,tons_kWh!$C$2:$BA$2,tons_kWh!$C5:$BA5))+(AQ231*tons_co2_per_therm*therms_per_mcf)</f>
        <v>0</v>
      </c>
      <c r="AR285" s="21">
        <f>((AR150+AR204)*_xlfn.XLOOKUP(AR$281,tons_kWh!$C$2:$BA$2,tons_kWh!$C5:$BA5))+(AR231*tons_co2_per_therm*therms_per_mcf)</f>
        <v>0</v>
      </c>
      <c r="AS285" s="21">
        <f>((AS150+AS204)*_xlfn.XLOOKUP(AS$281,tons_kWh!$C$2:$BA$2,tons_kWh!$C5:$BA5))+(AS231*tons_co2_per_therm*therms_per_mcf)</f>
        <v>0</v>
      </c>
      <c r="AT285" s="21">
        <f>((AT150+AT204)*_xlfn.XLOOKUP(AT$281,tons_kWh!$C$2:$BA$2,tons_kWh!$C5:$BA5))+(AT231*tons_co2_per_therm*therms_per_mcf)</f>
        <v>0</v>
      </c>
      <c r="AU285" s="21">
        <f>((AU150+AU204)*_xlfn.XLOOKUP(AU$281,tons_kWh!$C$2:$BA$2,tons_kWh!$C5:$BA5))+(AU231*tons_co2_per_therm*therms_per_mcf)</f>
        <v>0</v>
      </c>
      <c r="AV285" s="21">
        <f>((AV150+AV204)*_xlfn.XLOOKUP(AV$281,tons_kWh!$C$2:$BA$2,tons_kWh!$C5:$BA5))+(AV231*tons_co2_per_therm*therms_per_mcf)</f>
        <v>0</v>
      </c>
      <c r="AW285" s="21">
        <f>((AW150+AW204)*_xlfn.XLOOKUP(AW$281,tons_kWh!$C$2:$BA$2,tons_kWh!$C5:$BA5))+(AW231*tons_co2_per_therm*therms_per_mcf)</f>
        <v>0</v>
      </c>
      <c r="AX285" s="21">
        <f>((AX150+AX204)*_xlfn.XLOOKUP(AX$281,tons_kWh!$C$2:$BA$2,tons_kWh!$C5:$BA5))+(AX231*tons_co2_per_therm*therms_per_mcf)</f>
        <v>0</v>
      </c>
      <c r="AY285" s="21">
        <f>((AY150+AY204)*_xlfn.XLOOKUP(AY$281,tons_kWh!$C$2:$BA$2,tons_kWh!$C5:$BA5))+(AY231*tons_co2_per_therm*therms_per_mcf)</f>
        <v>0</v>
      </c>
      <c r="AZ285" s="21">
        <f>((AZ150+AZ204)*_xlfn.XLOOKUP(AZ$281,tons_kWh!$C$2:$BA$2,tons_kWh!$C5:$BA5))+(AZ231*tons_co2_per_therm*therms_per_mcf)</f>
        <v>0</v>
      </c>
      <c r="BA285" s="21">
        <f>((BA150+BA204)*_xlfn.XLOOKUP(BA$281,tons_kWh!$C$2:$BA$2,tons_kWh!$C5:$BA5))+(BA231*tons_co2_per_therm*therms_per_mcf)</f>
        <v>0</v>
      </c>
      <c r="BB285" s="21">
        <f t="shared" si="245"/>
        <v>0</v>
      </c>
    </row>
    <row r="286" spans="1:54">
      <c r="A286" s="456"/>
      <c r="B286" s="226">
        <v>2010</v>
      </c>
      <c r="C286" s="21">
        <f>((C151+C205)*_xlfn.XLOOKUP(C$281,tons_kWh!$C$2:$BA$2,tons_kWh!$C6:$BA6))+(C232*tons_co2_per_therm*therms_per_mcf)</f>
        <v>0</v>
      </c>
      <c r="D286" s="21">
        <f>((D151+D205)*_xlfn.XLOOKUP(D$281,tons_kWh!$C$2:$BA$2,tons_kWh!$C6:$BA6))+(D232*tons_co2_per_therm*therms_per_mcf)</f>
        <v>0</v>
      </c>
      <c r="E286" s="21">
        <f>((E151+E205)*_xlfn.XLOOKUP(E$281,tons_kWh!$C$2:$BA$2,tons_kWh!$C6:$BA6))+(E232*tons_co2_per_therm*therms_per_mcf)</f>
        <v>0</v>
      </c>
      <c r="F286" s="21">
        <f>((F151+F205)*_xlfn.XLOOKUP(F$281,tons_kWh!$C$2:$BA$2,tons_kWh!$C6:$BA6))+(F232*tons_co2_per_therm*therms_per_mcf)</f>
        <v>0</v>
      </c>
      <c r="G286" s="21">
        <f>((G151+G205)*_xlfn.XLOOKUP(G$281,tons_kWh!$C$2:$BA$2,tons_kWh!$C6:$BA6))+(G232*tons_co2_per_therm*therms_per_mcf)</f>
        <v>0</v>
      </c>
      <c r="H286" s="21">
        <f>((H151+H205)*_xlfn.XLOOKUP(H$281,tons_kWh!$C$2:$BA$2,tons_kWh!$C6:$BA6))+(H232*tons_co2_per_therm*therms_per_mcf)</f>
        <v>0</v>
      </c>
      <c r="I286" s="21">
        <f>((I151+I205)*_xlfn.XLOOKUP(I$281,tons_kWh!$C$2:$BA$2,tons_kWh!$C6:$BA6))+(I232*tons_co2_per_therm*therms_per_mcf)</f>
        <v>0</v>
      </c>
      <c r="J286" s="21">
        <f>((J151+J205)*_xlfn.XLOOKUP(J$281,tons_kWh!$C$2:$BA$2,tons_kWh!$C6:$BA6))+(J232*tons_co2_per_therm*therms_per_mcf)</f>
        <v>0</v>
      </c>
      <c r="K286" s="21">
        <f>((K151+K205)*_xlfn.XLOOKUP(K$281,tons_kWh!$C$2:$BA$2,tons_kWh!$C6:$BA6))+(K232*tons_co2_per_therm*therms_per_mcf)</f>
        <v>0</v>
      </c>
      <c r="L286" s="21">
        <f>((L151+L205)*_xlfn.XLOOKUP(L$281,tons_kWh!$C$2:$BA$2,tons_kWh!$C6:$BA6))+(L232*tons_co2_per_therm*therms_per_mcf)</f>
        <v>0</v>
      </c>
      <c r="M286" s="21">
        <f>((M151+M205)*_xlfn.XLOOKUP(M$281,tons_kWh!$C$2:$BA$2,tons_kWh!$C6:$BA6))+(M232*tons_co2_per_therm*therms_per_mcf)</f>
        <v>0</v>
      </c>
      <c r="N286" s="21">
        <f>((N151+N205)*_xlfn.XLOOKUP(N$281,tons_kWh!$C$2:$BA$2,tons_kWh!$C6:$BA6))+(N232*tons_co2_per_therm*therms_per_mcf)</f>
        <v>0</v>
      </c>
      <c r="O286" s="21">
        <f>((O151+O205)*_xlfn.XLOOKUP(O$281,tons_kWh!$C$2:$BA$2,tons_kWh!$C6:$BA6))+(O232*tons_co2_per_therm*therms_per_mcf)</f>
        <v>0</v>
      </c>
      <c r="P286" s="21">
        <f>((P151+P205)*_xlfn.XLOOKUP(P$281,tons_kWh!$C$2:$BA$2,tons_kWh!$C6:$BA6))+(P232*tons_co2_per_therm*therms_per_mcf)</f>
        <v>0</v>
      </c>
      <c r="Q286" s="21">
        <f>((Q151+Q205)*_xlfn.XLOOKUP(Q$281,tons_kWh!$C$2:$BA$2,tons_kWh!$C6:$BA6))+(Q232*tons_co2_per_therm*therms_per_mcf)</f>
        <v>0</v>
      </c>
      <c r="R286" s="21">
        <f>((R151+R205)*_xlfn.XLOOKUP(R$281,tons_kWh!$C$2:$BA$2,tons_kWh!$C6:$BA6))+(R232*tons_co2_per_therm*therms_per_mcf)</f>
        <v>0</v>
      </c>
      <c r="S286" s="21">
        <f>((S151+S205)*_xlfn.XLOOKUP(S$281,tons_kWh!$C$2:$BA$2,tons_kWh!$C6:$BA6))+(S232*tons_co2_per_therm*therms_per_mcf)</f>
        <v>0</v>
      </c>
      <c r="T286" s="21">
        <f>((T151+T205)*_xlfn.XLOOKUP(T$281,tons_kWh!$C$2:$BA$2,tons_kWh!$C6:$BA6))+(T232*tons_co2_per_therm*therms_per_mcf)</f>
        <v>0</v>
      </c>
      <c r="U286" s="21">
        <f>((U151+U205)*_xlfn.XLOOKUP(U$281,tons_kWh!$C$2:$BA$2,tons_kWh!$C6:$BA6))+(U232*tons_co2_per_therm*therms_per_mcf)</f>
        <v>0</v>
      </c>
      <c r="V286" s="21">
        <f>((V151+V205)*_xlfn.XLOOKUP(V$281,tons_kWh!$C$2:$BA$2,tons_kWh!$C6:$BA6))+(V232*tons_co2_per_therm*therms_per_mcf)</f>
        <v>0</v>
      </c>
      <c r="W286" s="21">
        <f>((W151+W205)*_xlfn.XLOOKUP(W$281,tons_kWh!$C$2:$BA$2,tons_kWh!$C6:$BA6))+(W232*tons_co2_per_therm*therms_per_mcf)</f>
        <v>0</v>
      </c>
      <c r="X286" s="21">
        <f>((X151+X205)*_xlfn.XLOOKUP(X$281,tons_kWh!$C$2:$BA$2,tons_kWh!$C6:$BA6))+(X232*tons_co2_per_therm*therms_per_mcf)</f>
        <v>0</v>
      </c>
      <c r="Y286" s="21">
        <f>((Y151+Y205)*_xlfn.XLOOKUP(Y$281,tons_kWh!$C$2:$BA$2,tons_kWh!$C6:$BA6))+(Y232*tons_co2_per_therm*therms_per_mcf)</f>
        <v>0</v>
      </c>
      <c r="Z286" s="21">
        <f>((Z151+Z205)*_xlfn.XLOOKUP(Z$281,tons_kWh!$C$2:$BA$2,tons_kWh!$C6:$BA6))+(Z232*tons_co2_per_therm*therms_per_mcf)</f>
        <v>0</v>
      </c>
      <c r="AA286" s="21">
        <f>((AA151+AA205)*_xlfn.XLOOKUP(AA$281,tons_kWh!$C$2:$BA$2,tons_kWh!$C6:$BA6))+(AA232*tons_co2_per_therm*therms_per_mcf)</f>
        <v>0</v>
      </c>
      <c r="AB286" s="21">
        <f>((AB151+AB205)*_xlfn.XLOOKUP(AB$281,tons_kWh!$C$2:$BA$2,tons_kWh!$C6:$BA6))+(AB232*tons_co2_per_therm*therms_per_mcf)</f>
        <v>0</v>
      </c>
      <c r="AC286" s="21">
        <f>((AC151+AC205)*_xlfn.XLOOKUP(AC$281,tons_kWh!$C$2:$BA$2,tons_kWh!$C6:$BA6))+(AC232*tons_co2_per_therm*therms_per_mcf)</f>
        <v>0</v>
      </c>
      <c r="AD286" s="21">
        <f>((AD151+AD205)*_xlfn.XLOOKUP(AD$281,tons_kWh!$C$2:$BA$2,tons_kWh!$C6:$BA6))+(AD232*tons_co2_per_therm*therms_per_mcf)</f>
        <v>0</v>
      </c>
      <c r="AE286" s="21">
        <f>((AE151+AE205)*_xlfn.XLOOKUP(AE$281,tons_kWh!$C$2:$BA$2,tons_kWh!$C6:$BA6))+(AE232*tons_co2_per_therm*therms_per_mcf)</f>
        <v>0</v>
      </c>
      <c r="AF286" s="21">
        <f>((AF151+AF205)*_xlfn.XLOOKUP(AF$281,tons_kWh!$C$2:$BA$2,tons_kWh!$C6:$BA6))+(AF232*tons_co2_per_therm*therms_per_mcf)</f>
        <v>0</v>
      </c>
      <c r="AG286" s="21">
        <f>((AG151+AG205)*_xlfn.XLOOKUP(AG$281,tons_kWh!$C$2:$BA$2,tons_kWh!$C6:$BA6))+(AG232*tons_co2_per_therm*therms_per_mcf)</f>
        <v>0</v>
      </c>
      <c r="AH286" s="21">
        <f>((AH151+AH205)*_xlfn.XLOOKUP(AH$281,tons_kWh!$C$2:$BA$2,tons_kWh!$C6:$BA6))+(AH232*tons_co2_per_therm*therms_per_mcf)</f>
        <v>0</v>
      </c>
      <c r="AI286" s="21">
        <f>((AI151+AI205)*_xlfn.XLOOKUP(AI$281,tons_kWh!$C$2:$BA$2,tons_kWh!$C6:$BA6))+(AI232*tons_co2_per_therm*therms_per_mcf)</f>
        <v>0</v>
      </c>
      <c r="AJ286" s="21">
        <f>((AJ151+AJ205)*_xlfn.XLOOKUP(AJ$281,tons_kWh!$C$2:$BA$2,tons_kWh!$C6:$BA6))+(AJ232*tons_co2_per_therm*therms_per_mcf)</f>
        <v>0</v>
      </c>
      <c r="AK286" s="21">
        <f>((AK151+AK205)*_xlfn.XLOOKUP(AK$281,tons_kWh!$C$2:$BA$2,tons_kWh!$C6:$BA6))+(AK232*tons_co2_per_therm*therms_per_mcf)</f>
        <v>0</v>
      </c>
      <c r="AL286" s="21">
        <f>((AL151+AL205)*_xlfn.XLOOKUP(AL$281,tons_kWh!$C$2:$BA$2,tons_kWh!$C6:$BA6))+(AL232*tons_co2_per_therm*therms_per_mcf)</f>
        <v>0</v>
      </c>
      <c r="AM286" s="21">
        <f>((AM151+AM205)*_xlfn.XLOOKUP(AM$281,tons_kWh!$C$2:$BA$2,tons_kWh!$C6:$BA6))+(AM232*tons_co2_per_therm*therms_per_mcf)</f>
        <v>0</v>
      </c>
      <c r="AN286" s="21">
        <f>((AN151+AN205)*_xlfn.XLOOKUP(AN$281,tons_kWh!$C$2:$BA$2,tons_kWh!$C6:$BA6))+(AN232*tons_co2_per_therm*therms_per_mcf)</f>
        <v>0</v>
      </c>
      <c r="AO286" s="21">
        <f>((AO151+AO205)*_xlfn.XLOOKUP(AO$281,tons_kWh!$C$2:$BA$2,tons_kWh!$C6:$BA6))+(AO232*tons_co2_per_therm*therms_per_mcf)</f>
        <v>0</v>
      </c>
      <c r="AP286" s="21">
        <f>((AP151+AP205)*_xlfn.XLOOKUP(AP$281,tons_kWh!$C$2:$BA$2,tons_kWh!$C6:$BA6))+(AP232*tons_co2_per_therm*therms_per_mcf)</f>
        <v>0</v>
      </c>
      <c r="AQ286" s="21">
        <f>((AQ151+AQ205)*_xlfn.XLOOKUP(AQ$281,tons_kWh!$C$2:$BA$2,tons_kWh!$C6:$BA6))+(AQ232*tons_co2_per_therm*therms_per_mcf)</f>
        <v>0</v>
      </c>
      <c r="AR286" s="21">
        <f>((AR151+AR205)*_xlfn.XLOOKUP(AR$281,tons_kWh!$C$2:$BA$2,tons_kWh!$C6:$BA6))+(AR232*tons_co2_per_therm*therms_per_mcf)</f>
        <v>0</v>
      </c>
      <c r="AS286" s="21">
        <f>((AS151+AS205)*_xlfn.XLOOKUP(AS$281,tons_kWh!$C$2:$BA$2,tons_kWh!$C6:$BA6))+(AS232*tons_co2_per_therm*therms_per_mcf)</f>
        <v>0</v>
      </c>
      <c r="AT286" s="21">
        <f>((AT151+AT205)*_xlfn.XLOOKUP(AT$281,tons_kWh!$C$2:$BA$2,tons_kWh!$C6:$BA6))+(AT232*tons_co2_per_therm*therms_per_mcf)</f>
        <v>0</v>
      </c>
      <c r="AU286" s="21">
        <f>((AU151+AU205)*_xlfn.XLOOKUP(AU$281,tons_kWh!$C$2:$BA$2,tons_kWh!$C6:$BA6))+(AU232*tons_co2_per_therm*therms_per_mcf)</f>
        <v>0</v>
      </c>
      <c r="AV286" s="21">
        <f>((AV151+AV205)*_xlfn.XLOOKUP(AV$281,tons_kWh!$C$2:$BA$2,tons_kWh!$C6:$BA6))+(AV232*tons_co2_per_therm*therms_per_mcf)</f>
        <v>0</v>
      </c>
      <c r="AW286" s="21">
        <f>((AW151+AW205)*_xlfn.XLOOKUP(AW$281,tons_kWh!$C$2:$BA$2,tons_kWh!$C6:$BA6))+(AW232*tons_co2_per_therm*therms_per_mcf)</f>
        <v>0</v>
      </c>
      <c r="AX286" s="21">
        <f>((AX151+AX205)*_xlfn.XLOOKUP(AX$281,tons_kWh!$C$2:$BA$2,tons_kWh!$C6:$BA6))+(AX232*tons_co2_per_therm*therms_per_mcf)</f>
        <v>0</v>
      </c>
      <c r="AY286" s="21">
        <f>((AY151+AY205)*_xlfn.XLOOKUP(AY$281,tons_kWh!$C$2:$BA$2,tons_kWh!$C6:$BA6))+(AY232*tons_co2_per_therm*therms_per_mcf)</f>
        <v>0</v>
      </c>
      <c r="AZ286" s="21">
        <f>((AZ151+AZ205)*_xlfn.XLOOKUP(AZ$281,tons_kWh!$C$2:$BA$2,tons_kWh!$C6:$BA6))+(AZ232*tons_co2_per_therm*therms_per_mcf)</f>
        <v>0</v>
      </c>
      <c r="BA286" s="21">
        <f>((BA151+BA205)*_xlfn.XLOOKUP(BA$281,tons_kWh!$C$2:$BA$2,tons_kWh!$C6:$BA6))+(BA232*tons_co2_per_therm*therms_per_mcf)</f>
        <v>0</v>
      </c>
      <c r="BB286" s="21">
        <f t="shared" si="245"/>
        <v>0</v>
      </c>
    </row>
    <row r="287" spans="1:54">
      <c r="A287" s="456"/>
      <c r="B287" s="228">
        <v>2011</v>
      </c>
      <c r="C287" s="21">
        <f>((C152+C206)*_xlfn.XLOOKUP(C$281,tons_kWh!$C$2:$BA$2,tons_kWh!$C7:$BA7))+(C233*tons_co2_per_therm*therms_per_mcf)</f>
        <v>0</v>
      </c>
      <c r="D287" s="21">
        <f>((D152+D206)*_xlfn.XLOOKUP(D$281,tons_kWh!$C$2:$BA$2,tons_kWh!$C7:$BA7))+(D233*tons_co2_per_therm*therms_per_mcf)</f>
        <v>0</v>
      </c>
      <c r="E287" s="21">
        <f>((E152+E206)*_xlfn.XLOOKUP(E$281,tons_kWh!$C$2:$BA$2,tons_kWh!$C7:$BA7))+(E233*tons_co2_per_therm*therms_per_mcf)</f>
        <v>0</v>
      </c>
      <c r="F287" s="21">
        <f>((F152+F206)*_xlfn.XLOOKUP(F$281,tons_kWh!$C$2:$BA$2,tons_kWh!$C7:$BA7))+(F233*tons_co2_per_therm*therms_per_mcf)</f>
        <v>0</v>
      </c>
      <c r="G287" s="21">
        <f>((G152+G206)*_xlfn.XLOOKUP(G$281,tons_kWh!$C$2:$BA$2,tons_kWh!$C7:$BA7))+(G233*tons_co2_per_therm*therms_per_mcf)</f>
        <v>0</v>
      </c>
      <c r="H287" s="21">
        <f>((H152+H206)*_xlfn.XLOOKUP(H$281,tons_kWh!$C$2:$BA$2,tons_kWh!$C7:$BA7))+(H233*tons_co2_per_therm*therms_per_mcf)</f>
        <v>0</v>
      </c>
      <c r="I287" s="21">
        <f>((I152+I206)*_xlfn.XLOOKUP(I$281,tons_kWh!$C$2:$BA$2,tons_kWh!$C7:$BA7))+(I233*tons_co2_per_therm*therms_per_mcf)</f>
        <v>0</v>
      </c>
      <c r="J287" s="21">
        <f>((J152+J206)*_xlfn.XLOOKUP(J$281,tons_kWh!$C$2:$BA$2,tons_kWh!$C7:$BA7))+(J233*tons_co2_per_therm*therms_per_mcf)</f>
        <v>0</v>
      </c>
      <c r="K287" s="21">
        <f>((K152+K206)*_xlfn.XLOOKUP(K$281,tons_kWh!$C$2:$BA$2,tons_kWh!$C7:$BA7))+(K233*tons_co2_per_therm*therms_per_mcf)</f>
        <v>0</v>
      </c>
      <c r="L287" s="21">
        <f>((L152+L206)*_xlfn.XLOOKUP(L$281,tons_kWh!$C$2:$BA$2,tons_kWh!$C7:$BA7))+(L233*tons_co2_per_therm*therms_per_mcf)</f>
        <v>0</v>
      </c>
      <c r="M287" s="21">
        <f>((M152+M206)*_xlfn.XLOOKUP(M$281,tons_kWh!$C$2:$BA$2,tons_kWh!$C7:$BA7))+(M233*tons_co2_per_therm*therms_per_mcf)</f>
        <v>0</v>
      </c>
      <c r="N287" s="21">
        <f>((N152+N206)*_xlfn.XLOOKUP(N$281,tons_kWh!$C$2:$BA$2,tons_kWh!$C7:$BA7))+(N233*tons_co2_per_therm*therms_per_mcf)</f>
        <v>0</v>
      </c>
      <c r="O287" s="21">
        <f>((O152+O206)*_xlfn.XLOOKUP(O$281,tons_kWh!$C$2:$BA$2,tons_kWh!$C7:$BA7))+(O233*tons_co2_per_therm*therms_per_mcf)</f>
        <v>0</v>
      </c>
      <c r="P287" s="21">
        <f>((P152+P206)*_xlfn.XLOOKUP(P$281,tons_kWh!$C$2:$BA$2,tons_kWh!$C7:$BA7))+(P233*tons_co2_per_therm*therms_per_mcf)</f>
        <v>0</v>
      </c>
      <c r="Q287" s="21">
        <f>((Q152+Q206)*_xlfn.XLOOKUP(Q$281,tons_kWh!$C$2:$BA$2,tons_kWh!$C7:$BA7))+(Q233*tons_co2_per_therm*therms_per_mcf)</f>
        <v>0</v>
      </c>
      <c r="R287" s="21">
        <f>((R152+R206)*_xlfn.XLOOKUP(R$281,tons_kWh!$C$2:$BA$2,tons_kWh!$C7:$BA7))+(R233*tons_co2_per_therm*therms_per_mcf)</f>
        <v>0</v>
      </c>
      <c r="S287" s="21">
        <f>((S152+S206)*_xlfn.XLOOKUP(S$281,tons_kWh!$C$2:$BA$2,tons_kWh!$C7:$BA7))+(S233*tons_co2_per_therm*therms_per_mcf)</f>
        <v>0</v>
      </c>
      <c r="T287" s="21">
        <f>((T152+T206)*_xlfn.XLOOKUP(T$281,tons_kWh!$C$2:$BA$2,tons_kWh!$C7:$BA7))+(T233*tons_co2_per_therm*therms_per_mcf)</f>
        <v>0</v>
      </c>
      <c r="U287" s="21">
        <f>((U152+U206)*_xlfn.XLOOKUP(U$281,tons_kWh!$C$2:$BA$2,tons_kWh!$C7:$BA7))+(U233*tons_co2_per_therm*therms_per_mcf)</f>
        <v>0</v>
      </c>
      <c r="V287" s="21">
        <f>((V152+V206)*_xlfn.XLOOKUP(V$281,tons_kWh!$C$2:$BA$2,tons_kWh!$C7:$BA7))+(V233*tons_co2_per_therm*therms_per_mcf)</f>
        <v>0</v>
      </c>
      <c r="W287" s="21">
        <f>((W152+W206)*_xlfn.XLOOKUP(W$281,tons_kWh!$C$2:$BA$2,tons_kWh!$C7:$BA7))+(W233*tons_co2_per_therm*therms_per_mcf)</f>
        <v>0</v>
      </c>
      <c r="X287" s="21">
        <f>((X152+X206)*_xlfn.XLOOKUP(X$281,tons_kWh!$C$2:$BA$2,tons_kWh!$C7:$BA7))+(X233*tons_co2_per_therm*therms_per_mcf)</f>
        <v>0</v>
      </c>
      <c r="Y287" s="21">
        <f>((Y152+Y206)*_xlfn.XLOOKUP(Y$281,tons_kWh!$C$2:$BA$2,tons_kWh!$C7:$BA7))+(Y233*tons_co2_per_therm*therms_per_mcf)</f>
        <v>0</v>
      </c>
      <c r="Z287" s="21">
        <f>((Z152+Z206)*_xlfn.XLOOKUP(Z$281,tons_kWh!$C$2:$BA$2,tons_kWh!$C7:$BA7))+(Z233*tons_co2_per_therm*therms_per_mcf)</f>
        <v>0</v>
      </c>
      <c r="AA287" s="21">
        <f>((AA152+AA206)*_xlfn.XLOOKUP(AA$281,tons_kWh!$C$2:$BA$2,tons_kWh!$C7:$BA7))+(AA233*tons_co2_per_therm*therms_per_mcf)</f>
        <v>0</v>
      </c>
      <c r="AB287" s="21">
        <f>((AB152+AB206)*_xlfn.XLOOKUP(AB$281,tons_kWh!$C$2:$BA$2,tons_kWh!$C7:$BA7))+(AB233*tons_co2_per_therm*therms_per_mcf)</f>
        <v>0</v>
      </c>
      <c r="AC287" s="21">
        <f>((AC152+AC206)*_xlfn.XLOOKUP(AC$281,tons_kWh!$C$2:$BA$2,tons_kWh!$C7:$BA7))+(AC233*tons_co2_per_therm*therms_per_mcf)</f>
        <v>0</v>
      </c>
      <c r="AD287" s="21">
        <f>((AD152+AD206)*_xlfn.XLOOKUP(AD$281,tons_kWh!$C$2:$BA$2,tons_kWh!$C7:$BA7))+(AD233*tons_co2_per_therm*therms_per_mcf)</f>
        <v>0</v>
      </c>
      <c r="AE287" s="21">
        <f>((AE152+AE206)*_xlfn.XLOOKUP(AE$281,tons_kWh!$C$2:$BA$2,tons_kWh!$C7:$BA7))+(AE233*tons_co2_per_therm*therms_per_mcf)</f>
        <v>0</v>
      </c>
      <c r="AF287" s="21">
        <f>((AF152+AF206)*_xlfn.XLOOKUP(AF$281,tons_kWh!$C$2:$BA$2,tons_kWh!$C7:$BA7))+(AF233*tons_co2_per_therm*therms_per_mcf)</f>
        <v>0</v>
      </c>
      <c r="AG287" s="21">
        <f>((AG152+AG206)*_xlfn.XLOOKUP(AG$281,tons_kWh!$C$2:$BA$2,tons_kWh!$C7:$BA7))+(AG233*tons_co2_per_therm*therms_per_mcf)</f>
        <v>0</v>
      </c>
      <c r="AH287" s="21">
        <f>((AH152+AH206)*_xlfn.XLOOKUP(AH$281,tons_kWh!$C$2:$BA$2,tons_kWh!$C7:$BA7))+(AH233*tons_co2_per_therm*therms_per_mcf)</f>
        <v>0</v>
      </c>
      <c r="AI287" s="21">
        <f>((AI152+AI206)*_xlfn.XLOOKUP(AI$281,tons_kWh!$C$2:$BA$2,tons_kWh!$C7:$BA7))+(AI233*tons_co2_per_therm*therms_per_mcf)</f>
        <v>0</v>
      </c>
      <c r="AJ287" s="21">
        <f>((AJ152+AJ206)*_xlfn.XLOOKUP(AJ$281,tons_kWh!$C$2:$BA$2,tons_kWh!$C7:$BA7))+(AJ233*tons_co2_per_therm*therms_per_mcf)</f>
        <v>0</v>
      </c>
      <c r="AK287" s="21">
        <f>((AK152+AK206)*_xlfn.XLOOKUP(AK$281,tons_kWh!$C$2:$BA$2,tons_kWh!$C7:$BA7))+(AK233*tons_co2_per_therm*therms_per_mcf)</f>
        <v>0</v>
      </c>
      <c r="AL287" s="21">
        <f>((AL152+AL206)*_xlfn.XLOOKUP(AL$281,tons_kWh!$C$2:$BA$2,tons_kWh!$C7:$BA7))+(AL233*tons_co2_per_therm*therms_per_mcf)</f>
        <v>0</v>
      </c>
      <c r="AM287" s="21">
        <f>((AM152+AM206)*_xlfn.XLOOKUP(AM$281,tons_kWh!$C$2:$BA$2,tons_kWh!$C7:$BA7))+(AM233*tons_co2_per_therm*therms_per_mcf)</f>
        <v>0</v>
      </c>
      <c r="AN287" s="21">
        <f>((AN152+AN206)*_xlfn.XLOOKUP(AN$281,tons_kWh!$C$2:$BA$2,tons_kWh!$C7:$BA7))+(AN233*tons_co2_per_therm*therms_per_mcf)</f>
        <v>0</v>
      </c>
      <c r="AO287" s="21">
        <f>((AO152+AO206)*_xlfn.XLOOKUP(AO$281,tons_kWh!$C$2:$BA$2,tons_kWh!$C7:$BA7))+(AO233*tons_co2_per_therm*therms_per_mcf)</f>
        <v>0</v>
      </c>
      <c r="AP287" s="21">
        <f>((AP152+AP206)*_xlfn.XLOOKUP(AP$281,tons_kWh!$C$2:$BA$2,tons_kWh!$C7:$BA7))+(AP233*tons_co2_per_therm*therms_per_mcf)</f>
        <v>0</v>
      </c>
      <c r="AQ287" s="21">
        <f>((AQ152+AQ206)*_xlfn.XLOOKUP(AQ$281,tons_kWh!$C$2:$BA$2,tons_kWh!$C7:$BA7))+(AQ233*tons_co2_per_therm*therms_per_mcf)</f>
        <v>0</v>
      </c>
      <c r="AR287" s="21">
        <f>((AR152+AR206)*_xlfn.XLOOKUP(AR$281,tons_kWh!$C$2:$BA$2,tons_kWh!$C7:$BA7))+(AR233*tons_co2_per_therm*therms_per_mcf)</f>
        <v>0</v>
      </c>
      <c r="AS287" s="21">
        <f>((AS152+AS206)*_xlfn.XLOOKUP(AS$281,tons_kWh!$C$2:$BA$2,tons_kWh!$C7:$BA7))+(AS233*tons_co2_per_therm*therms_per_mcf)</f>
        <v>0</v>
      </c>
      <c r="AT287" s="21">
        <f>((AT152+AT206)*_xlfn.XLOOKUP(AT$281,tons_kWh!$C$2:$BA$2,tons_kWh!$C7:$BA7))+(AT233*tons_co2_per_therm*therms_per_mcf)</f>
        <v>0</v>
      </c>
      <c r="AU287" s="21">
        <f>((AU152+AU206)*_xlfn.XLOOKUP(AU$281,tons_kWh!$C$2:$BA$2,tons_kWh!$C7:$BA7))+(AU233*tons_co2_per_therm*therms_per_mcf)</f>
        <v>0</v>
      </c>
      <c r="AV287" s="21">
        <f>((AV152+AV206)*_xlfn.XLOOKUP(AV$281,tons_kWh!$C$2:$BA$2,tons_kWh!$C7:$BA7))+(AV233*tons_co2_per_therm*therms_per_mcf)</f>
        <v>0</v>
      </c>
      <c r="AW287" s="21">
        <f>((AW152+AW206)*_xlfn.XLOOKUP(AW$281,tons_kWh!$C$2:$BA$2,tons_kWh!$C7:$BA7))+(AW233*tons_co2_per_therm*therms_per_mcf)</f>
        <v>0</v>
      </c>
      <c r="AX287" s="21">
        <f>((AX152+AX206)*_xlfn.XLOOKUP(AX$281,tons_kWh!$C$2:$BA$2,tons_kWh!$C7:$BA7))+(AX233*tons_co2_per_therm*therms_per_mcf)</f>
        <v>0</v>
      </c>
      <c r="AY287" s="21">
        <f>((AY152+AY206)*_xlfn.XLOOKUP(AY$281,tons_kWh!$C$2:$BA$2,tons_kWh!$C7:$BA7))+(AY233*tons_co2_per_therm*therms_per_mcf)</f>
        <v>0</v>
      </c>
      <c r="AZ287" s="21">
        <f>((AZ152+AZ206)*_xlfn.XLOOKUP(AZ$281,tons_kWh!$C$2:$BA$2,tons_kWh!$C7:$BA7))+(AZ233*tons_co2_per_therm*therms_per_mcf)</f>
        <v>0</v>
      </c>
      <c r="BA287" s="21">
        <f>((BA152+BA206)*_xlfn.XLOOKUP(BA$281,tons_kWh!$C$2:$BA$2,tons_kWh!$C7:$BA7))+(BA233*tons_co2_per_therm*therms_per_mcf)</f>
        <v>0</v>
      </c>
      <c r="BB287" s="21">
        <f t="shared" si="245"/>
        <v>0</v>
      </c>
    </row>
    <row r="288" spans="1:54">
      <c r="A288" s="456"/>
      <c r="B288" s="226">
        <v>2012</v>
      </c>
      <c r="C288" s="21">
        <f>((C153+C207)*_xlfn.XLOOKUP(C$281,tons_kWh!$C$2:$BA$2,tons_kWh!$C8:$BA8))+(C234*tons_co2_per_therm*therms_per_mcf)</f>
        <v>0</v>
      </c>
      <c r="D288" s="21">
        <f>((D153+D207)*_xlfn.XLOOKUP(D$281,tons_kWh!$C$2:$BA$2,tons_kWh!$C8:$BA8))+(D234*tons_co2_per_therm*therms_per_mcf)</f>
        <v>0</v>
      </c>
      <c r="E288" s="21">
        <f>((E153+E207)*_xlfn.XLOOKUP(E$281,tons_kWh!$C$2:$BA$2,tons_kWh!$C8:$BA8))+(E234*tons_co2_per_therm*therms_per_mcf)</f>
        <v>0</v>
      </c>
      <c r="F288" s="21">
        <f>((F153+F207)*_xlfn.XLOOKUP(F$281,tons_kWh!$C$2:$BA$2,tons_kWh!$C8:$BA8))+(F234*tons_co2_per_therm*therms_per_mcf)</f>
        <v>0</v>
      </c>
      <c r="G288" s="21">
        <f>((G153+G207)*_xlfn.XLOOKUP(G$281,tons_kWh!$C$2:$BA$2,tons_kWh!$C8:$BA8))+(G234*tons_co2_per_therm*therms_per_mcf)</f>
        <v>0</v>
      </c>
      <c r="H288" s="21">
        <f>((H153+H207)*_xlfn.XLOOKUP(H$281,tons_kWh!$C$2:$BA$2,tons_kWh!$C8:$BA8))+(H234*tons_co2_per_therm*therms_per_mcf)</f>
        <v>0</v>
      </c>
      <c r="I288" s="21">
        <f>((I153+I207)*_xlfn.XLOOKUP(I$281,tons_kWh!$C$2:$BA$2,tons_kWh!$C8:$BA8))+(I234*tons_co2_per_therm*therms_per_mcf)</f>
        <v>0</v>
      </c>
      <c r="J288" s="21">
        <f>((J153+J207)*_xlfn.XLOOKUP(J$281,tons_kWh!$C$2:$BA$2,tons_kWh!$C8:$BA8))+(J234*tons_co2_per_therm*therms_per_mcf)</f>
        <v>0</v>
      </c>
      <c r="K288" s="21">
        <f>((K153+K207)*_xlfn.XLOOKUP(K$281,tons_kWh!$C$2:$BA$2,tons_kWh!$C8:$BA8))+(K234*tons_co2_per_therm*therms_per_mcf)</f>
        <v>0</v>
      </c>
      <c r="L288" s="21">
        <f>((L153+L207)*_xlfn.XLOOKUP(L$281,tons_kWh!$C$2:$BA$2,tons_kWh!$C8:$BA8))+(L234*tons_co2_per_therm*therms_per_mcf)</f>
        <v>0</v>
      </c>
      <c r="M288" s="21">
        <f>((M153+M207)*_xlfn.XLOOKUP(M$281,tons_kWh!$C$2:$BA$2,tons_kWh!$C8:$BA8))+(M234*tons_co2_per_therm*therms_per_mcf)</f>
        <v>0</v>
      </c>
      <c r="N288" s="21">
        <f>((N153+N207)*_xlfn.XLOOKUP(N$281,tons_kWh!$C$2:$BA$2,tons_kWh!$C8:$BA8))+(N234*tons_co2_per_therm*therms_per_mcf)</f>
        <v>0</v>
      </c>
      <c r="O288" s="21">
        <f>((O153+O207)*_xlfn.XLOOKUP(O$281,tons_kWh!$C$2:$BA$2,tons_kWh!$C8:$BA8))+(O234*tons_co2_per_therm*therms_per_mcf)</f>
        <v>0</v>
      </c>
      <c r="P288" s="21">
        <f>((P153+P207)*_xlfn.XLOOKUP(P$281,tons_kWh!$C$2:$BA$2,tons_kWh!$C8:$BA8))+(P234*tons_co2_per_therm*therms_per_mcf)</f>
        <v>0</v>
      </c>
      <c r="Q288" s="21">
        <f>((Q153+Q207)*_xlfn.XLOOKUP(Q$281,tons_kWh!$C$2:$BA$2,tons_kWh!$C8:$BA8))+(Q234*tons_co2_per_therm*therms_per_mcf)</f>
        <v>0</v>
      </c>
      <c r="R288" s="21">
        <f>((R153+R207)*_xlfn.XLOOKUP(R$281,tons_kWh!$C$2:$BA$2,tons_kWh!$C8:$BA8))+(R234*tons_co2_per_therm*therms_per_mcf)</f>
        <v>0</v>
      </c>
      <c r="S288" s="21">
        <f>((S153+S207)*_xlfn.XLOOKUP(S$281,tons_kWh!$C$2:$BA$2,tons_kWh!$C8:$BA8))+(S234*tons_co2_per_therm*therms_per_mcf)</f>
        <v>0</v>
      </c>
      <c r="T288" s="21">
        <f>((T153+T207)*_xlfn.XLOOKUP(T$281,tons_kWh!$C$2:$BA$2,tons_kWh!$C8:$BA8))+(T234*tons_co2_per_therm*therms_per_mcf)</f>
        <v>0</v>
      </c>
      <c r="U288" s="21">
        <f>((U153+U207)*_xlfn.XLOOKUP(U$281,tons_kWh!$C$2:$BA$2,tons_kWh!$C8:$BA8))+(U234*tons_co2_per_therm*therms_per_mcf)</f>
        <v>0</v>
      </c>
      <c r="V288" s="21">
        <f>((V153+V207)*_xlfn.XLOOKUP(V$281,tons_kWh!$C$2:$BA$2,tons_kWh!$C8:$BA8))+(V234*tons_co2_per_therm*therms_per_mcf)</f>
        <v>0</v>
      </c>
      <c r="W288" s="21">
        <f>((W153+W207)*_xlfn.XLOOKUP(W$281,tons_kWh!$C$2:$BA$2,tons_kWh!$C8:$BA8))+(W234*tons_co2_per_therm*therms_per_mcf)</f>
        <v>0</v>
      </c>
      <c r="X288" s="21">
        <f>((X153+X207)*_xlfn.XLOOKUP(X$281,tons_kWh!$C$2:$BA$2,tons_kWh!$C8:$BA8))+(X234*tons_co2_per_therm*therms_per_mcf)</f>
        <v>0</v>
      </c>
      <c r="Y288" s="21">
        <f>((Y153+Y207)*_xlfn.XLOOKUP(Y$281,tons_kWh!$C$2:$BA$2,tons_kWh!$C8:$BA8))+(Y234*tons_co2_per_therm*therms_per_mcf)</f>
        <v>0</v>
      </c>
      <c r="Z288" s="21">
        <f>((Z153+Z207)*_xlfn.XLOOKUP(Z$281,tons_kWh!$C$2:$BA$2,tons_kWh!$C8:$BA8))+(Z234*tons_co2_per_therm*therms_per_mcf)</f>
        <v>0</v>
      </c>
      <c r="AA288" s="21">
        <f>((AA153+AA207)*_xlfn.XLOOKUP(AA$281,tons_kWh!$C$2:$BA$2,tons_kWh!$C8:$BA8))+(AA234*tons_co2_per_therm*therms_per_mcf)</f>
        <v>0</v>
      </c>
      <c r="AB288" s="21">
        <f>((AB153+AB207)*_xlfn.XLOOKUP(AB$281,tons_kWh!$C$2:$BA$2,tons_kWh!$C8:$BA8))+(AB234*tons_co2_per_therm*therms_per_mcf)</f>
        <v>0</v>
      </c>
      <c r="AC288" s="21">
        <f>((AC153+AC207)*_xlfn.XLOOKUP(AC$281,tons_kWh!$C$2:$BA$2,tons_kWh!$C8:$BA8))+(AC234*tons_co2_per_therm*therms_per_mcf)</f>
        <v>0</v>
      </c>
      <c r="AD288" s="21">
        <f>((AD153+AD207)*_xlfn.XLOOKUP(AD$281,tons_kWh!$C$2:$BA$2,tons_kWh!$C8:$BA8))+(AD234*tons_co2_per_therm*therms_per_mcf)</f>
        <v>0</v>
      </c>
      <c r="AE288" s="21">
        <f>((AE153+AE207)*_xlfn.XLOOKUP(AE$281,tons_kWh!$C$2:$BA$2,tons_kWh!$C8:$BA8))+(AE234*tons_co2_per_therm*therms_per_mcf)</f>
        <v>0</v>
      </c>
      <c r="AF288" s="21">
        <f>((AF153+AF207)*_xlfn.XLOOKUP(AF$281,tons_kWh!$C$2:$BA$2,tons_kWh!$C8:$BA8))+(AF234*tons_co2_per_therm*therms_per_mcf)</f>
        <v>0</v>
      </c>
      <c r="AG288" s="21">
        <f>((AG153+AG207)*_xlfn.XLOOKUP(AG$281,tons_kWh!$C$2:$BA$2,tons_kWh!$C8:$BA8))+(AG234*tons_co2_per_therm*therms_per_mcf)</f>
        <v>0</v>
      </c>
      <c r="AH288" s="21">
        <f>((AH153+AH207)*_xlfn.XLOOKUP(AH$281,tons_kWh!$C$2:$BA$2,tons_kWh!$C8:$BA8))+(AH234*tons_co2_per_therm*therms_per_mcf)</f>
        <v>0</v>
      </c>
      <c r="AI288" s="21">
        <f>((AI153+AI207)*_xlfn.XLOOKUP(AI$281,tons_kWh!$C$2:$BA$2,tons_kWh!$C8:$BA8))+(AI234*tons_co2_per_therm*therms_per_mcf)</f>
        <v>0</v>
      </c>
      <c r="AJ288" s="21">
        <f>((AJ153+AJ207)*_xlfn.XLOOKUP(AJ$281,tons_kWh!$C$2:$BA$2,tons_kWh!$C8:$BA8))+(AJ234*tons_co2_per_therm*therms_per_mcf)</f>
        <v>0</v>
      </c>
      <c r="AK288" s="21">
        <f>((AK153+AK207)*_xlfn.XLOOKUP(AK$281,tons_kWh!$C$2:$BA$2,tons_kWh!$C8:$BA8))+(AK234*tons_co2_per_therm*therms_per_mcf)</f>
        <v>0</v>
      </c>
      <c r="AL288" s="21">
        <f>((AL153+AL207)*_xlfn.XLOOKUP(AL$281,tons_kWh!$C$2:$BA$2,tons_kWh!$C8:$BA8))+(AL234*tons_co2_per_therm*therms_per_mcf)</f>
        <v>0</v>
      </c>
      <c r="AM288" s="21">
        <f>((AM153+AM207)*_xlfn.XLOOKUP(AM$281,tons_kWh!$C$2:$BA$2,tons_kWh!$C8:$BA8))+(AM234*tons_co2_per_therm*therms_per_mcf)</f>
        <v>0</v>
      </c>
      <c r="AN288" s="21">
        <f>((AN153+AN207)*_xlfn.XLOOKUP(AN$281,tons_kWh!$C$2:$BA$2,tons_kWh!$C8:$BA8))+(AN234*tons_co2_per_therm*therms_per_mcf)</f>
        <v>0</v>
      </c>
      <c r="AO288" s="21">
        <f>((AO153+AO207)*_xlfn.XLOOKUP(AO$281,tons_kWh!$C$2:$BA$2,tons_kWh!$C8:$BA8))+(AO234*tons_co2_per_therm*therms_per_mcf)</f>
        <v>0</v>
      </c>
      <c r="AP288" s="21">
        <f>((AP153+AP207)*_xlfn.XLOOKUP(AP$281,tons_kWh!$C$2:$BA$2,tons_kWh!$C8:$BA8))+(AP234*tons_co2_per_therm*therms_per_mcf)</f>
        <v>0</v>
      </c>
      <c r="AQ288" s="21">
        <f>((AQ153+AQ207)*_xlfn.XLOOKUP(AQ$281,tons_kWh!$C$2:$BA$2,tons_kWh!$C8:$BA8))+(AQ234*tons_co2_per_therm*therms_per_mcf)</f>
        <v>0</v>
      </c>
      <c r="AR288" s="21">
        <f>((AR153+AR207)*_xlfn.XLOOKUP(AR$281,tons_kWh!$C$2:$BA$2,tons_kWh!$C8:$BA8))+(AR234*tons_co2_per_therm*therms_per_mcf)</f>
        <v>0</v>
      </c>
      <c r="AS288" s="21">
        <f>((AS153+AS207)*_xlfn.XLOOKUP(AS$281,tons_kWh!$C$2:$BA$2,tons_kWh!$C8:$BA8))+(AS234*tons_co2_per_therm*therms_per_mcf)</f>
        <v>0</v>
      </c>
      <c r="AT288" s="21">
        <f>((AT153+AT207)*_xlfn.XLOOKUP(AT$281,tons_kWh!$C$2:$BA$2,tons_kWh!$C8:$BA8))+(AT234*tons_co2_per_therm*therms_per_mcf)</f>
        <v>0</v>
      </c>
      <c r="AU288" s="21">
        <f>((AU153+AU207)*_xlfn.XLOOKUP(AU$281,tons_kWh!$C$2:$BA$2,tons_kWh!$C8:$BA8))+(AU234*tons_co2_per_therm*therms_per_mcf)</f>
        <v>0</v>
      </c>
      <c r="AV288" s="21">
        <f>((AV153+AV207)*_xlfn.XLOOKUP(AV$281,tons_kWh!$C$2:$BA$2,tons_kWh!$C8:$BA8))+(AV234*tons_co2_per_therm*therms_per_mcf)</f>
        <v>0</v>
      </c>
      <c r="AW288" s="21">
        <f>((AW153+AW207)*_xlfn.XLOOKUP(AW$281,tons_kWh!$C$2:$BA$2,tons_kWh!$C8:$BA8))+(AW234*tons_co2_per_therm*therms_per_mcf)</f>
        <v>0</v>
      </c>
      <c r="AX288" s="21">
        <f>((AX153+AX207)*_xlfn.XLOOKUP(AX$281,tons_kWh!$C$2:$BA$2,tons_kWh!$C8:$BA8))+(AX234*tons_co2_per_therm*therms_per_mcf)</f>
        <v>0</v>
      </c>
      <c r="AY288" s="21">
        <f>((AY153+AY207)*_xlfn.XLOOKUP(AY$281,tons_kWh!$C$2:$BA$2,tons_kWh!$C8:$BA8))+(AY234*tons_co2_per_therm*therms_per_mcf)</f>
        <v>0</v>
      </c>
      <c r="AZ288" s="21">
        <f>((AZ153+AZ207)*_xlfn.XLOOKUP(AZ$281,tons_kWh!$C$2:$BA$2,tons_kWh!$C8:$BA8))+(AZ234*tons_co2_per_therm*therms_per_mcf)</f>
        <v>0</v>
      </c>
      <c r="BA288" s="21">
        <f>((BA153+BA207)*_xlfn.XLOOKUP(BA$281,tons_kWh!$C$2:$BA$2,tons_kWh!$C8:$BA8))+(BA234*tons_co2_per_therm*therms_per_mcf)</f>
        <v>0</v>
      </c>
      <c r="BB288" s="21">
        <f t="shared" si="245"/>
        <v>0</v>
      </c>
    </row>
    <row r="289" spans="1:54">
      <c r="A289" s="456"/>
      <c r="B289" s="228">
        <v>2013</v>
      </c>
      <c r="C289" s="21">
        <f>((C154+C208)*_xlfn.XLOOKUP(C$281,tons_kWh!$C$2:$BA$2,tons_kWh!$C9:$BA9))+(C235*tons_co2_per_therm*therms_per_mcf)</f>
        <v>0</v>
      </c>
      <c r="D289" s="21">
        <f>((D154+D208)*_xlfn.XLOOKUP(D$281,tons_kWh!$C$2:$BA$2,tons_kWh!$C9:$BA9))+(D235*tons_co2_per_therm*therms_per_mcf)</f>
        <v>0</v>
      </c>
      <c r="E289" s="21">
        <f>((E154+E208)*_xlfn.XLOOKUP(E$281,tons_kWh!$C$2:$BA$2,tons_kWh!$C9:$BA9))+(E235*tons_co2_per_therm*therms_per_mcf)</f>
        <v>0</v>
      </c>
      <c r="F289" s="21">
        <f>((F154+F208)*_xlfn.XLOOKUP(F$281,tons_kWh!$C$2:$BA$2,tons_kWh!$C9:$BA9))+(F235*tons_co2_per_therm*therms_per_mcf)</f>
        <v>0</v>
      </c>
      <c r="G289" s="21">
        <f>((G154+G208)*_xlfn.XLOOKUP(G$281,tons_kWh!$C$2:$BA$2,tons_kWh!$C9:$BA9))+(G235*tons_co2_per_therm*therms_per_mcf)</f>
        <v>0</v>
      </c>
      <c r="H289" s="21">
        <f>((H154+H208)*_xlfn.XLOOKUP(H$281,tons_kWh!$C$2:$BA$2,tons_kWh!$C9:$BA9))+(H235*tons_co2_per_therm*therms_per_mcf)</f>
        <v>0</v>
      </c>
      <c r="I289" s="21">
        <f>((I154+I208)*_xlfn.XLOOKUP(I$281,tons_kWh!$C$2:$BA$2,tons_kWh!$C9:$BA9))+(I235*tons_co2_per_therm*therms_per_mcf)</f>
        <v>0</v>
      </c>
      <c r="J289" s="21">
        <f>((J154+J208)*_xlfn.XLOOKUP(J$281,tons_kWh!$C$2:$BA$2,tons_kWh!$C9:$BA9))+(J235*tons_co2_per_therm*therms_per_mcf)</f>
        <v>0</v>
      </c>
      <c r="K289" s="21">
        <f>((K154+K208)*_xlfn.XLOOKUP(K$281,tons_kWh!$C$2:$BA$2,tons_kWh!$C9:$BA9))+(K235*tons_co2_per_therm*therms_per_mcf)</f>
        <v>0</v>
      </c>
      <c r="L289" s="21">
        <f>((L154+L208)*_xlfn.XLOOKUP(L$281,tons_kWh!$C$2:$BA$2,tons_kWh!$C9:$BA9))+(L235*tons_co2_per_therm*therms_per_mcf)</f>
        <v>0</v>
      </c>
      <c r="M289" s="21">
        <f>((M154+M208)*_xlfn.XLOOKUP(M$281,tons_kWh!$C$2:$BA$2,tons_kWh!$C9:$BA9))+(M235*tons_co2_per_therm*therms_per_mcf)</f>
        <v>0</v>
      </c>
      <c r="N289" s="21">
        <f>((N154+N208)*_xlfn.XLOOKUP(N$281,tons_kWh!$C$2:$BA$2,tons_kWh!$C9:$BA9))+(N235*tons_co2_per_therm*therms_per_mcf)</f>
        <v>0</v>
      </c>
      <c r="O289" s="21">
        <f>((O154+O208)*_xlfn.XLOOKUP(O$281,tons_kWh!$C$2:$BA$2,tons_kWh!$C9:$BA9))+(O235*tons_co2_per_therm*therms_per_mcf)</f>
        <v>0</v>
      </c>
      <c r="P289" s="21">
        <f>((P154+P208)*_xlfn.XLOOKUP(P$281,tons_kWh!$C$2:$BA$2,tons_kWh!$C9:$BA9))+(P235*tons_co2_per_therm*therms_per_mcf)</f>
        <v>0</v>
      </c>
      <c r="Q289" s="21">
        <f>((Q154+Q208)*_xlfn.XLOOKUP(Q$281,tons_kWh!$C$2:$BA$2,tons_kWh!$C9:$BA9))+(Q235*tons_co2_per_therm*therms_per_mcf)</f>
        <v>0</v>
      </c>
      <c r="R289" s="21">
        <f>((R154+R208)*_xlfn.XLOOKUP(R$281,tons_kWh!$C$2:$BA$2,tons_kWh!$C9:$BA9))+(R235*tons_co2_per_therm*therms_per_mcf)</f>
        <v>0</v>
      </c>
      <c r="S289" s="21">
        <f>((S154+S208)*_xlfn.XLOOKUP(S$281,tons_kWh!$C$2:$BA$2,tons_kWh!$C9:$BA9))+(S235*tons_co2_per_therm*therms_per_mcf)</f>
        <v>0</v>
      </c>
      <c r="T289" s="21">
        <f>((T154+T208)*_xlfn.XLOOKUP(T$281,tons_kWh!$C$2:$BA$2,tons_kWh!$C9:$BA9))+(T235*tons_co2_per_therm*therms_per_mcf)</f>
        <v>0</v>
      </c>
      <c r="U289" s="21">
        <f>((U154+U208)*_xlfn.XLOOKUP(U$281,tons_kWh!$C$2:$BA$2,tons_kWh!$C9:$BA9))+(U235*tons_co2_per_therm*therms_per_mcf)</f>
        <v>0</v>
      </c>
      <c r="V289" s="21">
        <f>((V154+V208)*_xlfn.XLOOKUP(V$281,tons_kWh!$C$2:$BA$2,tons_kWh!$C9:$BA9))+(V235*tons_co2_per_therm*therms_per_mcf)</f>
        <v>0</v>
      </c>
      <c r="W289" s="21">
        <f>((W154+W208)*_xlfn.XLOOKUP(W$281,tons_kWh!$C$2:$BA$2,tons_kWh!$C9:$BA9))+(W235*tons_co2_per_therm*therms_per_mcf)</f>
        <v>0</v>
      </c>
      <c r="X289" s="21">
        <f>((X154+X208)*_xlfn.XLOOKUP(X$281,tons_kWh!$C$2:$BA$2,tons_kWh!$C9:$BA9))+(X235*tons_co2_per_therm*therms_per_mcf)</f>
        <v>0</v>
      </c>
      <c r="Y289" s="21">
        <f>((Y154+Y208)*_xlfn.XLOOKUP(Y$281,tons_kWh!$C$2:$BA$2,tons_kWh!$C9:$BA9))+(Y235*tons_co2_per_therm*therms_per_mcf)</f>
        <v>0</v>
      </c>
      <c r="Z289" s="21">
        <f>((Z154+Z208)*_xlfn.XLOOKUP(Z$281,tons_kWh!$C$2:$BA$2,tons_kWh!$C9:$BA9))+(Z235*tons_co2_per_therm*therms_per_mcf)</f>
        <v>0</v>
      </c>
      <c r="AA289" s="21">
        <f>((AA154+AA208)*_xlfn.XLOOKUP(AA$281,tons_kWh!$C$2:$BA$2,tons_kWh!$C9:$BA9))+(AA235*tons_co2_per_therm*therms_per_mcf)</f>
        <v>0</v>
      </c>
      <c r="AB289" s="21">
        <f>((AB154+AB208)*_xlfn.XLOOKUP(AB$281,tons_kWh!$C$2:$BA$2,tons_kWh!$C9:$BA9))+(AB235*tons_co2_per_therm*therms_per_mcf)</f>
        <v>0</v>
      </c>
      <c r="AC289" s="21">
        <f>((AC154+AC208)*_xlfn.XLOOKUP(AC$281,tons_kWh!$C$2:$BA$2,tons_kWh!$C9:$BA9))+(AC235*tons_co2_per_therm*therms_per_mcf)</f>
        <v>0</v>
      </c>
      <c r="AD289" s="21">
        <f>((AD154+AD208)*_xlfn.XLOOKUP(AD$281,tons_kWh!$C$2:$BA$2,tons_kWh!$C9:$BA9))+(AD235*tons_co2_per_therm*therms_per_mcf)</f>
        <v>0</v>
      </c>
      <c r="AE289" s="21">
        <f>((AE154+AE208)*_xlfn.XLOOKUP(AE$281,tons_kWh!$C$2:$BA$2,tons_kWh!$C9:$BA9))+(AE235*tons_co2_per_therm*therms_per_mcf)</f>
        <v>0</v>
      </c>
      <c r="AF289" s="21">
        <f>((AF154+AF208)*_xlfn.XLOOKUP(AF$281,tons_kWh!$C$2:$BA$2,tons_kWh!$C9:$BA9))+(AF235*tons_co2_per_therm*therms_per_mcf)</f>
        <v>0</v>
      </c>
      <c r="AG289" s="21">
        <f>((AG154+AG208)*_xlfn.XLOOKUP(AG$281,tons_kWh!$C$2:$BA$2,tons_kWh!$C9:$BA9))+(AG235*tons_co2_per_therm*therms_per_mcf)</f>
        <v>0</v>
      </c>
      <c r="AH289" s="21">
        <f>((AH154+AH208)*_xlfn.XLOOKUP(AH$281,tons_kWh!$C$2:$BA$2,tons_kWh!$C9:$BA9))+(AH235*tons_co2_per_therm*therms_per_mcf)</f>
        <v>0</v>
      </c>
      <c r="AI289" s="21">
        <f>((AI154+AI208)*_xlfn.XLOOKUP(AI$281,tons_kWh!$C$2:$BA$2,tons_kWh!$C9:$BA9))+(AI235*tons_co2_per_therm*therms_per_mcf)</f>
        <v>0</v>
      </c>
      <c r="AJ289" s="21">
        <f>((AJ154+AJ208)*_xlfn.XLOOKUP(AJ$281,tons_kWh!$C$2:$BA$2,tons_kWh!$C9:$BA9))+(AJ235*tons_co2_per_therm*therms_per_mcf)</f>
        <v>0</v>
      </c>
      <c r="AK289" s="21">
        <f>((AK154+AK208)*_xlfn.XLOOKUP(AK$281,tons_kWh!$C$2:$BA$2,tons_kWh!$C9:$BA9))+(AK235*tons_co2_per_therm*therms_per_mcf)</f>
        <v>0</v>
      </c>
      <c r="AL289" s="21">
        <f>((AL154+AL208)*_xlfn.XLOOKUP(AL$281,tons_kWh!$C$2:$BA$2,tons_kWh!$C9:$BA9))+(AL235*tons_co2_per_therm*therms_per_mcf)</f>
        <v>0</v>
      </c>
      <c r="AM289" s="21">
        <f>((AM154+AM208)*_xlfn.XLOOKUP(AM$281,tons_kWh!$C$2:$BA$2,tons_kWh!$C9:$BA9))+(AM235*tons_co2_per_therm*therms_per_mcf)</f>
        <v>0</v>
      </c>
      <c r="AN289" s="21">
        <f>((AN154+AN208)*_xlfn.XLOOKUP(AN$281,tons_kWh!$C$2:$BA$2,tons_kWh!$C9:$BA9))+(AN235*tons_co2_per_therm*therms_per_mcf)</f>
        <v>0</v>
      </c>
      <c r="AO289" s="21">
        <f>((AO154+AO208)*_xlfn.XLOOKUP(AO$281,tons_kWh!$C$2:$BA$2,tons_kWh!$C9:$BA9))+(AO235*tons_co2_per_therm*therms_per_mcf)</f>
        <v>0</v>
      </c>
      <c r="AP289" s="21">
        <f>((AP154+AP208)*_xlfn.XLOOKUP(AP$281,tons_kWh!$C$2:$BA$2,tons_kWh!$C9:$BA9))+(AP235*tons_co2_per_therm*therms_per_mcf)</f>
        <v>0</v>
      </c>
      <c r="AQ289" s="21">
        <f>((AQ154+AQ208)*_xlfn.XLOOKUP(AQ$281,tons_kWh!$C$2:$BA$2,tons_kWh!$C9:$BA9))+(AQ235*tons_co2_per_therm*therms_per_mcf)</f>
        <v>0</v>
      </c>
      <c r="AR289" s="21">
        <f>((AR154+AR208)*_xlfn.XLOOKUP(AR$281,tons_kWh!$C$2:$BA$2,tons_kWh!$C9:$BA9))+(AR235*tons_co2_per_therm*therms_per_mcf)</f>
        <v>0</v>
      </c>
      <c r="AS289" s="21">
        <f>((AS154+AS208)*_xlfn.XLOOKUP(AS$281,tons_kWh!$C$2:$BA$2,tons_kWh!$C9:$BA9))+(AS235*tons_co2_per_therm*therms_per_mcf)</f>
        <v>0</v>
      </c>
      <c r="AT289" s="21">
        <f>((AT154+AT208)*_xlfn.XLOOKUP(AT$281,tons_kWh!$C$2:$BA$2,tons_kWh!$C9:$BA9))+(AT235*tons_co2_per_therm*therms_per_mcf)</f>
        <v>0</v>
      </c>
      <c r="AU289" s="21">
        <f>((AU154+AU208)*_xlfn.XLOOKUP(AU$281,tons_kWh!$C$2:$BA$2,tons_kWh!$C9:$BA9))+(AU235*tons_co2_per_therm*therms_per_mcf)</f>
        <v>0</v>
      </c>
      <c r="AV289" s="21">
        <f>((AV154+AV208)*_xlfn.XLOOKUP(AV$281,tons_kWh!$C$2:$BA$2,tons_kWh!$C9:$BA9))+(AV235*tons_co2_per_therm*therms_per_mcf)</f>
        <v>0</v>
      </c>
      <c r="AW289" s="21">
        <f>((AW154+AW208)*_xlfn.XLOOKUP(AW$281,tons_kWh!$C$2:$BA$2,tons_kWh!$C9:$BA9))+(AW235*tons_co2_per_therm*therms_per_mcf)</f>
        <v>0</v>
      </c>
      <c r="AX289" s="21">
        <f>((AX154+AX208)*_xlfn.XLOOKUP(AX$281,tons_kWh!$C$2:$BA$2,tons_kWh!$C9:$BA9))+(AX235*tons_co2_per_therm*therms_per_mcf)</f>
        <v>0</v>
      </c>
      <c r="AY289" s="21">
        <f>((AY154+AY208)*_xlfn.XLOOKUP(AY$281,tons_kWh!$C$2:$BA$2,tons_kWh!$C9:$BA9))+(AY235*tons_co2_per_therm*therms_per_mcf)</f>
        <v>0</v>
      </c>
      <c r="AZ289" s="21">
        <f>((AZ154+AZ208)*_xlfn.XLOOKUP(AZ$281,tons_kWh!$C$2:$BA$2,tons_kWh!$C9:$BA9))+(AZ235*tons_co2_per_therm*therms_per_mcf)</f>
        <v>0</v>
      </c>
      <c r="BA289" s="21">
        <f>((BA154+BA208)*_xlfn.XLOOKUP(BA$281,tons_kWh!$C$2:$BA$2,tons_kWh!$C9:$BA9))+(BA235*tons_co2_per_therm*therms_per_mcf)</f>
        <v>0</v>
      </c>
      <c r="BB289" s="21">
        <f t="shared" si="245"/>
        <v>0</v>
      </c>
    </row>
    <row r="290" spans="1:54">
      <c r="A290" s="456"/>
      <c r="B290" s="226">
        <v>2014</v>
      </c>
      <c r="C290" s="21">
        <f>((C155+C209)*_xlfn.XLOOKUP(C$281,tons_kWh!$C$2:$BA$2,tons_kWh!$C10:$BA10))+(C236*tons_co2_per_therm*therms_per_mcf)</f>
        <v>0</v>
      </c>
      <c r="D290" s="21">
        <f>((D155+D209)*_xlfn.XLOOKUP(D$281,tons_kWh!$C$2:$BA$2,tons_kWh!$C10:$BA10))+(D236*tons_co2_per_therm*therms_per_mcf)</f>
        <v>0</v>
      </c>
      <c r="E290" s="21">
        <f>((E155+E209)*_xlfn.XLOOKUP(E$281,tons_kWh!$C$2:$BA$2,tons_kWh!$C10:$BA10))+(E236*tons_co2_per_therm*therms_per_mcf)</f>
        <v>0</v>
      </c>
      <c r="F290" s="21">
        <f>((F155+F209)*_xlfn.XLOOKUP(F$281,tons_kWh!$C$2:$BA$2,tons_kWh!$C10:$BA10))+(F236*tons_co2_per_therm*therms_per_mcf)</f>
        <v>0</v>
      </c>
      <c r="G290" s="21">
        <f>((G155+G209)*_xlfn.XLOOKUP(G$281,tons_kWh!$C$2:$BA$2,tons_kWh!$C10:$BA10))+(G236*tons_co2_per_therm*therms_per_mcf)</f>
        <v>0</v>
      </c>
      <c r="H290" s="21">
        <f>((H155+H209)*_xlfn.XLOOKUP(H$281,tons_kWh!$C$2:$BA$2,tons_kWh!$C10:$BA10))+(H236*tons_co2_per_therm*therms_per_mcf)</f>
        <v>0</v>
      </c>
      <c r="I290" s="21">
        <f>((I155+I209)*_xlfn.XLOOKUP(I$281,tons_kWh!$C$2:$BA$2,tons_kWh!$C10:$BA10))+(I236*tons_co2_per_therm*therms_per_mcf)</f>
        <v>0</v>
      </c>
      <c r="J290" s="21">
        <f>((J155+J209)*_xlfn.XLOOKUP(J$281,tons_kWh!$C$2:$BA$2,tons_kWh!$C10:$BA10))+(J236*tons_co2_per_therm*therms_per_mcf)</f>
        <v>0</v>
      </c>
      <c r="K290" s="21">
        <f>((K155+K209)*_xlfn.XLOOKUP(K$281,tons_kWh!$C$2:$BA$2,tons_kWh!$C10:$BA10))+(K236*tons_co2_per_therm*therms_per_mcf)</f>
        <v>0</v>
      </c>
      <c r="L290" s="21">
        <f>((L155+L209)*_xlfn.XLOOKUP(L$281,tons_kWh!$C$2:$BA$2,tons_kWh!$C10:$BA10))+(L236*tons_co2_per_therm*therms_per_mcf)</f>
        <v>0</v>
      </c>
      <c r="M290" s="21">
        <f>((M155+M209)*_xlfn.XLOOKUP(M$281,tons_kWh!$C$2:$BA$2,tons_kWh!$C10:$BA10))+(M236*tons_co2_per_therm*therms_per_mcf)</f>
        <v>0</v>
      </c>
      <c r="N290" s="21">
        <f>((N155+N209)*_xlfn.XLOOKUP(N$281,tons_kWh!$C$2:$BA$2,tons_kWh!$C10:$BA10))+(N236*tons_co2_per_therm*therms_per_mcf)</f>
        <v>0</v>
      </c>
      <c r="O290" s="21">
        <f>((O155+O209)*_xlfn.XLOOKUP(O$281,tons_kWh!$C$2:$BA$2,tons_kWh!$C10:$BA10))+(O236*tons_co2_per_therm*therms_per_mcf)</f>
        <v>0</v>
      </c>
      <c r="P290" s="21">
        <f>((P155+P209)*_xlfn.XLOOKUP(P$281,tons_kWh!$C$2:$BA$2,tons_kWh!$C10:$BA10))+(P236*tons_co2_per_therm*therms_per_mcf)</f>
        <v>0</v>
      </c>
      <c r="Q290" s="21">
        <f>((Q155+Q209)*_xlfn.XLOOKUP(Q$281,tons_kWh!$C$2:$BA$2,tons_kWh!$C10:$BA10))+(Q236*tons_co2_per_therm*therms_per_mcf)</f>
        <v>0</v>
      </c>
      <c r="R290" s="21">
        <f>((R155+R209)*_xlfn.XLOOKUP(R$281,tons_kWh!$C$2:$BA$2,tons_kWh!$C10:$BA10))+(R236*tons_co2_per_therm*therms_per_mcf)</f>
        <v>0</v>
      </c>
      <c r="S290" s="21">
        <f>((S155+S209)*_xlfn.XLOOKUP(S$281,tons_kWh!$C$2:$BA$2,tons_kWh!$C10:$BA10))+(S236*tons_co2_per_therm*therms_per_mcf)</f>
        <v>0</v>
      </c>
      <c r="T290" s="21">
        <f>((T155+T209)*_xlfn.XLOOKUP(T$281,tons_kWh!$C$2:$BA$2,tons_kWh!$C10:$BA10))+(T236*tons_co2_per_therm*therms_per_mcf)</f>
        <v>0</v>
      </c>
      <c r="U290" s="21">
        <f>((U155+U209)*_xlfn.XLOOKUP(U$281,tons_kWh!$C$2:$BA$2,tons_kWh!$C10:$BA10))+(U236*tons_co2_per_therm*therms_per_mcf)</f>
        <v>0</v>
      </c>
      <c r="V290" s="21">
        <f>((V155+V209)*_xlfn.XLOOKUP(V$281,tons_kWh!$C$2:$BA$2,tons_kWh!$C10:$BA10))+(V236*tons_co2_per_therm*therms_per_mcf)</f>
        <v>0</v>
      </c>
      <c r="W290" s="21">
        <f>((W155+W209)*_xlfn.XLOOKUP(W$281,tons_kWh!$C$2:$BA$2,tons_kWh!$C10:$BA10))+(W236*tons_co2_per_therm*therms_per_mcf)</f>
        <v>0</v>
      </c>
      <c r="X290" s="21">
        <f>((X155+X209)*_xlfn.XLOOKUP(X$281,tons_kWh!$C$2:$BA$2,tons_kWh!$C10:$BA10))+(X236*tons_co2_per_therm*therms_per_mcf)</f>
        <v>0</v>
      </c>
      <c r="Y290" s="21">
        <f>((Y155+Y209)*_xlfn.XLOOKUP(Y$281,tons_kWh!$C$2:$BA$2,tons_kWh!$C10:$BA10))+(Y236*tons_co2_per_therm*therms_per_mcf)</f>
        <v>0</v>
      </c>
      <c r="Z290" s="21">
        <f>((Z155+Z209)*_xlfn.XLOOKUP(Z$281,tons_kWh!$C$2:$BA$2,tons_kWh!$C10:$BA10))+(Z236*tons_co2_per_therm*therms_per_mcf)</f>
        <v>0</v>
      </c>
      <c r="AA290" s="21">
        <f>((AA155+AA209)*_xlfn.XLOOKUP(AA$281,tons_kWh!$C$2:$BA$2,tons_kWh!$C10:$BA10))+(AA236*tons_co2_per_therm*therms_per_mcf)</f>
        <v>0</v>
      </c>
      <c r="AB290" s="21">
        <f>((AB155+AB209)*_xlfn.XLOOKUP(AB$281,tons_kWh!$C$2:$BA$2,tons_kWh!$C10:$BA10))+(AB236*tons_co2_per_therm*therms_per_mcf)</f>
        <v>0</v>
      </c>
      <c r="AC290" s="21">
        <f>((AC155+AC209)*_xlfn.XLOOKUP(AC$281,tons_kWh!$C$2:$BA$2,tons_kWh!$C10:$BA10))+(AC236*tons_co2_per_therm*therms_per_mcf)</f>
        <v>0</v>
      </c>
      <c r="AD290" s="21">
        <f>((AD155+AD209)*_xlfn.XLOOKUP(AD$281,tons_kWh!$C$2:$BA$2,tons_kWh!$C10:$BA10))+(AD236*tons_co2_per_therm*therms_per_mcf)</f>
        <v>0</v>
      </c>
      <c r="AE290" s="21">
        <f>((AE155+AE209)*_xlfn.XLOOKUP(AE$281,tons_kWh!$C$2:$BA$2,tons_kWh!$C10:$BA10))+(AE236*tons_co2_per_therm*therms_per_mcf)</f>
        <v>0</v>
      </c>
      <c r="AF290" s="21">
        <f>((AF155+AF209)*_xlfn.XLOOKUP(AF$281,tons_kWh!$C$2:$BA$2,tons_kWh!$C10:$BA10))+(AF236*tons_co2_per_therm*therms_per_mcf)</f>
        <v>0</v>
      </c>
      <c r="AG290" s="21">
        <f>((AG155+AG209)*_xlfn.XLOOKUP(AG$281,tons_kWh!$C$2:$BA$2,tons_kWh!$C10:$BA10))+(AG236*tons_co2_per_therm*therms_per_mcf)</f>
        <v>0</v>
      </c>
      <c r="AH290" s="21">
        <f>((AH155+AH209)*_xlfn.XLOOKUP(AH$281,tons_kWh!$C$2:$BA$2,tons_kWh!$C10:$BA10))+(AH236*tons_co2_per_therm*therms_per_mcf)</f>
        <v>0</v>
      </c>
      <c r="AI290" s="21">
        <f>((AI155+AI209)*_xlfn.XLOOKUP(AI$281,tons_kWh!$C$2:$BA$2,tons_kWh!$C10:$BA10))+(AI236*tons_co2_per_therm*therms_per_mcf)</f>
        <v>0</v>
      </c>
      <c r="AJ290" s="21">
        <f>((AJ155+AJ209)*_xlfn.XLOOKUP(AJ$281,tons_kWh!$C$2:$BA$2,tons_kWh!$C10:$BA10))+(AJ236*tons_co2_per_therm*therms_per_mcf)</f>
        <v>0</v>
      </c>
      <c r="AK290" s="21">
        <f>((AK155+AK209)*_xlfn.XLOOKUP(AK$281,tons_kWh!$C$2:$BA$2,tons_kWh!$C10:$BA10))+(AK236*tons_co2_per_therm*therms_per_mcf)</f>
        <v>0</v>
      </c>
      <c r="AL290" s="21">
        <f>((AL155+AL209)*_xlfn.XLOOKUP(AL$281,tons_kWh!$C$2:$BA$2,tons_kWh!$C10:$BA10))+(AL236*tons_co2_per_therm*therms_per_mcf)</f>
        <v>0</v>
      </c>
      <c r="AM290" s="21">
        <f>((AM155+AM209)*_xlfn.XLOOKUP(AM$281,tons_kWh!$C$2:$BA$2,tons_kWh!$C10:$BA10))+(AM236*tons_co2_per_therm*therms_per_mcf)</f>
        <v>0</v>
      </c>
      <c r="AN290" s="21">
        <f>((AN155+AN209)*_xlfn.XLOOKUP(AN$281,tons_kWh!$C$2:$BA$2,tons_kWh!$C10:$BA10))+(AN236*tons_co2_per_therm*therms_per_mcf)</f>
        <v>0</v>
      </c>
      <c r="AO290" s="21">
        <f>((AO155+AO209)*_xlfn.XLOOKUP(AO$281,tons_kWh!$C$2:$BA$2,tons_kWh!$C10:$BA10))+(AO236*tons_co2_per_therm*therms_per_mcf)</f>
        <v>0</v>
      </c>
      <c r="AP290" s="21">
        <f>((AP155+AP209)*_xlfn.XLOOKUP(AP$281,tons_kWh!$C$2:$BA$2,tons_kWh!$C10:$BA10))+(AP236*tons_co2_per_therm*therms_per_mcf)</f>
        <v>0</v>
      </c>
      <c r="AQ290" s="21">
        <f>((AQ155+AQ209)*_xlfn.XLOOKUP(AQ$281,tons_kWh!$C$2:$BA$2,tons_kWh!$C10:$BA10))+(AQ236*tons_co2_per_therm*therms_per_mcf)</f>
        <v>0</v>
      </c>
      <c r="AR290" s="21">
        <f>((AR155+AR209)*_xlfn.XLOOKUP(AR$281,tons_kWh!$C$2:$BA$2,tons_kWh!$C10:$BA10))+(AR236*tons_co2_per_therm*therms_per_mcf)</f>
        <v>0</v>
      </c>
      <c r="AS290" s="21">
        <f>((AS155+AS209)*_xlfn.XLOOKUP(AS$281,tons_kWh!$C$2:$BA$2,tons_kWh!$C10:$BA10))+(AS236*tons_co2_per_therm*therms_per_mcf)</f>
        <v>0</v>
      </c>
      <c r="AT290" s="21">
        <f>((AT155+AT209)*_xlfn.XLOOKUP(AT$281,tons_kWh!$C$2:$BA$2,tons_kWh!$C10:$BA10))+(AT236*tons_co2_per_therm*therms_per_mcf)</f>
        <v>0</v>
      </c>
      <c r="AU290" s="21">
        <f>((AU155+AU209)*_xlfn.XLOOKUP(AU$281,tons_kWh!$C$2:$BA$2,tons_kWh!$C10:$BA10))+(AU236*tons_co2_per_therm*therms_per_mcf)</f>
        <v>0</v>
      </c>
      <c r="AV290" s="21">
        <f>((AV155+AV209)*_xlfn.XLOOKUP(AV$281,tons_kWh!$C$2:$BA$2,tons_kWh!$C10:$BA10))+(AV236*tons_co2_per_therm*therms_per_mcf)</f>
        <v>0</v>
      </c>
      <c r="AW290" s="21">
        <f>((AW155+AW209)*_xlfn.XLOOKUP(AW$281,tons_kWh!$C$2:$BA$2,tons_kWh!$C10:$BA10))+(AW236*tons_co2_per_therm*therms_per_mcf)</f>
        <v>0</v>
      </c>
      <c r="AX290" s="21">
        <f>((AX155+AX209)*_xlfn.XLOOKUP(AX$281,tons_kWh!$C$2:$BA$2,tons_kWh!$C10:$BA10))+(AX236*tons_co2_per_therm*therms_per_mcf)</f>
        <v>0</v>
      </c>
      <c r="AY290" s="21">
        <f>((AY155+AY209)*_xlfn.XLOOKUP(AY$281,tons_kWh!$C$2:$BA$2,tons_kWh!$C10:$BA10))+(AY236*tons_co2_per_therm*therms_per_mcf)</f>
        <v>0</v>
      </c>
      <c r="AZ290" s="21">
        <f>((AZ155+AZ209)*_xlfn.XLOOKUP(AZ$281,tons_kWh!$C$2:$BA$2,tons_kWh!$C10:$BA10))+(AZ236*tons_co2_per_therm*therms_per_mcf)</f>
        <v>0</v>
      </c>
      <c r="BA290" s="21">
        <f>((BA155+BA209)*_xlfn.XLOOKUP(BA$281,tons_kWh!$C$2:$BA$2,tons_kWh!$C10:$BA10))+(BA236*tons_co2_per_therm*therms_per_mcf)</f>
        <v>0</v>
      </c>
      <c r="BB290" s="21">
        <f t="shared" si="245"/>
        <v>0</v>
      </c>
    </row>
    <row r="291" spans="1:54">
      <c r="A291" s="456"/>
      <c r="B291" s="228">
        <v>2015</v>
      </c>
      <c r="C291" s="21">
        <f>((C156+C210)*_xlfn.XLOOKUP(C$281,tons_kWh!$C$2:$BA$2,tons_kWh!$C11:$BA11))+(C237*tons_co2_per_therm*therms_per_mcf)</f>
        <v>0</v>
      </c>
      <c r="D291" s="21">
        <f>((D156+D210)*_xlfn.XLOOKUP(D$281,tons_kWh!$C$2:$BA$2,tons_kWh!$C11:$BA11))+(D237*tons_co2_per_therm*therms_per_mcf)</f>
        <v>0</v>
      </c>
      <c r="E291" s="21">
        <f>((E156+E210)*_xlfn.XLOOKUP(E$281,tons_kWh!$C$2:$BA$2,tons_kWh!$C11:$BA11))+(E237*tons_co2_per_therm*therms_per_mcf)</f>
        <v>0</v>
      </c>
      <c r="F291" s="21">
        <f>((F156+F210)*_xlfn.XLOOKUP(F$281,tons_kWh!$C$2:$BA$2,tons_kWh!$C11:$BA11))+(F237*tons_co2_per_therm*therms_per_mcf)</f>
        <v>0</v>
      </c>
      <c r="G291" s="21">
        <f>((G156+G210)*_xlfn.XLOOKUP(G$281,tons_kWh!$C$2:$BA$2,tons_kWh!$C11:$BA11))+(G237*tons_co2_per_therm*therms_per_mcf)</f>
        <v>0</v>
      </c>
      <c r="H291" s="21">
        <f>((H156+H210)*_xlfn.XLOOKUP(H$281,tons_kWh!$C$2:$BA$2,tons_kWh!$C11:$BA11))+(H237*tons_co2_per_therm*therms_per_mcf)</f>
        <v>0</v>
      </c>
      <c r="I291" s="21">
        <f>((I156+I210)*_xlfn.XLOOKUP(I$281,tons_kWh!$C$2:$BA$2,tons_kWh!$C11:$BA11))+(I237*tons_co2_per_therm*therms_per_mcf)</f>
        <v>0</v>
      </c>
      <c r="J291" s="21">
        <f>((J156+J210)*_xlfn.XLOOKUP(J$281,tons_kWh!$C$2:$BA$2,tons_kWh!$C11:$BA11))+(J237*tons_co2_per_therm*therms_per_mcf)</f>
        <v>0</v>
      </c>
      <c r="K291" s="21">
        <f>((K156+K210)*_xlfn.XLOOKUP(K$281,tons_kWh!$C$2:$BA$2,tons_kWh!$C11:$BA11))+(K237*tons_co2_per_therm*therms_per_mcf)</f>
        <v>0</v>
      </c>
      <c r="L291" s="21">
        <f>((L156+L210)*_xlfn.XLOOKUP(L$281,tons_kWh!$C$2:$BA$2,tons_kWh!$C11:$BA11))+(L237*tons_co2_per_therm*therms_per_mcf)</f>
        <v>0</v>
      </c>
      <c r="M291" s="21">
        <f>((M156+M210)*_xlfn.XLOOKUP(M$281,tons_kWh!$C$2:$BA$2,tons_kWh!$C11:$BA11))+(M237*tons_co2_per_therm*therms_per_mcf)</f>
        <v>0</v>
      </c>
      <c r="N291" s="21">
        <f>((N156+N210)*_xlfn.XLOOKUP(N$281,tons_kWh!$C$2:$BA$2,tons_kWh!$C11:$BA11))+(N237*tons_co2_per_therm*therms_per_mcf)</f>
        <v>0</v>
      </c>
      <c r="O291" s="21">
        <f>((O156+O210)*_xlfn.XLOOKUP(O$281,tons_kWh!$C$2:$BA$2,tons_kWh!$C11:$BA11))+(O237*tons_co2_per_therm*therms_per_mcf)</f>
        <v>0</v>
      </c>
      <c r="P291" s="21">
        <f>((P156+P210)*_xlfn.XLOOKUP(P$281,tons_kWh!$C$2:$BA$2,tons_kWh!$C11:$BA11))+(P237*tons_co2_per_therm*therms_per_mcf)</f>
        <v>0</v>
      </c>
      <c r="Q291" s="21">
        <f>((Q156+Q210)*_xlfn.XLOOKUP(Q$281,tons_kWh!$C$2:$BA$2,tons_kWh!$C11:$BA11))+(Q237*tons_co2_per_therm*therms_per_mcf)</f>
        <v>0</v>
      </c>
      <c r="R291" s="21">
        <f>((R156+R210)*_xlfn.XLOOKUP(R$281,tons_kWh!$C$2:$BA$2,tons_kWh!$C11:$BA11))+(R237*tons_co2_per_therm*therms_per_mcf)</f>
        <v>0</v>
      </c>
      <c r="S291" s="21">
        <f>((S156+S210)*_xlfn.XLOOKUP(S$281,tons_kWh!$C$2:$BA$2,tons_kWh!$C11:$BA11))+(S237*tons_co2_per_therm*therms_per_mcf)</f>
        <v>0</v>
      </c>
      <c r="T291" s="21">
        <f>((T156+T210)*_xlfn.XLOOKUP(T$281,tons_kWh!$C$2:$BA$2,tons_kWh!$C11:$BA11))+(T237*tons_co2_per_therm*therms_per_mcf)</f>
        <v>0</v>
      </c>
      <c r="U291" s="21">
        <f>((U156+U210)*_xlfn.XLOOKUP(U$281,tons_kWh!$C$2:$BA$2,tons_kWh!$C11:$BA11))+(U237*tons_co2_per_therm*therms_per_mcf)</f>
        <v>0</v>
      </c>
      <c r="V291" s="21">
        <f>((V156+V210)*_xlfn.XLOOKUP(V$281,tons_kWh!$C$2:$BA$2,tons_kWh!$C11:$BA11))+(V237*tons_co2_per_therm*therms_per_mcf)</f>
        <v>0</v>
      </c>
      <c r="W291" s="21">
        <f>((W156+W210)*_xlfn.XLOOKUP(W$281,tons_kWh!$C$2:$BA$2,tons_kWh!$C11:$BA11))+(W237*tons_co2_per_therm*therms_per_mcf)</f>
        <v>0</v>
      </c>
      <c r="X291" s="21">
        <f>((X156+X210)*_xlfn.XLOOKUP(X$281,tons_kWh!$C$2:$BA$2,tons_kWh!$C11:$BA11))+(X237*tons_co2_per_therm*therms_per_mcf)</f>
        <v>0</v>
      </c>
      <c r="Y291" s="21">
        <f>((Y156+Y210)*_xlfn.XLOOKUP(Y$281,tons_kWh!$C$2:$BA$2,tons_kWh!$C11:$BA11))+(Y237*tons_co2_per_therm*therms_per_mcf)</f>
        <v>0</v>
      </c>
      <c r="Z291" s="21">
        <f>((Z156+Z210)*_xlfn.XLOOKUP(Z$281,tons_kWh!$C$2:$BA$2,tons_kWh!$C11:$BA11))+(Z237*tons_co2_per_therm*therms_per_mcf)</f>
        <v>0</v>
      </c>
      <c r="AA291" s="21">
        <f>((AA156+AA210)*_xlfn.XLOOKUP(AA$281,tons_kWh!$C$2:$BA$2,tons_kWh!$C11:$BA11))+(AA237*tons_co2_per_therm*therms_per_mcf)</f>
        <v>0</v>
      </c>
      <c r="AB291" s="21">
        <f>((AB156+AB210)*_xlfn.XLOOKUP(AB$281,tons_kWh!$C$2:$BA$2,tons_kWh!$C11:$BA11))+(AB237*tons_co2_per_therm*therms_per_mcf)</f>
        <v>0</v>
      </c>
      <c r="AC291" s="21">
        <f>((AC156+AC210)*_xlfn.XLOOKUP(AC$281,tons_kWh!$C$2:$BA$2,tons_kWh!$C11:$BA11))+(AC237*tons_co2_per_therm*therms_per_mcf)</f>
        <v>0</v>
      </c>
      <c r="AD291" s="21">
        <f>((AD156+AD210)*_xlfn.XLOOKUP(AD$281,tons_kWh!$C$2:$BA$2,tons_kWh!$C11:$BA11))+(AD237*tons_co2_per_therm*therms_per_mcf)</f>
        <v>0</v>
      </c>
      <c r="AE291" s="21">
        <f>((AE156+AE210)*_xlfn.XLOOKUP(AE$281,tons_kWh!$C$2:$BA$2,tons_kWh!$C11:$BA11))+(AE237*tons_co2_per_therm*therms_per_mcf)</f>
        <v>0</v>
      </c>
      <c r="AF291" s="21">
        <f>((AF156+AF210)*_xlfn.XLOOKUP(AF$281,tons_kWh!$C$2:$BA$2,tons_kWh!$C11:$BA11))+(AF237*tons_co2_per_therm*therms_per_mcf)</f>
        <v>0</v>
      </c>
      <c r="AG291" s="21">
        <f>((AG156+AG210)*_xlfn.XLOOKUP(AG$281,tons_kWh!$C$2:$BA$2,tons_kWh!$C11:$BA11))+(AG237*tons_co2_per_therm*therms_per_mcf)</f>
        <v>0</v>
      </c>
      <c r="AH291" s="21">
        <f>((AH156+AH210)*_xlfn.XLOOKUP(AH$281,tons_kWh!$C$2:$BA$2,tons_kWh!$C11:$BA11))+(AH237*tons_co2_per_therm*therms_per_mcf)</f>
        <v>0</v>
      </c>
      <c r="AI291" s="21">
        <f>((AI156+AI210)*_xlfn.XLOOKUP(AI$281,tons_kWh!$C$2:$BA$2,tons_kWh!$C11:$BA11))+(AI237*tons_co2_per_therm*therms_per_mcf)</f>
        <v>0</v>
      </c>
      <c r="AJ291" s="21">
        <f>((AJ156+AJ210)*_xlfn.XLOOKUP(AJ$281,tons_kWh!$C$2:$BA$2,tons_kWh!$C11:$BA11))+(AJ237*tons_co2_per_therm*therms_per_mcf)</f>
        <v>0</v>
      </c>
      <c r="AK291" s="21">
        <f>((AK156+AK210)*_xlfn.XLOOKUP(AK$281,tons_kWh!$C$2:$BA$2,tons_kWh!$C11:$BA11))+(AK237*tons_co2_per_therm*therms_per_mcf)</f>
        <v>0</v>
      </c>
      <c r="AL291" s="21">
        <f>((AL156+AL210)*_xlfn.XLOOKUP(AL$281,tons_kWh!$C$2:$BA$2,tons_kWh!$C11:$BA11))+(AL237*tons_co2_per_therm*therms_per_mcf)</f>
        <v>0</v>
      </c>
      <c r="AM291" s="21">
        <f>((AM156+AM210)*_xlfn.XLOOKUP(AM$281,tons_kWh!$C$2:$BA$2,tons_kWh!$C11:$BA11))+(AM237*tons_co2_per_therm*therms_per_mcf)</f>
        <v>0</v>
      </c>
      <c r="AN291" s="21">
        <f>((AN156+AN210)*_xlfn.XLOOKUP(AN$281,tons_kWh!$C$2:$BA$2,tons_kWh!$C11:$BA11))+(AN237*tons_co2_per_therm*therms_per_mcf)</f>
        <v>0</v>
      </c>
      <c r="AO291" s="21">
        <f>((AO156+AO210)*_xlfn.XLOOKUP(AO$281,tons_kWh!$C$2:$BA$2,tons_kWh!$C11:$BA11))+(AO237*tons_co2_per_therm*therms_per_mcf)</f>
        <v>0</v>
      </c>
      <c r="AP291" s="21">
        <f>((AP156+AP210)*_xlfn.XLOOKUP(AP$281,tons_kWh!$C$2:$BA$2,tons_kWh!$C11:$BA11))+(AP237*tons_co2_per_therm*therms_per_mcf)</f>
        <v>0</v>
      </c>
      <c r="AQ291" s="21">
        <f>((AQ156+AQ210)*_xlfn.XLOOKUP(AQ$281,tons_kWh!$C$2:$BA$2,tons_kWh!$C11:$BA11))+(AQ237*tons_co2_per_therm*therms_per_mcf)</f>
        <v>0</v>
      </c>
      <c r="AR291" s="21">
        <f>((AR156+AR210)*_xlfn.XLOOKUP(AR$281,tons_kWh!$C$2:$BA$2,tons_kWh!$C11:$BA11))+(AR237*tons_co2_per_therm*therms_per_mcf)</f>
        <v>0</v>
      </c>
      <c r="AS291" s="21">
        <f>((AS156+AS210)*_xlfn.XLOOKUP(AS$281,tons_kWh!$C$2:$BA$2,tons_kWh!$C11:$BA11))+(AS237*tons_co2_per_therm*therms_per_mcf)</f>
        <v>0</v>
      </c>
      <c r="AT291" s="21">
        <f>((AT156+AT210)*_xlfn.XLOOKUP(AT$281,tons_kWh!$C$2:$BA$2,tons_kWh!$C11:$BA11))+(AT237*tons_co2_per_therm*therms_per_mcf)</f>
        <v>0</v>
      </c>
      <c r="AU291" s="21">
        <f>((AU156+AU210)*_xlfn.XLOOKUP(AU$281,tons_kWh!$C$2:$BA$2,tons_kWh!$C11:$BA11))+(AU237*tons_co2_per_therm*therms_per_mcf)</f>
        <v>0</v>
      </c>
      <c r="AV291" s="21">
        <f>((AV156+AV210)*_xlfn.XLOOKUP(AV$281,tons_kWh!$C$2:$BA$2,tons_kWh!$C11:$BA11))+(AV237*tons_co2_per_therm*therms_per_mcf)</f>
        <v>0</v>
      </c>
      <c r="AW291" s="21">
        <f>((AW156+AW210)*_xlfn.XLOOKUP(AW$281,tons_kWh!$C$2:$BA$2,tons_kWh!$C11:$BA11))+(AW237*tons_co2_per_therm*therms_per_mcf)</f>
        <v>0</v>
      </c>
      <c r="AX291" s="21">
        <f>((AX156+AX210)*_xlfn.XLOOKUP(AX$281,tons_kWh!$C$2:$BA$2,tons_kWh!$C11:$BA11))+(AX237*tons_co2_per_therm*therms_per_mcf)</f>
        <v>0</v>
      </c>
      <c r="AY291" s="21">
        <f>((AY156+AY210)*_xlfn.XLOOKUP(AY$281,tons_kWh!$C$2:$BA$2,tons_kWh!$C11:$BA11))+(AY237*tons_co2_per_therm*therms_per_mcf)</f>
        <v>0</v>
      </c>
      <c r="AZ291" s="21">
        <f>((AZ156+AZ210)*_xlfn.XLOOKUP(AZ$281,tons_kWh!$C$2:$BA$2,tons_kWh!$C11:$BA11))+(AZ237*tons_co2_per_therm*therms_per_mcf)</f>
        <v>0</v>
      </c>
      <c r="BA291" s="21">
        <f>((BA156+BA210)*_xlfn.XLOOKUP(BA$281,tons_kWh!$C$2:$BA$2,tons_kWh!$C11:$BA11))+(BA237*tons_co2_per_therm*therms_per_mcf)</f>
        <v>0</v>
      </c>
      <c r="BB291" s="21">
        <f t="shared" si="245"/>
        <v>0</v>
      </c>
    </row>
    <row r="292" spans="1:54">
      <c r="A292" s="456"/>
      <c r="B292" s="226">
        <v>2016</v>
      </c>
      <c r="C292" s="21">
        <f>((C157+C211)*_xlfn.XLOOKUP(C$281,tons_kWh!$C$2:$BA$2,tons_kWh!$C12:$BA12))+(C238*tons_co2_per_therm*therms_per_mcf)</f>
        <v>0</v>
      </c>
      <c r="D292" s="21">
        <f>((D157+D211)*_xlfn.XLOOKUP(D$281,tons_kWh!$C$2:$BA$2,tons_kWh!$C12:$BA12))+(D238*tons_co2_per_therm*therms_per_mcf)</f>
        <v>0</v>
      </c>
      <c r="E292" s="21">
        <f>((E157+E211)*_xlfn.XLOOKUP(E$281,tons_kWh!$C$2:$BA$2,tons_kWh!$C12:$BA12))+(E238*tons_co2_per_therm*therms_per_mcf)</f>
        <v>0</v>
      </c>
      <c r="F292" s="21">
        <f>((F157+F211)*_xlfn.XLOOKUP(F$281,tons_kWh!$C$2:$BA$2,tons_kWh!$C12:$BA12))+(F238*tons_co2_per_therm*therms_per_mcf)</f>
        <v>0</v>
      </c>
      <c r="G292" s="21">
        <f>((G157+G211)*_xlfn.XLOOKUP(G$281,tons_kWh!$C$2:$BA$2,tons_kWh!$C12:$BA12))+(G238*tons_co2_per_therm*therms_per_mcf)</f>
        <v>0</v>
      </c>
      <c r="H292" s="21">
        <f>((H157+H211)*_xlfn.XLOOKUP(H$281,tons_kWh!$C$2:$BA$2,tons_kWh!$C12:$BA12))+(H238*tons_co2_per_therm*therms_per_mcf)</f>
        <v>0</v>
      </c>
      <c r="I292" s="21">
        <f>((I157+I211)*_xlfn.XLOOKUP(I$281,tons_kWh!$C$2:$BA$2,tons_kWh!$C12:$BA12))+(I238*tons_co2_per_therm*therms_per_mcf)</f>
        <v>0</v>
      </c>
      <c r="J292" s="21">
        <f>((J157+J211)*_xlfn.XLOOKUP(J$281,tons_kWh!$C$2:$BA$2,tons_kWh!$C12:$BA12))+(J238*tons_co2_per_therm*therms_per_mcf)</f>
        <v>0</v>
      </c>
      <c r="K292" s="21">
        <f>((K157+K211)*_xlfn.XLOOKUP(K$281,tons_kWh!$C$2:$BA$2,tons_kWh!$C12:$BA12))+(K238*tons_co2_per_therm*therms_per_mcf)</f>
        <v>0</v>
      </c>
      <c r="L292" s="21">
        <f>((L157+L211)*_xlfn.XLOOKUP(L$281,tons_kWh!$C$2:$BA$2,tons_kWh!$C12:$BA12))+(L238*tons_co2_per_therm*therms_per_mcf)</f>
        <v>0</v>
      </c>
      <c r="M292" s="21">
        <f>((M157+M211)*_xlfn.XLOOKUP(M$281,tons_kWh!$C$2:$BA$2,tons_kWh!$C12:$BA12))+(M238*tons_co2_per_therm*therms_per_mcf)</f>
        <v>0</v>
      </c>
      <c r="N292" s="21">
        <f>((N157+N211)*_xlfn.XLOOKUP(N$281,tons_kWh!$C$2:$BA$2,tons_kWh!$C12:$BA12))+(N238*tons_co2_per_therm*therms_per_mcf)</f>
        <v>0</v>
      </c>
      <c r="O292" s="21">
        <f>((O157+O211)*_xlfn.XLOOKUP(O$281,tons_kWh!$C$2:$BA$2,tons_kWh!$C12:$BA12))+(O238*tons_co2_per_therm*therms_per_mcf)</f>
        <v>0</v>
      </c>
      <c r="P292" s="21">
        <f>((P157+P211)*_xlfn.XLOOKUP(P$281,tons_kWh!$C$2:$BA$2,tons_kWh!$C12:$BA12))+(P238*tons_co2_per_therm*therms_per_mcf)</f>
        <v>0</v>
      </c>
      <c r="Q292" s="21">
        <f>((Q157+Q211)*_xlfn.XLOOKUP(Q$281,tons_kWh!$C$2:$BA$2,tons_kWh!$C12:$BA12))+(Q238*tons_co2_per_therm*therms_per_mcf)</f>
        <v>0</v>
      </c>
      <c r="R292" s="21">
        <f>((R157+R211)*_xlfn.XLOOKUP(R$281,tons_kWh!$C$2:$BA$2,tons_kWh!$C12:$BA12))+(R238*tons_co2_per_therm*therms_per_mcf)</f>
        <v>0</v>
      </c>
      <c r="S292" s="21">
        <f>((S157+S211)*_xlfn.XLOOKUP(S$281,tons_kWh!$C$2:$BA$2,tons_kWh!$C12:$BA12))+(S238*tons_co2_per_therm*therms_per_mcf)</f>
        <v>0</v>
      </c>
      <c r="T292" s="21">
        <f>((T157+T211)*_xlfn.XLOOKUP(T$281,tons_kWh!$C$2:$BA$2,tons_kWh!$C12:$BA12))+(T238*tons_co2_per_therm*therms_per_mcf)</f>
        <v>0</v>
      </c>
      <c r="U292" s="21">
        <f>((U157+U211)*_xlfn.XLOOKUP(U$281,tons_kWh!$C$2:$BA$2,tons_kWh!$C12:$BA12))+(U238*tons_co2_per_therm*therms_per_mcf)</f>
        <v>0</v>
      </c>
      <c r="V292" s="21">
        <f>((V157+V211)*_xlfn.XLOOKUP(V$281,tons_kWh!$C$2:$BA$2,tons_kWh!$C12:$BA12))+(V238*tons_co2_per_therm*therms_per_mcf)</f>
        <v>0</v>
      </c>
      <c r="W292" s="21">
        <f>((W157+W211)*_xlfn.XLOOKUP(W$281,tons_kWh!$C$2:$BA$2,tons_kWh!$C12:$BA12))+(W238*tons_co2_per_therm*therms_per_mcf)</f>
        <v>0</v>
      </c>
      <c r="X292" s="21">
        <f>((X157+X211)*_xlfn.XLOOKUP(X$281,tons_kWh!$C$2:$BA$2,tons_kWh!$C12:$BA12))+(X238*tons_co2_per_therm*therms_per_mcf)</f>
        <v>0</v>
      </c>
      <c r="Y292" s="21">
        <f>((Y157+Y211)*_xlfn.XLOOKUP(Y$281,tons_kWh!$C$2:$BA$2,tons_kWh!$C12:$BA12))+(Y238*tons_co2_per_therm*therms_per_mcf)</f>
        <v>0</v>
      </c>
      <c r="Z292" s="21">
        <f>((Z157+Z211)*_xlfn.XLOOKUP(Z$281,tons_kWh!$C$2:$BA$2,tons_kWh!$C12:$BA12))+(Z238*tons_co2_per_therm*therms_per_mcf)</f>
        <v>0</v>
      </c>
      <c r="AA292" s="21">
        <f>((AA157+AA211)*_xlfn.XLOOKUP(AA$281,tons_kWh!$C$2:$BA$2,tons_kWh!$C12:$BA12))+(AA238*tons_co2_per_therm*therms_per_mcf)</f>
        <v>0</v>
      </c>
      <c r="AB292" s="21">
        <f>((AB157+AB211)*_xlfn.XLOOKUP(AB$281,tons_kWh!$C$2:$BA$2,tons_kWh!$C12:$BA12))+(AB238*tons_co2_per_therm*therms_per_mcf)</f>
        <v>0</v>
      </c>
      <c r="AC292" s="21">
        <f>((AC157+AC211)*_xlfn.XLOOKUP(AC$281,tons_kWh!$C$2:$BA$2,tons_kWh!$C12:$BA12))+(AC238*tons_co2_per_therm*therms_per_mcf)</f>
        <v>0</v>
      </c>
      <c r="AD292" s="21">
        <f>((AD157+AD211)*_xlfn.XLOOKUP(AD$281,tons_kWh!$C$2:$BA$2,tons_kWh!$C12:$BA12))+(AD238*tons_co2_per_therm*therms_per_mcf)</f>
        <v>0</v>
      </c>
      <c r="AE292" s="21">
        <f>((AE157+AE211)*_xlfn.XLOOKUP(AE$281,tons_kWh!$C$2:$BA$2,tons_kWh!$C12:$BA12))+(AE238*tons_co2_per_therm*therms_per_mcf)</f>
        <v>0</v>
      </c>
      <c r="AF292" s="21">
        <f>((AF157+AF211)*_xlfn.XLOOKUP(AF$281,tons_kWh!$C$2:$BA$2,tons_kWh!$C12:$BA12))+(AF238*tons_co2_per_therm*therms_per_mcf)</f>
        <v>0</v>
      </c>
      <c r="AG292" s="21">
        <f>((AG157+AG211)*_xlfn.XLOOKUP(AG$281,tons_kWh!$C$2:$BA$2,tons_kWh!$C12:$BA12))+(AG238*tons_co2_per_therm*therms_per_mcf)</f>
        <v>0</v>
      </c>
      <c r="AH292" s="21">
        <f>((AH157+AH211)*_xlfn.XLOOKUP(AH$281,tons_kWh!$C$2:$BA$2,tons_kWh!$C12:$BA12))+(AH238*tons_co2_per_therm*therms_per_mcf)</f>
        <v>0</v>
      </c>
      <c r="AI292" s="21">
        <f>((AI157+AI211)*_xlfn.XLOOKUP(AI$281,tons_kWh!$C$2:$BA$2,tons_kWh!$C12:$BA12))+(AI238*tons_co2_per_therm*therms_per_mcf)</f>
        <v>0</v>
      </c>
      <c r="AJ292" s="21">
        <f>((AJ157+AJ211)*_xlfn.XLOOKUP(AJ$281,tons_kWh!$C$2:$BA$2,tons_kWh!$C12:$BA12))+(AJ238*tons_co2_per_therm*therms_per_mcf)</f>
        <v>0</v>
      </c>
      <c r="AK292" s="21">
        <f>((AK157+AK211)*_xlfn.XLOOKUP(AK$281,tons_kWh!$C$2:$BA$2,tons_kWh!$C12:$BA12))+(AK238*tons_co2_per_therm*therms_per_mcf)</f>
        <v>0</v>
      </c>
      <c r="AL292" s="21">
        <f>((AL157+AL211)*_xlfn.XLOOKUP(AL$281,tons_kWh!$C$2:$BA$2,tons_kWh!$C12:$BA12))+(AL238*tons_co2_per_therm*therms_per_mcf)</f>
        <v>0</v>
      </c>
      <c r="AM292" s="21">
        <f>((AM157+AM211)*_xlfn.XLOOKUP(AM$281,tons_kWh!$C$2:$BA$2,tons_kWh!$C12:$BA12))+(AM238*tons_co2_per_therm*therms_per_mcf)</f>
        <v>0</v>
      </c>
      <c r="AN292" s="21">
        <f>((AN157+AN211)*_xlfn.XLOOKUP(AN$281,tons_kWh!$C$2:$BA$2,tons_kWh!$C12:$BA12))+(AN238*tons_co2_per_therm*therms_per_mcf)</f>
        <v>0</v>
      </c>
      <c r="AO292" s="21">
        <f>((AO157+AO211)*_xlfn.XLOOKUP(AO$281,tons_kWh!$C$2:$BA$2,tons_kWh!$C12:$BA12))+(AO238*tons_co2_per_therm*therms_per_mcf)</f>
        <v>0</v>
      </c>
      <c r="AP292" s="21">
        <f>((AP157+AP211)*_xlfn.XLOOKUP(AP$281,tons_kWh!$C$2:$BA$2,tons_kWh!$C12:$BA12))+(AP238*tons_co2_per_therm*therms_per_mcf)</f>
        <v>0</v>
      </c>
      <c r="AQ292" s="21">
        <f>((AQ157+AQ211)*_xlfn.XLOOKUP(AQ$281,tons_kWh!$C$2:$BA$2,tons_kWh!$C12:$BA12))+(AQ238*tons_co2_per_therm*therms_per_mcf)</f>
        <v>0</v>
      </c>
      <c r="AR292" s="21">
        <f>((AR157+AR211)*_xlfn.XLOOKUP(AR$281,tons_kWh!$C$2:$BA$2,tons_kWh!$C12:$BA12))+(AR238*tons_co2_per_therm*therms_per_mcf)</f>
        <v>0</v>
      </c>
      <c r="AS292" s="21">
        <f>((AS157+AS211)*_xlfn.XLOOKUP(AS$281,tons_kWh!$C$2:$BA$2,tons_kWh!$C12:$BA12))+(AS238*tons_co2_per_therm*therms_per_mcf)</f>
        <v>0</v>
      </c>
      <c r="AT292" s="21">
        <f>((AT157+AT211)*_xlfn.XLOOKUP(AT$281,tons_kWh!$C$2:$BA$2,tons_kWh!$C12:$BA12))+(AT238*tons_co2_per_therm*therms_per_mcf)</f>
        <v>0</v>
      </c>
      <c r="AU292" s="21">
        <f>((AU157+AU211)*_xlfn.XLOOKUP(AU$281,tons_kWh!$C$2:$BA$2,tons_kWh!$C12:$BA12))+(AU238*tons_co2_per_therm*therms_per_mcf)</f>
        <v>0</v>
      </c>
      <c r="AV292" s="21">
        <f>((AV157+AV211)*_xlfn.XLOOKUP(AV$281,tons_kWh!$C$2:$BA$2,tons_kWh!$C12:$BA12))+(AV238*tons_co2_per_therm*therms_per_mcf)</f>
        <v>0</v>
      </c>
      <c r="AW292" s="21">
        <f>((AW157+AW211)*_xlfn.XLOOKUP(AW$281,tons_kWh!$C$2:$BA$2,tons_kWh!$C12:$BA12))+(AW238*tons_co2_per_therm*therms_per_mcf)</f>
        <v>0</v>
      </c>
      <c r="AX292" s="21">
        <f>((AX157+AX211)*_xlfn.XLOOKUP(AX$281,tons_kWh!$C$2:$BA$2,tons_kWh!$C12:$BA12))+(AX238*tons_co2_per_therm*therms_per_mcf)</f>
        <v>0</v>
      </c>
      <c r="AY292" s="21">
        <f>((AY157+AY211)*_xlfn.XLOOKUP(AY$281,tons_kWh!$C$2:$BA$2,tons_kWh!$C12:$BA12))+(AY238*tons_co2_per_therm*therms_per_mcf)</f>
        <v>0</v>
      </c>
      <c r="AZ292" s="21">
        <f>((AZ157+AZ211)*_xlfn.XLOOKUP(AZ$281,tons_kWh!$C$2:$BA$2,tons_kWh!$C12:$BA12))+(AZ238*tons_co2_per_therm*therms_per_mcf)</f>
        <v>0</v>
      </c>
      <c r="BA292" s="21">
        <f>((BA157+BA211)*_xlfn.XLOOKUP(BA$281,tons_kWh!$C$2:$BA$2,tons_kWh!$C12:$BA12))+(BA238*tons_co2_per_therm*therms_per_mcf)</f>
        <v>0</v>
      </c>
      <c r="BB292" s="21">
        <f t="shared" si="245"/>
        <v>0</v>
      </c>
    </row>
    <row r="293" spans="1:54">
      <c r="A293" s="456"/>
      <c r="B293" s="228">
        <v>2017</v>
      </c>
      <c r="C293" s="21">
        <f>((C158+C212)*_xlfn.XLOOKUP(C$281,tons_kWh!$C$2:$BA$2,tons_kWh!$C13:$BA13))+(C239*tons_co2_per_therm*therms_per_mcf)</f>
        <v>0</v>
      </c>
      <c r="D293" s="21">
        <f>((D158+D212)*_xlfn.XLOOKUP(D$281,tons_kWh!$C$2:$BA$2,tons_kWh!$C13:$BA13))+(D239*tons_co2_per_therm*therms_per_mcf)</f>
        <v>0</v>
      </c>
      <c r="E293" s="21">
        <f>((E158+E212)*_xlfn.XLOOKUP(E$281,tons_kWh!$C$2:$BA$2,tons_kWh!$C13:$BA13))+(E239*tons_co2_per_therm*therms_per_mcf)</f>
        <v>0</v>
      </c>
      <c r="F293" s="21">
        <f>((F158+F212)*_xlfn.XLOOKUP(F$281,tons_kWh!$C$2:$BA$2,tons_kWh!$C13:$BA13))+(F239*tons_co2_per_therm*therms_per_mcf)</f>
        <v>0</v>
      </c>
      <c r="G293" s="21">
        <f>((G158+G212)*_xlfn.XLOOKUP(G$281,tons_kWh!$C$2:$BA$2,tons_kWh!$C13:$BA13))+(G239*tons_co2_per_therm*therms_per_mcf)</f>
        <v>0</v>
      </c>
      <c r="H293" s="21">
        <f>((H158+H212)*_xlfn.XLOOKUP(H$281,tons_kWh!$C$2:$BA$2,tons_kWh!$C13:$BA13))+(H239*tons_co2_per_therm*therms_per_mcf)</f>
        <v>0</v>
      </c>
      <c r="I293" s="21">
        <f>((I158+I212)*_xlfn.XLOOKUP(I$281,tons_kWh!$C$2:$BA$2,tons_kWh!$C13:$BA13))+(I239*tons_co2_per_therm*therms_per_mcf)</f>
        <v>0</v>
      </c>
      <c r="J293" s="21">
        <f>((J158+J212)*_xlfn.XLOOKUP(J$281,tons_kWh!$C$2:$BA$2,tons_kWh!$C13:$BA13))+(J239*tons_co2_per_therm*therms_per_mcf)</f>
        <v>0</v>
      </c>
      <c r="K293" s="21">
        <f>((K158+K212)*_xlfn.XLOOKUP(K$281,tons_kWh!$C$2:$BA$2,tons_kWh!$C13:$BA13))+(K239*tons_co2_per_therm*therms_per_mcf)</f>
        <v>0</v>
      </c>
      <c r="L293" s="21">
        <f>((L158+L212)*_xlfn.XLOOKUP(L$281,tons_kWh!$C$2:$BA$2,tons_kWh!$C13:$BA13))+(L239*tons_co2_per_therm*therms_per_mcf)</f>
        <v>0</v>
      </c>
      <c r="M293" s="21">
        <f>((M158+M212)*_xlfn.XLOOKUP(M$281,tons_kWh!$C$2:$BA$2,tons_kWh!$C13:$BA13))+(M239*tons_co2_per_therm*therms_per_mcf)</f>
        <v>0</v>
      </c>
      <c r="N293" s="21">
        <f>((N158+N212)*_xlfn.XLOOKUP(N$281,tons_kWh!$C$2:$BA$2,tons_kWh!$C13:$BA13))+(N239*tons_co2_per_therm*therms_per_mcf)</f>
        <v>0</v>
      </c>
      <c r="O293" s="21">
        <f>((O158+O212)*_xlfn.XLOOKUP(O$281,tons_kWh!$C$2:$BA$2,tons_kWh!$C13:$BA13))+(O239*tons_co2_per_therm*therms_per_mcf)</f>
        <v>0</v>
      </c>
      <c r="P293" s="21">
        <f>((P158+P212)*_xlfn.XLOOKUP(P$281,tons_kWh!$C$2:$BA$2,tons_kWh!$C13:$BA13))+(P239*tons_co2_per_therm*therms_per_mcf)</f>
        <v>0</v>
      </c>
      <c r="Q293" s="21">
        <f>((Q158+Q212)*_xlfn.XLOOKUP(Q$281,tons_kWh!$C$2:$BA$2,tons_kWh!$C13:$BA13))+(Q239*tons_co2_per_therm*therms_per_mcf)</f>
        <v>0</v>
      </c>
      <c r="R293" s="21">
        <f>((R158+R212)*_xlfn.XLOOKUP(R$281,tons_kWh!$C$2:$BA$2,tons_kWh!$C13:$BA13))+(R239*tons_co2_per_therm*therms_per_mcf)</f>
        <v>0</v>
      </c>
      <c r="S293" s="21">
        <f>((S158+S212)*_xlfn.XLOOKUP(S$281,tons_kWh!$C$2:$BA$2,tons_kWh!$C13:$BA13))+(S239*tons_co2_per_therm*therms_per_mcf)</f>
        <v>0</v>
      </c>
      <c r="T293" s="21">
        <f>((T158+T212)*_xlfn.XLOOKUP(T$281,tons_kWh!$C$2:$BA$2,tons_kWh!$C13:$BA13))+(T239*tons_co2_per_therm*therms_per_mcf)</f>
        <v>0</v>
      </c>
      <c r="U293" s="21">
        <f>((U158+U212)*_xlfn.XLOOKUP(U$281,tons_kWh!$C$2:$BA$2,tons_kWh!$C13:$BA13))+(U239*tons_co2_per_therm*therms_per_mcf)</f>
        <v>0</v>
      </c>
      <c r="V293" s="21">
        <f>((V158+V212)*_xlfn.XLOOKUP(V$281,tons_kWh!$C$2:$BA$2,tons_kWh!$C13:$BA13))+(V239*tons_co2_per_therm*therms_per_mcf)</f>
        <v>0</v>
      </c>
      <c r="W293" s="21">
        <f>((W158+W212)*_xlfn.XLOOKUP(W$281,tons_kWh!$C$2:$BA$2,tons_kWh!$C13:$BA13))+(W239*tons_co2_per_therm*therms_per_mcf)</f>
        <v>0</v>
      </c>
      <c r="X293" s="21">
        <f>((X158+X212)*_xlfn.XLOOKUP(X$281,tons_kWh!$C$2:$BA$2,tons_kWh!$C13:$BA13))+(X239*tons_co2_per_therm*therms_per_mcf)</f>
        <v>0</v>
      </c>
      <c r="Y293" s="21">
        <f>((Y158+Y212)*_xlfn.XLOOKUP(Y$281,tons_kWh!$C$2:$BA$2,tons_kWh!$C13:$BA13))+(Y239*tons_co2_per_therm*therms_per_mcf)</f>
        <v>0</v>
      </c>
      <c r="Z293" s="21">
        <f>((Z158+Z212)*_xlfn.XLOOKUP(Z$281,tons_kWh!$C$2:$BA$2,tons_kWh!$C13:$BA13))+(Z239*tons_co2_per_therm*therms_per_mcf)</f>
        <v>0</v>
      </c>
      <c r="AA293" s="21">
        <f>((AA158+AA212)*_xlfn.XLOOKUP(AA$281,tons_kWh!$C$2:$BA$2,tons_kWh!$C13:$BA13))+(AA239*tons_co2_per_therm*therms_per_mcf)</f>
        <v>0</v>
      </c>
      <c r="AB293" s="21">
        <f>((AB158+AB212)*_xlfn.XLOOKUP(AB$281,tons_kWh!$C$2:$BA$2,tons_kWh!$C13:$BA13))+(AB239*tons_co2_per_therm*therms_per_mcf)</f>
        <v>0</v>
      </c>
      <c r="AC293" s="21">
        <f>((AC158+AC212)*_xlfn.XLOOKUP(AC$281,tons_kWh!$C$2:$BA$2,tons_kWh!$C13:$BA13))+(AC239*tons_co2_per_therm*therms_per_mcf)</f>
        <v>0</v>
      </c>
      <c r="AD293" s="21">
        <f>((AD158+AD212)*_xlfn.XLOOKUP(AD$281,tons_kWh!$C$2:$BA$2,tons_kWh!$C13:$BA13))+(AD239*tons_co2_per_therm*therms_per_mcf)</f>
        <v>0</v>
      </c>
      <c r="AE293" s="21">
        <f>((AE158+AE212)*_xlfn.XLOOKUP(AE$281,tons_kWh!$C$2:$BA$2,tons_kWh!$C13:$BA13))+(AE239*tons_co2_per_therm*therms_per_mcf)</f>
        <v>0</v>
      </c>
      <c r="AF293" s="21">
        <f>((AF158+AF212)*_xlfn.XLOOKUP(AF$281,tons_kWh!$C$2:$BA$2,tons_kWh!$C13:$BA13))+(AF239*tons_co2_per_therm*therms_per_mcf)</f>
        <v>0</v>
      </c>
      <c r="AG293" s="21">
        <f>((AG158+AG212)*_xlfn.XLOOKUP(AG$281,tons_kWh!$C$2:$BA$2,tons_kWh!$C13:$BA13))+(AG239*tons_co2_per_therm*therms_per_mcf)</f>
        <v>0</v>
      </c>
      <c r="AH293" s="21">
        <f>((AH158+AH212)*_xlfn.XLOOKUP(AH$281,tons_kWh!$C$2:$BA$2,tons_kWh!$C13:$BA13))+(AH239*tons_co2_per_therm*therms_per_mcf)</f>
        <v>0</v>
      </c>
      <c r="AI293" s="21">
        <f>((AI158+AI212)*_xlfn.XLOOKUP(AI$281,tons_kWh!$C$2:$BA$2,tons_kWh!$C13:$BA13))+(AI239*tons_co2_per_therm*therms_per_mcf)</f>
        <v>0</v>
      </c>
      <c r="AJ293" s="21">
        <f>((AJ158+AJ212)*_xlfn.XLOOKUP(AJ$281,tons_kWh!$C$2:$BA$2,tons_kWh!$C13:$BA13))+(AJ239*tons_co2_per_therm*therms_per_mcf)</f>
        <v>0</v>
      </c>
      <c r="AK293" s="21">
        <f>((AK158+AK212)*_xlfn.XLOOKUP(AK$281,tons_kWh!$C$2:$BA$2,tons_kWh!$C13:$BA13))+(AK239*tons_co2_per_therm*therms_per_mcf)</f>
        <v>0</v>
      </c>
      <c r="AL293" s="21">
        <f>((AL158+AL212)*_xlfn.XLOOKUP(AL$281,tons_kWh!$C$2:$BA$2,tons_kWh!$C13:$BA13))+(AL239*tons_co2_per_therm*therms_per_mcf)</f>
        <v>0</v>
      </c>
      <c r="AM293" s="21">
        <f>((AM158+AM212)*_xlfn.XLOOKUP(AM$281,tons_kWh!$C$2:$BA$2,tons_kWh!$C13:$BA13))+(AM239*tons_co2_per_therm*therms_per_mcf)</f>
        <v>0</v>
      </c>
      <c r="AN293" s="21">
        <f>((AN158+AN212)*_xlfn.XLOOKUP(AN$281,tons_kWh!$C$2:$BA$2,tons_kWh!$C13:$BA13))+(AN239*tons_co2_per_therm*therms_per_mcf)</f>
        <v>0</v>
      </c>
      <c r="AO293" s="21">
        <f>((AO158+AO212)*_xlfn.XLOOKUP(AO$281,tons_kWh!$C$2:$BA$2,tons_kWh!$C13:$BA13))+(AO239*tons_co2_per_therm*therms_per_mcf)</f>
        <v>0</v>
      </c>
      <c r="AP293" s="21">
        <f>((AP158+AP212)*_xlfn.XLOOKUP(AP$281,tons_kWh!$C$2:$BA$2,tons_kWh!$C13:$BA13))+(AP239*tons_co2_per_therm*therms_per_mcf)</f>
        <v>0</v>
      </c>
      <c r="AQ293" s="21">
        <f>((AQ158+AQ212)*_xlfn.XLOOKUP(AQ$281,tons_kWh!$C$2:$BA$2,tons_kWh!$C13:$BA13))+(AQ239*tons_co2_per_therm*therms_per_mcf)</f>
        <v>0</v>
      </c>
      <c r="AR293" s="21">
        <f>((AR158+AR212)*_xlfn.XLOOKUP(AR$281,tons_kWh!$C$2:$BA$2,tons_kWh!$C13:$BA13))+(AR239*tons_co2_per_therm*therms_per_mcf)</f>
        <v>0</v>
      </c>
      <c r="AS293" s="21">
        <f>((AS158+AS212)*_xlfn.XLOOKUP(AS$281,tons_kWh!$C$2:$BA$2,tons_kWh!$C13:$BA13))+(AS239*tons_co2_per_therm*therms_per_mcf)</f>
        <v>0</v>
      </c>
      <c r="AT293" s="21">
        <f>((AT158+AT212)*_xlfn.XLOOKUP(AT$281,tons_kWh!$C$2:$BA$2,tons_kWh!$C13:$BA13))+(AT239*tons_co2_per_therm*therms_per_mcf)</f>
        <v>0</v>
      </c>
      <c r="AU293" s="21">
        <f>((AU158+AU212)*_xlfn.XLOOKUP(AU$281,tons_kWh!$C$2:$BA$2,tons_kWh!$C13:$BA13))+(AU239*tons_co2_per_therm*therms_per_mcf)</f>
        <v>0</v>
      </c>
      <c r="AV293" s="21">
        <f>((AV158+AV212)*_xlfn.XLOOKUP(AV$281,tons_kWh!$C$2:$BA$2,tons_kWh!$C13:$BA13))+(AV239*tons_co2_per_therm*therms_per_mcf)</f>
        <v>0</v>
      </c>
      <c r="AW293" s="21">
        <f>((AW158+AW212)*_xlfn.XLOOKUP(AW$281,tons_kWh!$C$2:$BA$2,tons_kWh!$C13:$BA13))+(AW239*tons_co2_per_therm*therms_per_mcf)</f>
        <v>0</v>
      </c>
      <c r="AX293" s="21">
        <f>((AX158+AX212)*_xlfn.XLOOKUP(AX$281,tons_kWh!$C$2:$BA$2,tons_kWh!$C13:$BA13))+(AX239*tons_co2_per_therm*therms_per_mcf)</f>
        <v>0</v>
      </c>
      <c r="AY293" s="21">
        <f>((AY158+AY212)*_xlfn.XLOOKUP(AY$281,tons_kWh!$C$2:$BA$2,tons_kWh!$C13:$BA13))+(AY239*tons_co2_per_therm*therms_per_mcf)</f>
        <v>0</v>
      </c>
      <c r="AZ293" s="21">
        <f>((AZ158+AZ212)*_xlfn.XLOOKUP(AZ$281,tons_kWh!$C$2:$BA$2,tons_kWh!$C13:$BA13))+(AZ239*tons_co2_per_therm*therms_per_mcf)</f>
        <v>0</v>
      </c>
      <c r="BA293" s="21">
        <f>((BA158+BA212)*_xlfn.XLOOKUP(BA$281,tons_kWh!$C$2:$BA$2,tons_kWh!$C13:$BA13))+(BA239*tons_co2_per_therm*therms_per_mcf)</f>
        <v>0</v>
      </c>
      <c r="BB293" s="21">
        <f t="shared" si="245"/>
        <v>0</v>
      </c>
    </row>
    <row r="294" spans="1:54">
      <c r="A294" s="456"/>
      <c r="B294" s="226">
        <v>2018</v>
      </c>
      <c r="C294" s="21">
        <f>((C159+C213)*_xlfn.XLOOKUP(C$281,tons_kWh!$C$2:$BA$2,tons_kWh!$C14:$BA14))+(C240*tons_co2_per_therm*therms_per_mcf)</f>
        <v>0</v>
      </c>
      <c r="D294" s="21">
        <f>((D159+D213)*_xlfn.XLOOKUP(D$281,tons_kWh!$C$2:$BA$2,tons_kWh!$C14:$BA14))+(D240*tons_co2_per_therm*therms_per_mcf)</f>
        <v>0</v>
      </c>
      <c r="E294" s="21">
        <f>((E159+E213)*_xlfn.XLOOKUP(E$281,tons_kWh!$C$2:$BA$2,tons_kWh!$C14:$BA14))+(E240*tons_co2_per_therm*therms_per_mcf)</f>
        <v>0</v>
      </c>
      <c r="F294" s="21">
        <f>((F159+F213)*_xlfn.XLOOKUP(F$281,tons_kWh!$C$2:$BA$2,tons_kWh!$C14:$BA14))+(F240*tons_co2_per_therm*therms_per_mcf)</f>
        <v>0</v>
      </c>
      <c r="G294" s="21">
        <f>((G159+G213)*_xlfn.XLOOKUP(G$281,tons_kWh!$C$2:$BA$2,tons_kWh!$C14:$BA14))+(G240*tons_co2_per_therm*therms_per_mcf)</f>
        <v>0</v>
      </c>
      <c r="H294" s="21">
        <f>((H159+H213)*_xlfn.XLOOKUP(H$281,tons_kWh!$C$2:$BA$2,tons_kWh!$C14:$BA14))+(H240*tons_co2_per_therm*therms_per_mcf)</f>
        <v>0</v>
      </c>
      <c r="I294" s="21">
        <f>((I159+I213)*_xlfn.XLOOKUP(I$281,tons_kWh!$C$2:$BA$2,tons_kWh!$C14:$BA14))+(I240*tons_co2_per_therm*therms_per_mcf)</f>
        <v>0</v>
      </c>
      <c r="J294" s="21">
        <f>((J159+J213)*_xlfn.XLOOKUP(J$281,tons_kWh!$C$2:$BA$2,tons_kWh!$C14:$BA14))+(J240*tons_co2_per_therm*therms_per_mcf)</f>
        <v>0</v>
      </c>
      <c r="K294" s="21">
        <f>((K159+K213)*_xlfn.XLOOKUP(K$281,tons_kWh!$C$2:$BA$2,tons_kWh!$C14:$BA14))+(K240*tons_co2_per_therm*therms_per_mcf)</f>
        <v>0</v>
      </c>
      <c r="L294" s="21">
        <f>((L159+L213)*_xlfn.XLOOKUP(L$281,tons_kWh!$C$2:$BA$2,tons_kWh!$C14:$BA14))+(L240*tons_co2_per_therm*therms_per_mcf)</f>
        <v>0</v>
      </c>
      <c r="M294" s="21">
        <f>((M159+M213)*_xlfn.XLOOKUP(M$281,tons_kWh!$C$2:$BA$2,tons_kWh!$C14:$BA14))+(M240*tons_co2_per_therm*therms_per_mcf)</f>
        <v>0</v>
      </c>
      <c r="N294" s="21">
        <f>((N159+N213)*_xlfn.XLOOKUP(N$281,tons_kWh!$C$2:$BA$2,tons_kWh!$C14:$BA14))+(N240*tons_co2_per_therm*therms_per_mcf)</f>
        <v>0</v>
      </c>
      <c r="O294" s="21">
        <f>((O159+O213)*_xlfn.XLOOKUP(O$281,tons_kWh!$C$2:$BA$2,tons_kWh!$C14:$BA14))+(O240*tons_co2_per_therm*therms_per_mcf)</f>
        <v>0</v>
      </c>
      <c r="P294" s="21">
        <f>((P159+P213)*_xlfn.XLOOKUP(P$281,tons_kWh!$C$2:$BA$2,tons_kWh!$C14:$BA14))+(P240*tons_co2_per_therm*therms_per_mcf)</f>
        <v>0</v>
      </c>
      <c r="Q294" s="21">
        <f>((Q159+Q213)*_xlfn.XLOOKUP(Q$281,tons_kWh!$C$2:$BA$2,tons_kWh!$C14:$BA14))+(Q240*tons_co2_per_therm*therms_per_mcf)</f>
        <v>0</v>
      </c>
      <c r="R294" s="21">
        <f>((R159+R213)*_xlfn.XLOOKUP(R$281,tons_kWh!$C$2:$BA$2,tons_kWh!$C14:$BA14))+(R240*tons_co2_per_therm*therms_per_mcf)</f>
        <v>0</v>
      </c>
      <c r="S294" s="21">
        <f>((S159+S213)*_xlfn.XLOOKUP(S$281,tons_kWh!$C$2:$BA$2,tons_kWh!$C14:$BA14))+(S240*tons_co2_per_therm*therms_per_mcf)</f>
        <v>0</v>
      </c>
      <c r="T294" s="21">
        <f>((T159+T213)*_xlfn.XLOOKUP(T$281,tons_kWh!$C$2:$BA$2,tons_kWh!$C14:$BA14))+(T240*tons_co2_per_therm*therms_per_mcf)</f>
        <v>0</v>
      </c>
      <c r="U294" s="21">
        <f>((U159+U213)*_xlfn.XLOOKUP(U$281,tons_kWh!$C$2:$BA$2,tons_kWh!$C14:$BA14))+(U240*tons_co2_per_therm*therms_per_mcf)</f>
        <v>0</v>
      </c>
      <c r="V294" s="21">
        <f>((V159+V213)*_xlfn.XLOOKUP(V$281,tons_kWh!$C$2:$BA$2,tons_kWh!$C14:$BA14))+(V240*tons_co2_per_therm*therms_per_mcf)</f>
        <v>0</v>
      </c>
      <c r="W294" s="21">
        <f>((W159+W213)*_xlfn.XLOOKUP(W$281,tons_kWh!$C$2:$BA$2,tons_kWh!$C14:$BA14))+(W240*tons_co2_per_therm*therms_per_mcf)</f>
        <v>0</v>
      </c>
      <c r="X294" s="21">
        <f>((X159+X213)*_xlfn.XLOOKUP(X$281,tons_kWh!$C$2:$BA$2,tons_kWh!$C14:$BA14))+(X240*tons_co2_per_therm*therms_per_mcf)</f>
        <v>0</v>
      </c>
      <c r="Y294" s="21">
        <f>((Y159+Y213)*_xlfn.XLOOKUP(Y$281,tons_kWh!$C$2:$BA$2,tons_kWh!$C14:$BA14))+(Y240*tons_co2_per_therm*therms_per_mcf)</f>
        <v>0</v>
      </c>
      <c r="Z294" s="21">
        <f>((Z159+Z213)*_xlfn.XLOOKUP(Z$281,tons_kWh!$C$2:$BA$2,tons_kWh!$C14:$BA14))+(Z240*tons_co2_per_therm*therms_per_mcf)</f>
        <v>0</v>
      </c>
      <c r="AA294" s="21">
        <f>((AA159+AA213)*_xlfn.XLOOKUP(AA$281,tons_kWh!$C$2:$BA$2,tons_kWh!$C14:$BA14))+(AA240*tons_co2_per_therm*therms_per_mcf)</f>
        <v>0</v>
      </c>
      <c r="AB294" s="21">
        <f>((AB159+AB213)*_xlfn.XLOOKUP(AB$281,tons_kWh!$C$2:$BA$2,tons_kWh!$C14:$BA14))+(AB240*tons_co2_per_therm*therms_per_mcf)</f>
        <v>0</v>
      </c>
      <c r="AC294" s="21">
        <f>((AC159+AC213)*_xlfn.XLOOKUP(AC$281,tons_kWh!$C$2:$BA$2,tons_kWh!$C14:$BA14))+(AC240*tons_co2_per_therm*therms_per_mcf)</f>
        <v>0</v>
      </c>
      <c r="AD294" s="21">
        <f>((AD159+AD213)*_xlfn.XLOOKUP(AD$281,tons_kWh!$C$2:$BA$2,tons_kWh!$C14:$BA14))+(AD240*tons_co2_per_therm*therms_per_mcf)</f>
        <v>0</v>
      </c>
      <c r="AE294" s="21">
        <f>((AE159+AE213)*_xlfn.XLOOKUP(AE$281,tons_kWh!$C$2:$BA$2,tons_kWh!$C14:$BA14))+(AE240*tons_co2_per_therm*therms_per_mcf)</f>
        <v>0</v>
      </c>
      <c r="AF294" s="21">
        <f>((AF159+AF213)*_xlfn.XLOOKUP(AF$281,tons_kWh!$C$2:$BA$2,tons_kWh!$C14:$BA14))+(AF240*tons_co2_per_therm*therms_per_mcf)</f>
        <v>0</v>
      </c>
      <c r="AG294" s="21">
        <f>((AG159+AG213)*_xlfn.XLOOKUP(AG$281,tons_kWh!$C$2:$BA$2,tons_kWh!$C14:$BA14))+(AG240*tons_co2_per_therm*therms_per_mcf)</f>
        <v>0</v>
      </c>
      <c r="AH294" s="21">
        <f>((AH159+AH213)*_xlfn.XLOOKUP(AH$281,tons_kWh!$C$2:$BA$2,tons_kWh!$C14:$BA14))+(AH240*tons_co2_per_therm*therms_per_mcf)</f>
        <v>0</v>
      </c>
      <c r="AI294" s="21">
        <f>((AI159+AI213)*_xlfn.XLOOKUP(AI$281,tons_kWh!$C$2:$BA$2,tons_kWh!$C14:$BA14))+(AI240*tons_co2_per_therm*therms_per_mcf)</f>
        <v>0</v>
      </c>
      <c r="AJ294" s="21">
        <f>((AJ159+AJ213)*_xlfn.XLOOKUP(AJ$281,tons_kWh!$C$2:$BA$2,tons_kWh!$C14:$BA14))+(AJ240*tons_co2_per_therm*therms_per_mcf)</f>
        <v>0</v>
      </c>
      <c r="AK294" s="21">
        <f>((AK159+AK213)*_xlfn.XLOOKUP(AK$281,tons_kWh!$C$2:$BA$2,tons_kWh!$C14:$BA14))+(AK240*tons_co2_per_therm*therms_per_mcf)</f>
        <v>0</v>
      </c>
      <c r="AL294" s="21">
        <f>((AL159+AL213)*_xlfn.XLOOKUP(AL$281,tons_kWh!$C$2:$BA$2,tons_kWh!$C14:$BA14))+(AL240*tons_co2_per_therm*therms_per_mcf)</f>
        <v>0</v>
      </c>
      <c r="AM294" s="21">
        <f>((AM159+AM213)*_xlfn.XLOOKUP(AM$281,tons_kWh!$C$2:$BA$2,tons_kWh!$C14:$BA14))+(AM240*tons_co2_per_therm*therms_per_mcf)</f>
        <v>0</v>
      </c>
      <c r="AN294" s="21">
        <f>((AN159+AN213)*_xlfn.XLOOKUP(AN$281,tons_kWh!$C$2:$BA$2,tons_kWh!$C14:$BA14))+(AN240*tons_co2_per_therm*therms_per_mcf)</f>
        <v>0</v>
      </c>
      <c r="AO294" s="21">
        <f>((AO159+AO213)*_xlfn.XLOOKUP(AO$281,tons_kWh!$C$2:$BA$2,tons_kWh!$C14:$BA14))+(AO240*tons_co2_per_therm*therms_per_mcf)</f>
        <v>0</v>
      </c>
      <c r="AP294" s="21">
        <f>((AP159+AP213)*_xlfn.XLOOKUP(AP$281,tons_kWh!$C$2:$BA$2,tons_kWh!$C14:$BA14))+(AP240*tons_co2_per_therm*therms_per_mcf)</f>
        <v>0</v>
      </c>
      <c r="AQ294" s="21">
        <f>((AQ159+AQ213)*_xlfn.XLOOKUP(AQ$281,tons_kWh!$C$2:$BA$2,tons_kWh!$C14:$BA14))+(AQ240*tons_co2_per_therm*therms_per_mcf)</f>
        <v>0</v>
      </c>
      <c r="AR294" s="21">
        <f>((AR159+AR213)*_xlfn.XLOOKUP(AR$281,tons_kWh!$C$2:$BA$2,tons_kWh!$C14:$BA14))+(AR240*tons_co2_per_therm*therms_per_mcf)</f>
        <v>0</v>
      </c>
      <c r="AS294" s="21">
        <f>((AS159+AS213)*_xlfn.XLOOKUP(AS$281,tons_kWh!$C$2:$BA$2,tons_kWh!$C14:$BA14))+(AS240*tons_co2_per_therm*therms_per_mcf)</f>
        <v>0</v>
      </c>
      <c r="AT294" s="21">
        <f>((AT159+AT213)*_xlfn.XLOOKUP(AT$281,tons_kWh!$C$2:$BA$2,tons_kWh!$C14:$BA14))+(AT240*tons_co2_per_therm*therms_per_mcf)</f>
        <v>0</v>
      </c>
      <c r="AU294" s="21">
        <f>((AU159+AU213)*_xlfn.XLOOKUP(AU$281,tons_kWh!$C$2:$BA$2,tons_kWh!$C14:$BA14))+(AU240*tons_co2_per_therm*therms_per_mcf)</f>
        <v>0</v>
      </c>
      <c r="AV294" s="21">
        <f>((AV159+AV213)*_xlfn.XLOOKUP(AV$281,tons_kWh!$C$2:$BA$2,tons_kWh!$C14:$BA14))+(AV240*tons_co2_per_therm*therms_per_mcf)</f>
        <v>0</v>
      </c>
      <c r="AW294" s="21">
        <f>((AW159+AW213)*_xlfn.XLOOKUP(AW$281,tons_kWh!$C$2:$BA$2,tons_kWh!$C14:$BA14))+(AW240*tons_co2_per_therm*therms_per_mcf)</f>
        <v>0</v>
      </c>
      <c r="AX294" s="21">
        <f>((AX159+AX213)*_xlfn.XLOOKUP(AX$281,tons_kWh!$C$2:$BA$2,tons_kWh!$C14:$BA14))+(AX240*tons_co2_per_therm*therms_per_mcf)</f>
        <v>0</v>
      </c>
      <c r="AY294" s="21">
        <f>((AY159+AY213)*_xlfn.XLOOKUP(AY$281,tons_kWh!$C$2:$BA$2,tons_kWh!$C14:$BA14))+(AY240*tons_co2_per_therm*therms_per_mcf)</f>
        <v>0</v>
      </c>
      <c r="AZ294" s="21">
        <f>((AZ159+AZ213)*_xlfn.XLOOKUP(AZ$281,tons_kWh!$C$2:$BA$2,tons_kWh!$C14:$BA14))+(AZ240*tons_co2_per_therm*therms_per_mcf)</f>
        <v>0</v>
      </c>
      <c r="BA294" s="21">
        <f>((BA159+BA213)*_xlfn.XLOOKUP(BA$281,tons_kWh!$C$2:$BA$2,tons_kWh!$C14:$BA14))+(BA240*tons_co2_per_therm*therms_per_mcf)</f>
        <v>0</v>
      </c>
      <c r="BB294" s="21">
        <f t="shared" si="245"/>
        <v>0</v>
      </c>
    </row>
    <row r="295" spans="1:54">
      <c r="A295" s="456"/>
      <c r="B295" s="228">
        <v>2019</v>
      </c>
      <c r="C295" s="21">
        <f>((C160+C214)*_xlfn.XLOOKUP(C$281,tons_kWh!$C$2:$BA$2,tons_kWh!$C15:$BA15))+(C241*tons_co2_per_therm*therms_per_mcf)</f>
        <v>0</v>
      </c>
      <c r="D295" s="21">
        <f>((D160+D214)*_xlfn.XLOOKUP(D$281,tons_kWh!$C$2:$BA$2,tons_kWh!$C15:$BA15))+(D241*tons_co2_per_therm*therms_per_mcf)</f>
        <v>0</v>
      </c>
      <c r="E295" s="21">
        <f>((E160+E214)*_xlfn.XLOOKUP(E$281,tons_kWh!$C$2:$BA$2,tons_kWh!$C15:$BA15))+(E241*tons_co2_per_therm*therms_per_mcf)</f>
        <v>0</v>
      </c>
      <c r="F295" s="21">
        <f>((F160+F214)*_xlfn.XLOOKUP(F$281,tons_kWh!$C$2:$BA$2,tons_kWh!$C15:$BA15))+(F241*tons_co2_per_therm*therms_per_mcf)</f>
        <v>0</v>
      </c>
      <c r="G295" s="21">
        <f>((G160+G214)*_xlfn.XLOOKUP(G$281,tons_kWh!$C$2:$BA$2,tons_kWh!$C15:$BA15))+(G241*tons_co2_per_therm*therms_per_mcf)</f>
        <v>0</v>
      </c>
      <c r="H295" s="21">
        <f>((H160+H214)*_xlfn.XLOOKUP(H$281,tons_kWh!$C$2:$BA$2,tons_kWh!$C15:$BA15))+(H241*tons_co2_per_therm*therms_per_mcf)</f>
        <v>0</v>
      </c>
      <c r="I295" s="21">
        <f>((I160+I214)*_xlfn.XLOOKUP(I$281,tons_kWh!$C$2:$BA$2,tons_kWh!$C15:$BA15))+(I241*tons_co2_per_therm*therms_per_mcf)</f>
        <v>0</v>
      </c>
      <c r="J295" s="21">
        <f>((J160+J214)*_xlfn.XLOOKUP(J$281,tons_kWh!$C$2:$BA$2,tons_kWh!$C15:$BA15))+(J241*tons_co2_per_therm*therms_per_mcf)</f>
        <v>0</v>
      </c>
      <c r="K295" s="21">
        <f>((K160+K214)*_xlfn.XLOOKUP(K$281,tons_kWh!$C$2:$BA$2,tons_kWh!$C15:$BA15))+(K241*tons_co2_per_therm*therms_per_mcf)</f>
        <v>0</v>
      </c>
      <c r="L295" s="21">
        <f>((L160+L214)*_xlfn.XLOOKUP(L$281,tons_kWh!$C$2:$BA$2,tons_kWh!$C15:$BA15))+(L241*tons_co2_per_therm*therms_per_mcf)</f>
        <v>0</v>
      </c>
      <c r="M295" s="21">
        <f>((M160+M214)*_xlfn.XLOOKUP(M$281,tons_kWh!$C$2:$BA$2,tons_kWh!$C15:$BA15))+(M241*tons_co2_per_therm*therms_per_mcf)</f>
        <v>0</v>
      </c>
      <c r="N295" s="21">
        <f>((N160+N214)*_xlfn.XLOOKUP(N$281,tons_kWh!$C$2:$BA$2,tons_kWh!$C15:$BA15))+(N241*tons_co2_per_therm*therms_per_mcf)</f>
        <v>0</v>
      </c>
      <c r="O295" s="21">
        <f>((O160+O214)*_xlfn.XLOOKUP(O$281,tons_kWh!$C$2:$BA$2,tons_kWh!$C15:$BA15))+(O241*tons_co2_per_therm*therms_per_mcf)</f>
        <v>0</v>
      </c>
      <c r="P295" s="21">
        <f>((P160+P214)*_xlfn.XLOOKUP(P$281,tons_kWh!$C$2:$BA$2,tons_kWh!$C15:$BA15))+(P241*tons_co2_per_therm*therms_per_mcf)</f>
        <v>0</v>
      </c>
      <c r="Q295" s="21">
        <f>((Q160+Q214)*_xlfn.XLOOKUP(Q$281,tons_kWh!$C$2:$BA$2,tons_kWh!$C15:$BA15))+(Q241*tons_co2_per_therm*therms_per_mcf)</f>
        <v>0</v>
      </c>
      <c r="R295" s="21">
        <f>((R160+R214)*_xlfn.XLOOKUP(R$281,tons_kWh!$C$2:$BA$2,tons_kWh!$C15:$BA15))+(R241*tons_co2_per_therm*therms_per_mcf)</f>
        <v>0</v>
      </c>
      <c r="S295" s="21">
        <f>((S160+S214)*_xlfn.XLOOKUP(S$281,tons_kWh!$C$2:$BA$2,tons_kWh!$C15:$BA15))+(S241*tons_co2_per_therm*therms_per_mcf)</f>
        <v>0</v>
      </c>
      <c r="T295" s="21">
        <f>((T160+T214)*_xlfn.XLOOKUP(T$281,tons_kWh!$C$2:$BA$2,tons_kWh!$C15:$BA15))+(T241*tons_co2_per_therm*therms_per_mcf)</f>
        <v>0</v>
      </c>
      <c r="U295" s="21">
        <f>((U160+U214)*_xlfn.XLOOKUP(U$281,tons_kWh!$C$2:$BA$2,tons_kWh!$C15:$BA15))+(U241*tons_co2_per_therm*therms_per_mcf)</f>
        <v>0</v>
      </c>
      <c r="V295" s="21">
        <f>((V160+V214)*_xlfn.XLOOKUP(V$281,tons_kWh!$C$2:$BA$2,tons_kWh!$C15:$BA15))+(V241*tons_co2_per_therm*therms_per_mcf)</f>
        <v>0</v>
      </c>
      <c r="W295" s="21">
        <f>((W160+W214)*_xlfn.XLOOKUP(W$281,tons_kWh!$C$2:$BA$2,tons_kWh!$C15:$BA15))+(W241*tons_co2_per_therm*therms_per_mcf)</f>
        <v>0</v>
      </c>
      <c r="X295" s="21">
        <f>((X160+X214)*_xlfn.XLOOKUP(X$281,tons_kWh!$C$2:$BA$2,tons_kWh!$C15:$BA15))+(X241*tons_co2_per_therm*therms_per_mcf)</f>
        <v>0</v>
      </c>
      <c r="Y295" s="21">
        <f>((Y160+Y214)*_xlfn.XLOOKUP(Y$281,tons_kWh!$C$2:$BA$2,tons_kWh!$C15:$BA15))+(Y241*tons_co2_per_therm*therms_per_mcf)</f>
        <v>0</v>
      </c>
      <c r="Z295" s="21">
        <f>((Z160+Z214)*_xlfn.XLOOKUP(Z$281,tons_kWh!$C$2:$BA$2,tons_kWh!$C15:$BA15))+(Z241*tons_co2_per_therm*therms_per_mcf)</f>
        <v>0</v>
      </c>
      <c r="AA295" s="21">
        <f>((AA160+AA214)*_xlfn.XLOOKUP(AA$281,tons_kWh!$C$2:$BA$2,tons_kWh!$C15:$BA15))+(AA241*tons_co2_per_therm*therms_per_mcf)</f>
        <v>0</v>
      </c>
      <c r="AB295" s="21">
        <f>((AB160+AB214)*_xlfn.XLOOKUP(AB$281,tons_kWh!$C$2:$BA$2,tons_kWh!$C15:$BA15))+(AB241*tons_co2_per_therm*therms_per_mcf)</f>
        <v>0</v>
      </c>
      <c r="AC295" s="21">
        <f>((AC160+AC214)*_xlfn.XLOOKUP(AC$281,tons_kWh!$C$2:$BA$2,tons_kWh!$C15:$BA15))+(AC241*tons_co2_per_therm*therms_per_mcf)</f>
        <v>0</v>
      </c>
      <c r="AD295" s="21">
        <f>((AD160+AD214)*_xlfn.XLOOKUP(AD$281,tons_kWh!$C$2:$BA$2,tons_kWh!$C15:$BA15))+(AD241*tons_co2_per_therm*therms_per_mcf)</f>
        <v>0</v>
      </c>
      <c r="AE295" s="21">
        <f>((AE160+AE214)*_xlfn.XLOOKUP(AE$281,tons_kWh!$C$2:$BA$2,tons_kWh!$C15:$BA15))+(AE241*tons_co2_per_therm*therms_per_mcf)</f>
        <v>0</v>
      </c>
      <c r="AF295" s="21">
        <f>((AF160+AF214)*_xlfn.XLOOKUP(AF$281,tons_kWh!$C$2:$BA$2,tons_kWh!$C15:$BA15))+(AF241*tons_co2_per_therm*therms_per_mcf)</f>
        <v>0</v>
      </c>
      <c r="AG295" s="21">
        <f>((AG160+AG214)*_xlfn.XLOOKUP(AG$281,tons_kWh!$C$2:$BA$2,tons_kWh!$C15:$BA15))+(AG241*tons_co2_per_therm*therms_per_mcf)</f>
        <v>0</v>
      </c>
      <c r="AH295" s="21">
        <f>((AH160+AH214)*_xlfn.XLOOKUP(AH$281,tons_kWh!$C$2:$BA$2,tons_kWh!$C15:$BA15))+(AH241*tons_co2_per_therm*therms_per_mcf)</f>
        <v>0</v>
      </c>
      <c r="AI295" s="21">
        <f>((AI160+AI214)*_xlfn.XLOOKUP(AI$281,tons_kWh!$C$2:$BA$2,tons_kWh!$C15:$BA15))+(AI241*tons_co2_per_therm*therms_per_mcf)</f>
        <v>0</v>
      </c>
      <c r="AJ295" s="21">
        <f>((AJ160+AJ214)*_xlfn.XLOOKUP(AJ$281,tons_kWh!$C$2:$BA$2,tons_kWh!$C15:$BA15))+(AJ241*tons_co2_per_therm*therms_per_mcf)</f>
        <v>0</v>
      </c>
      <c r="AK295" s="21">
        <f>((AK160+AK214)*_xlfn.XLOOKUP(AK$281,tons_kWh!$C$2:$BA$2,tons_kWh!$C15:$BA15))+(AK241*tons_co2_per_therm*therms_per_mcf)</f>
        <v>0</v>
      </c>
      <c r="AL295" s="21">
        <f>((AL160+AL214)*_xlfn.XLOOKUP(AL$281,tons_kWh!$C$2:$BA$2,tons_kWh!$C15:$BA15))+(AL241*tons_co2_per_therm*therms_per_mcf)</f>
        <v>0</v>
      </c>
      <c r="AM295" s="21">
        <f>((AM160+AM214)*_xlfn.XLOOKUP(AM$281,tons_kWh!$C$2:$BA$2,tons_kWh!$C15:$BA15))+(AM241*tons_co2_per_therm*therms_per_mcf)</f>
        <v>0</v>
      </c>
      <c r="AN295" s="21">
        <f>((AN160+AN214)*_xlfn.XLOOKUP(AN$281,tons_kWh!$C$2:$BA$2,tons_kWh!$C15:$BA15))+(AN241*tons_co2_per_therm*therms_per_mcf)</f>
        <v>0</v>
      </c>
      <c r="AO295" s="21">
        <f>((AO160+AO214)*_xlfn.XLOOKUP(AO$281,tons_kWh!$C$2:$BA$2,tons_kWh!$C15:$BA15))+(AO241*tons_co2_per_therm*therms_per_mcf)</f>
        <v>0</v>
      </c>
      <c r="AP295" s="21">
        <f>((AP160+AP214)*_xlfn.XLOOKUP(AP$281,tons_kWh!$C$2:$BA$2,tons_kWh!$C15:$BA15))+(AP241*tons_co2_per_therm*therms_per_mcf)</f>
        <v>0</v>
      </c>
      <c r="AQ295" s="21">
        <f>((AQ160+AQ214)*_xlfn.XLOOKUP(AQ$281,tons_kWh!$C$2:$BA$2,tons_kWh!$C15:$BA15))+(AQ241*tons_co2_per_therm*therms_per_mcf)</f>
        <v>0</v>
      </c>
      <c r="AR295" s="21">
        <f>((AR160+AR214)*_xlfn.XLOOKUP(AR$281,tons_kWh!$C$2:$BA$2,tons_kWh!$C15:$BA15))+(AR241*tons_co2_per_therm*therms_per_mcf)</f>
        <v>0</v>
      </c>
      <c r="AS295" s="21">
        <f>((AS160+AS214)*_xlfn.XLOOKUP(AS$281,tons_kWh!$C$2:$BA$2,tons_kWh!$C15:$BA15))+(AS241*tons_co2_per_therm*therms_per_mcf)</f>
        <v>0</v>
      </c>
      <c r="AT295" s="21">
        <f>((AT160+AT214)*_xlfn.XLOOKUP(AT$281,tons_kWh!$C$2:$BA$2,tons_kWh!$C15:$BA15))+(AT241*tons_co2_per_therm*therms_per_mcf)</f>
        <v>0</v>
      </c>
      <c r="AU295" s="21">
        <f>((AU160+AU214)*_xlfn.XLOOKUP(AU$281,tons_kWh!$C$2:$BA$2,tons_kWh!$C15:$BA15))+(AU241*tons_co2_per_therm*therms_per_mcf)</f>
        <v>0</v>
      </c>
      <c r="AV295" s="21">
        <f>((AV160+AV214)*_xlfn.XLOOKUP(AV$281,tons_kWh!$C$2:$BA$2,tons_kWh!$C15:$BA15))+(AV241*tons_co2_per_therm*therms_per_mcf)</f>
        <v>0</v>
      </c>
      <c r="AW295" s="21">
        <f>((AW160+AW214)*_xlfn.XLOOKUP(AW$281,tons_kWh!$C$2:$BA$2,tons_kWh!$C15:$BA15))+(AW241*tons_co2_per_therm*therms_per_mcf)</f>
        <v>0</v>
      </c>
      <c r="AX295" s="21">
        <f>((AX160+AX214)*_xlfn.XLOOKUP(AX$281,tons_kWh!$C$2:$BA$2,tons_kWh!$C15:$BA15))+(AX241*tons_co2_per_therm*therms_per_mcf)</f>
        <v>0</v>
      </c>
      <c r="AY295" s="21">
        <f>((AY160+AY214)*_xlfn.XLOOKUP(AY$281,tons_kWh!$C$2:$BA$2,tons_kWh!$C15:$BA15))+(AY241*tons_co2_per_therm*therms_per_mcf)</f>
        <v>0</v>
      </c>
      <c r="AZ295" s="21">
        <f>((AZ160+AZ214)*_xlfn.XLOOKUP(AZ$281,tons_kWh!$C$2:$BA$2,tons_kWh!$C15:$BA15))+(AZ241*tons_co2_per_therm*therms_per_mcf)</f>
        <v>0</v>
      </c>
      <c r="BA295" s="21">
        <f>((BA160+BA214)*_xlfn.XLOOKUP(BA$281,tons_kWh!$C$2:$BA$2,tons_kWh!$C15:$BA15))+(BA241*tons_co2_per_therm*therms_per_mcf)</f>
        <v>0</v>
      </c>
      <c r="BB295" s="21">
        <f t="shared" si="245"/>
        <v>0</v>
      </c>
    </row>
    <row r="296" spans="1:54">
      <c r="A296" s="456"/>
      <c r="B296" s="226">
        <v>2020</v>
      </c>
      <c r="C296" s="21">
        <f>((C161+C215)*_xlfn.XLOOKUP(C$281,tons_kWh!$C$2:$BA$2,tons_kWh!$C16:$BA16))+(C242*tons_co2_per_therm*therms_per_mcf)</f>
        <v>0</v>
      </c>
      <c r="D296" s="21">
        <f>((D161+D215)*_xlfn.XLOOKUP(D$281,tons_kWh!$C$2:$BA$2,tons_kWh!$C16:$BA16))+(D242*tons_co2_per_therm*therms_per_mcf)</f>
        <v>0</v>
      </c>
      <c r="E296" s="21">
        <f>((E161+E215)*_xlfn.XLOOKUP(E$281,tons_kWh!$C$2:$BA$2,tons_kWh!$C16:$BA16))+(E242*tons_co2_per_therm*therms_per_mcf)</f>
        <v>0</v>
      </c>
      <c r="F296" s="21">
        <f>((F161+F215)*_xlfn.XLOOKUP(F$281,tons_kWh!$C$2:$BA$2,tons_kWh!$C16:$BA16))+(F242*tons_co2_per_therm*therms_per_mcf)</f>
        <v>0</v>
      </c>
      <c r="G296" s="21">
        <f>((G161+G215)*_xlfn.XLOOKUP(G$281,tons_kWh!$C$2:$BA$2,tons_kWh!$C16:$BA16))+(G242*tons_co2_per_therm*therms_per_mcf)</f>
        <v>0</v>
      </c>
      <c r="H296" s="21">
        <f>((H161+H215)*_xlfn.XLOOKUP(H$281,tons_kWh!$C$2:$BA$2,tons_kWh!$C16:$BA16))+(H242*tons_co2_per_therm*therms_per_mcf)</f>
        <v>0</v>
      </c>
      <c r="I296" s="21">
        <f>((I161+I215)*_xlfn.XLOOKUP(I$281,tons_kWh!$C$2:$BA$2,tons_kWh!$C16:$BA16))+(I242*tons_co2_per_therm*therms_per_mcf)</f>
        <v>0</v>
      </c>
      <c r="J296" s="21">
        <f>((J161+J215)*_xlfn.XLOOKUP(J$281,tons_kWh!$C$2:$BA$2,tons_kWh!$C16:$BA16))+(J242*tons_co2_per_therm*therms_per_mcf)</f>
        <v>0</v>
      </c>
      <c r="K296" s="21">
        <f>((K161+K215)*_xlfn.XLOOKUP(K$281,tons_kWh!$C$2:$BA$2,tons_kWh!$C16:$BA16))+(K242*tons_co2_per_therm*therms_per_mcf)</f>
        <v>0</v>
      </c>
      <c r="L296" s="21">
        <f>((L161+L215)*_xlfn.XLOOKUP(L$281,tons_kWh!$C$2:$BA$2,tons_kWh!$C16:$BA16))+(L242*tons_co2_per_therm*therms_per_mcf)</f>
        <v>0</v>
      </c>
      <c r="M296" s="21">
        <f>((M161+M215)*_xlfn.XLOOKUP(M$281,tons_kWh!$C$2:$BA$2,tons_kWh!$C16:$BA16))+(M242*tons_co2_per_therm*therms_per_mcf)</f>
        <v>0</v>
      </c>
      <c r="N296" s="21">
        <f>((N161+N215)*_xlfn.XLOOKUP(N$281,tons_kWh!$C$2:$BA$2,tons_kWh!$C16:$BA16))+(N242*tons_co2_per_therm*therms_per_mcf)</f>
        <v>0</v>
      </c>
      <c r="O296" s="21">
        <f>((O161+O215)*_xlfn.XLOOKUP(O$281,tons_kWh!$C$2:$BA$2,tons_kWh!$C16:$BA16))+(O242*tons_co2_per_therm*therms_per_mcf)</f>
        <v>0</v>
      </c>
      <c r="P296" s="21">
        <f>((P161+P215)*_xlfn.XLOOKUP(P$281,tons_kWh!$C$2:$BA$2,tons_kWh!$C16:$BA16))+(P242*tons_co2_per_therm*therms_per_mcf)</f>
        <v>0</v>
      </c>
      <c r="Q296" s="21">
        <f>((Q161+Q215)*_xlfn.XLOOKUP(Q$281,tons_kWh!$C$2:$BA$2,tons_kWh!$C16:$BA16))+(Q242*tons_co2_per_therm*therms_per_mcf)</f>
        <v>0</v>
      </c>
      <c r="R296" s="21">
        <f>((R161+R215)*_xlfn.XLOOKUP(R$281,tons_kWh!$C$2:$BA$2,tons_kWh!$C16:$BA16))+(R242*tons_co2_per_therm*therms_per_mcf)</f>
        <v>0</v>
      </c>
      <c r="S296" s="21">
        <f>((S161+S215)*_xlfn.XLOOKUP(S$281,tons_kWh!$C$2:$BA$2,tons_kWh!$C16:$BA16))+(S242*tons_co2_per_therm*therms_per_mcf)</f>
        <v>0</v>
      </c>
      <c r="T296" s="21">
        <f>((T161+T215)*_xlfn.XLOOKUP(T$281,tons_kWh!$C$2:$BA$2,tons_kWh!$C16:$BA16))+(T242*tons_co2_per_therm*therms_per_mcf)</f>
        <v>0</v>
      </c>
      <c r="U296" s="21">
        <f>((U161+U215)*_xlfn.XLOOKUP(U$281,tons_kWh!$C$2:$BA$2,tons_kWh!$C16:$BA16))+(U242*tons_co2_per_therm*therms_per_mcf)</f>
        <v>0</v>
      </c>
      <c r="V296" s="21">
        <f>((V161+V215)*_xlfn.XLOOKUP(V$281,tons_kWh!$C$2:$BA$2,tons_kWh!$C16:$BA16))+(V242*tons_co2_per_therm*therms_per_mcf)</f>
        <v>0</v>
      </c>
      <c r="W296" s="21">
        <f>((W161+W215)*_xlfn.XLOOKUP(W$281,tons_kWh!$C$2:$BA$2,tons_kWh!$C16:$BA16))+(W242*tons_co2_per_therm*therms_per_mcf)</f>
        <v>0</v>
      </c>
      <c r="X296" s="21">
        <f>((X161+X215)*_xlfn.XLOOKUP(X$281,tons_kWh!$C$2:$BA$2,tons_kWh!$C16:$BA16))+(X242*tons_co2_per_therm*therms_per_mcf)</f>
        <v>0</v>
      </c>
      <c r="Y296" s="21">
        <f>((Y161+Y215)*_xlfn.XLOOKUP(Y$281,tons_kWh!$C$2:$BA$2,tons_kWh!$C16:$BA16))+(Y242*tons_co2_per_therm*therms_per_mcf)</f>
        <v>0</v>
      </c>
      <c r="Z296" s="21">
        <f>((Z161+Z215)*_xlfn.XLOOKUP(Z$281,tons_kWh!$C$2:$BA$2,tons_kWh!$C16:$BA16))+(Z242*tons_co2_per_therm*therms_per_mcf)</f>
        <v>0</v>
      </c>
      <c r="AA296" s="21">
        <f>((AA161+AA215)*_xlfn.XLOOKUP(AA$281,tons_kWh!$C$2:$BA$2,tons_kWh!$C16:$BA16))+(AA242*tons_co2_per_therm*therms_per_mcf)</f>
        <v>0</v>
      </c>
      <c r="AB296" s="21">
        <f>((AB161+AB215)*_xlfn.XLOOKUP(AB$281,tons_kWh!$C$2:$BA$2,tons_kWh!$C16:$BA16))+(AB242*tons_co2_per_therm*therms_per_mcf)</f>
        <v>0</v>
      </c>
      <c r="AC296" s="21">
        <f>((AC161+AC215)*_xlfn.XLOOKUP(AC$281,tons_kWh!$C$2:$BA$2,tons_kWh!$C16:$BA16))+(AC242*tons_co2_per_therm*therms_per_mcf)</f>
        <v>0</v>
      </c>
      <c r="AD296" s="21">
        <f>((AD161+AD215)*_xlfn.XLOOKUP(AD$281,tons_kWh!$C$2:$BA$2,tons_kWh!$C16:$BA16))+(AD242*tons_co2_per_therm*therms_per_mcf)</f>
        <v>0</v>
      </c>
      <c r="AE296" s="21">
        <f>((AE161+AE215)*_xlfn.XLOOKUP(AE$281,tons_kWh!$C$2:$BA$2,tons_kWh!$C16:$BA16))+(AE242*tons_co2_per_therm*therms_per_mcf)</f>
        <v>0</v>
      </c>
      <c r="AF296" s="21">
        <f>((AF161+AF215)*_xlfn.XLOOKUP(AF$281,tons_kWh!$C$2:$BA$2,tons_kWh!$C16:$BA16))+(AF242*tons_co2_per_therm*therms_per_mcf)</f>
        <v>0</v>
      </c>
      <c r="AG296" s="21">
        <f>((AG161+AG215)*_xlfn.XLOOKUP(AG$281,tons_kWh!$C$2:$BA$2,tons_kWh!$C16:$BA16))+(AG242*tons_co2_per_therm*therms_per_mcf)</f>
        <v>0</v>
      </c>
      <c r="AH296" s="21">
        <f>((AH161+AH215)*_xlfn.XLOOKUP(AH$281,tons_kWh!$C$2:$BA$2,tons_kWh!$C16:$BA16))+(AH242*tons_co2_per_therm*therms_per_mcf)</f>
        <v>0</v>
      </c>
      <c r="AI296" s="21">
        <f>((AI161+AI215)*_xlfn.XLOOKUP(AI$281,tons_kWh!$C$2:$BA$2,tons_kWh!$C16:$BA16))+(AI242*tons_co2_per_therm*therms_per_mcf)</f>
        <v>0</v>
      </c>
      <c r="AJ296" s="21">
        <f>((AJ161+AJ215)*_xlfn.XLOOKUP(AJ$281,tons_kWh!$C$2:$BA$2,tons_kWh!$C16:$BA16))+(AJ242*tons_co2_per_therm*therms_per_mcf)</f>
        <v>0</v>
      </c>
      <c r="AK296" s="21">
        <f>((AK161+AK215)*_xlfn.XLOOKUP(AK$281,tons_kWh!$C$2:$BA$2,tons_kWh!$C16:$BA16))+(AK242*tons_co2_per_therm*therms_per_mcf)</f>
        <v>0</v>
      </c>
      <c r="AL296" s="21">
        <f>((AL161+AL215)*_xlfn.XLOOKUP(AL$281,tons_kWh!$C$2:$BA$2,tons_kWh!$C16:$BA16))+(AL242*tons_co2_per_therm*therms_per_mcf)</f>
        <v>0</v>
      </c>
      <c r="AM296" s="21">
        <f>((AM161+AM215)*_xlfn.XLOOKUP(AM$281,tons_kWh!$C$2:$BA$2,tons_kWh!$C16:$BA16))+(AM242*tons_co2_per_therm*therms_per_mcf)</f>
        <v>0</v>
      </c>
      <c r="AN296" s="21">
        <f>((AN161+AN215)*_xlfn.XLOOKUP(AN$281,tons_kWh!$C$2:$BA$2,tons_kWh!$C16:$BA16))+(AN242*tons_co2_per_therm*therms_per_mcf)</f>
        <v>0</v>
      </c>
      <c r="AO296" s="21">
        <f>((AO161+AO215)*_xlfn.XLOOKUP(AO$281,tons_kWh!$C$2:$BA$2,tons_kWh!$C16:$BA16))+(AO242*tons_co2_per_therm*therms_per_mcf)</f>
        <v>0</v>
      </c>
      <c r="AP296" s="21">
        <f>((AP161+AP215)*_xlfn.XLOOKUP(AP$281,tons_kWh!$C$2:$BA$2,tons_kWh!$C16:$BA16))+(AP242*tons_co2_per_therm*therms_per_mcf)</f>
        <v>0</v>
      </c>
      <c r="AQ296" s="21">
        <f>((AQ161+AQ215)*_xlfn.XLOOKUP(AQ$281,tons_kWh!$C$2:$BA$2,tons_kWh!$C16:$BA16))+(AQ242*tons_co2_per_therm*therms_per_mcf)</f>
        <v>0</v>
      </c>
      <c r="AR296" s="21">
        <f>((AR161+AR215)*_xlfn.XLOOKUP(AR$281,tons_kWh!$C$2:$BA$2,tons_kWh!$C16:$BA16))+(AR242*tons_co2_per_therm*therms_per_mcf)</f>
        <v>0</v>
      </c>
      <c r="AS296" s="21">
        <f>((AS161+AS215)*_xlfn.XLOOKUP(AS$281,tons_kWh!$C$2:$BA$2,tons_kWh!$C16:$BA16))+(AS242*tons_co2_per_therm*therms_per_mcf)</f>
        <v>0</v>
      </c>
      <c r="AT296" s="21">
        <f>((AT161+AT215)*_xlfn.XLOOKUP(AT$281,tons_kWh!$C$2:$BA$2,tons_kWh!$C16:$BA16))+(AT242*tons_co2_per_therm*therms_per_mcf)</f>
        <v>0</v>
      </c>
      <c r="AU296" s="21">
        <f>((AU161+AU215)*_xlfn.XLOOKUP(AU$281,tons_kWh!$C$2:$BA$2,tons_kWh!$C16:$BA16))+(AU242*tons_co2_per_therm*therms_per_mcf)</f>
        <v>0</v>
      </c>
      <c r="AV296" s="21">
        <f>((AV161+AV215)*_xlfn.XLOOKUP(AV$281,tons_kWh!$C$2:$BA$2,tons_kWh!$C16:$BA16))+(AV242*tons_co2_per_therm*therms_per_mcf)</f>
        <v>0</v>
      </c>
      <c r="AW296" s="21">
        <f>((AW161+AW215)*_xlfn.XLOOKUP(AW$281,tons_kWh!$C$2:$BA$2,tons_kWh!$C16:$BA16))+(AW242*tons_co2_per_therm*therms_per_mcf)</f>
        <v>0</v>
      </c>
      <c r="AX296" s="21">
        <f>((AX161+AX215)*_xlfn.XLOOKUP(AX$281,tons_kWh!$C$2:$BA$2,tons_kWh!$C16:$BA16))+(AX242*tons_co2_per_therm*therms_per_mcf)</f>
        <v>0</v>
      </c>
      <c r="AY296" s="21">
        <f>((AY161+AY215)*_xlfn.XLOOKUP(AY$281,tons_kWh!$C$2:$BA$2,tons_kWh!$C16:$BA16))+(AY242*tons_co2_per_therm*therms_per_mcf)</f>
        <v>0</v>
      </c>
      <c r="AZ296" s="21">
        <f>((AZ161+AZ215)*_xlfn.XLOOKUP(AZ$281,tons_kWh!$C$2:$BA$2,tons_kWh!$C16:$BA16))+(AZ242*tons_co2_per_therm*therms_per_mcf)</f>
        <v>0</v>
      </c>
      <c r="BA296" s="21">
        <f>((BA161+BA215)*_xlfn.XLOOKUP(BA$281,tons_kWh!$C$2:$BA$2,tons_kWh!$C16:$BA16))+(BA242*tons_co2_per_therm*therms_per_mcf)</f>
        <v>0</v>
      </c>
      <c r="BB296" s="21">
        <f t="shared" si="245"/>
        <v>0</v>
      </c>
    </row>
    <row r="297" spans="1:54">
      <c r="A297" s="456"/>
      <c r="B297" s="228">
        <v>2021</v>
      </c>
      <c r="C297" s="21">
        <f>((C162+C216)*_xlfn.XLOOKUP(C$281,tons_kWh!$C$2:$BA$2,tons_kWh!$C17:$BA17))+(C243*tons_co2_per_therm*therms_per_mcf)</f>
        <v>0</v>
      </c>
      <c r="D297" s="21">
        <f>((D162+D216)*_xlfn.XLOOKUP(D$281,tons_kWh!$C$2:$BA$2,tons_kWh!$C17:$BA17))+(D243*tons_co2_per_therm*therms_per_mcf)</f>
        <v>0</v>
      </c>
      <c r="E297" s="21">
        <f>((E162+E216)*_xlfn.XLOOKUP(E$281,tons_kWh!$C$2:$BA$2,tons_kWh!$C17:$BA17))+(E243*tons_co2_per_therm*therms_per_mcf)</f>
        <v>0</v>
      </c>
      <c r="F297" s="21">
        <f>((F162+F216)*_xlfn.XLOOKUP(F$281,tons_kWh!$C$2:$BA$2,tons_kWh!$C17:$BA17))+(F243*tons_co2_per_therm*therms_per_mcf)</f>
        <v>0</v>
      </c>
      <c r="G297" s="21">
        <f>((G162+G216)*_xlfn.XLOOKUP(G$281,tons_kWh!$C$2:$BA$2,tons_kWh!$C17:$BA17))+(G243*tons_co2_per_therm*therms_per_mcf)</f>
        <v>0</v>
      </c>
      <c r="H297" s="21">
        <f>((H162+H216)*_xlfn.XLOOKUP(H$281,tons_kWh!$C$2:$BA$2,tons_kWh!$C17:$BA17))+(H243*tons_co2_per_therm*therms_per_mcf)</f>
        <v>0</v>
      </c>
      <c r="I297" s="21">
        <f>((I162+I216)*_xlfn.XLOOKUP(I$281,tons_kWh!$C$2:$BA$2,tons_kWh!$C17:$BA17))+(I243*tons_co2_per_therm*therms_per_mcf)</f>
        <v>0</v>
      </c>
      <c r="J297" s="21">
        <f>((J162+J216)*_xlfn.XLOOKUP(J$281,tons_kWh!$C$2:$BA$2,tons_kWh!$C17:$BA17))+(J243*tons_co2_per_therm*therms_per_mcf)</f>
        <v>0</v>
      </c>
      <c r="K297" s="21">
        <f>((K162+K216)*_xlfn.XLOOKUP(K$281,tons_kWh!$C$2:$BA$2,tons_kWh!$C17:$BA17))+(K243*tons_co2_per_therm*therms_per_mcf)</f>
        <v>0</v>
      </c>
      <c r="L297" s="21">
        <f>((L162+L216)*_xlfn.XLOOKUP(L$281,tons_kWh!$C$2:$BA$2,tons_kWh!$C17:$BA17))+(L243*tons_co2_per_therm*therms_per_mcf)</f>
        <v>0</v>
      </c>
      <c r="M297" s="21">
        <f>((M162+M216)*_xlfn.XLOOKUP(M$281,tons_kWh!$C$2:$BA$2,tons_kWh!$C17:$BA17))+(M243*tons_co2_per_therm*therms_per_mcf)</f>
        <v>0</v>
      </c>
      <c r="N297" s="21">
        <f>((N162+N216)*_xlfn.XLOOKUP(N$281,tons_kWh!$C$2:$BA$2,tons_kWh!$C17:$BA17))+(N243*tons_co2_per_therm*therms_per_mcf)</f>
        <v>0</v>
      </c>
      <c r="O297" s="21">
        <f>((O162+O216)*_xlfn.XLOOKUP(O$281,tons_kWh!$C$2:$BA$2,tons_kWh!$C17:$BA17))+(O243*tons_co2_per_therm*therms_per_mcf)</f>
        <v>0</v>
      </c>
      <c r="P297" s="21">
        <f>((P162+P216)*_xlfn.XLOOKUP(P$281,tons_kWh!$C$2:$BA$2,tons_kWh!$C17:$BA17))+(P243*tons_co2_per_therm*therms_per_mcf)</f>
        <v>0</v>
      </c>
      <c r="Q297" s="21">
        <f>((Q162+Q216)*_xlfn.XLOOKUP(Q$281,tons_kWh!$C$2:$BA$2,tons_kWh!$C17:$BA17))+(Q243*tons_co2_per_therm*therms_per_mcf)</f>
        <v>0</v>
      </c>
      <c r="R297" s="21">
        <f>((R162+R216)*_xlfn.XLOOKUP(R$281,tons_kWh!$C$2:$BA$2,tons_kWh!$C17:$BA17))+(R243*tons_co2_per_therm*therms_per_mcf)</f>
        <v>0</v>
      </c>
      <c r="S297" s="21">
        <f>((S162+S216)*_xlfn.XLOOKUP(S$281,tons_kWh!$C$2:$BA$2,tons_kWh!$C17:$BA17))+(S243*tons_co2_per_therm*therms_per_mcf)</f>
        <v>0</v>
      </c>
      <c r="T297" s="21">
        <f>((T162+T216)*_xlfn.XLOOKUP(T$281,tons_kWh!$C$2:$BA$2,tons_kWh!$C17:$BA17))+(T243*tons_co2_per_therm*therms_per_mcf)</f>
        <v>0</v>
      </c>
      <c r="U297" s="21">
        <f>((U162+U216)*_xlfn.XLOOKUP(U$281,tons_kWh!$C$2:$BA$2,tons_kWh!$C17:$BA17))+(U243*tons_co2_per_therm*therms_per_mcf)</f>
        <v>0</v>
      </c>
      <c r="V297" s="21">
        <f>((V162+V216)*_xlfn.XLOOKUP(V$281,tons_kWh!$C$2:$BA$2,tons_kWh!$C17:$BA17))+(V243*tons_co2_per_therm*therms_per_mcf)</f>
        <v>0</v>
      </c>
      <c r="W297" s="21">
        <f>((W162+W216)*_xlfn.XLOOKUP(W$281,tons_kWh!$C$2:$BA$2,tons_kWh!$C17:$BA17))+(W243*tons_co2_per_therm*therms_per_mcf)</f>
        <v>0</v>
      </c>
      <c r="X297" s="21">
        <f>((X162+X216)*_xlfn.XLOOKUP(X$281,tons_kWh!$C$2:$BA$2,tons_kWh!$C17:$BA17))+(X243*tons_co2_per_therm*therms_per_mcf)</f>
        <v>0</v>
      </c>
      <c r="Y297" s="21">
        <f>((Y162+Y216)*_xlfn.XLOOKUP(Y$281,tons_kWh!$C$2:$BA$2,tons_kWh!$C17:$BA17))+(Y243*tons_co2_per_therm*therms_per_mcf)</f>
        <v>0</v>
      </c>
      <c r="Z297" s="21">
        <f>((Z162+Z216)*_xlfn.XLOOKUP(Z$281,tons_kWh!$C$2:$BA$2,tons_kWh!$C17:$BA17))+(Z243*tons_co2_per_therm*therms_per_mcf)</f>
        <v>0</v>
      </c>
      <c r="AA297" s="21">
        <f>((AA162+AA216)*_xlfn.XLOOKUP(AA$281,tons_kWh!$C$2:$BA$2,tons_kWh!$C17:$BA17))+(AA243*tons_co2_per_therm*therms_per_mcf)</f>
        <v>0</v>
      </c>
      <c r="AB297" s="21">
        <f>((AB162+AB216)*_xlfn.XLOOKUP(AB$281,tons_kWh!$C$2:$BA$2,tons_kWh!$C17:$BA17))+(AB243*tons_co2_per_therm*therms_per_mcf)</f>
        <v>0</v>
      </c>
      <c r="AC297" s="21">
        <f>((AC162+AC216)*_xlfn.XLOOKUP(AC$281,tons_kWh!$C$2:$BA$2,tons_kWh!$C17:$BA17))+(AC243*tons_co2_per_therm*therms_per_mcf)</f>
        <v>0</v>
      </c>
      <c r="AD297" s="21">
        <f>((AD162+AD216)*_xlfn.XLOOKUP(AD$281,tons_kWh!$C$2:$BA$2,tons_kWh!$C17:$BA17))+(AD243*tons_co2_per_therm*therms_per_mcf)</f>
        <v>0</v>
      </c>
      <c r="AE297" s="21">
        <f>((AE162+AE216)*_xlfn.XLOOKUP(AE$281,tons_kWh!$C$2:$BA$2,tons_kWh!$C17:$BA17))+(AE243*tons_co2_per_therm*therms_per_mcf)</f>
        <v>0</v>
      </c>
      <c r="AF297" s="21">
        <f>((AF162+AF216)*_xlfn.XLOOKUP(AF$281,tons_kWh!$C$2:$BA$2,tons_kWh!$C17:$BA17))+(AF243*tons_co2_per_therm*therms_per_mcf)</f>
        <v>0</v>
      </c>
      <c r="AG297" s="21">
        <f>((AG162+AG216)*_xlfn.XLOOKUP(AG$281,tons_kWh!$C$2:$BA$2,tons_kWh!$C17:$BA17))+(AG243*tons_co2_per_therm*therms_per_mcf)</f>
        <v>0</v>
      </c>
      <c r="AH297" s="21">
        <f>((AH162+AH216)*_xlfn.XLOOKUP(AH$281,tons_kWh!$C$2:$BA$2,tons_kWh!$C17:$BA17))+(AH243*tons_co2_per_therm*therms_per_mcf)</f>
        <v>0</v>
      </c>
      <c r="AI297" s="21">
        <f>((AI162+AI216)*_xlfn.XLOOKUP(AI$281,tons_kWh!$C$2:$BA$2,tons_kWh!$C17:$BA17))+(AI243*tons_co2_per_therm*therms_per_mcf)</f>
        <v>0</v>
      </c>
      <c r="AJ297" s="21">
        <f>((AJ162+AJ216)*_xlfn.XLOOKUP(AJ$281,tons_kWh!$C$2:$BA$2,tons_kWh!$C17:$BA17))+(AJ243*tons_co2_per_therm*therms_per_mcf)</f>
        <v>0</v>
      </c>
      <c r="AK297" s="21">
        <f>((AK162+AK216)*_xlfn.XLOOKUP(AK$281,tons_kWh!$C$2:$BA$2,tons_kWh!$C17:$BA17))+(AK243*tons_co2_per_therm*therms_per_mcf)</f>
        <v>0</v>
      </c>
      <c r="AL297" s="21">
        <f>((AL162+AL216)*_xlfn.XLOOKUP(AL$281,tons_kWh!$C$2:$BA$2,tons_kWh!$C17:$BA17))+(AL243*tons_co2_per_therm*therms_per_mcf)</f>
        <v>0</v>
      </c>
      <c r="AM297" s="21">
        <f>((AM162+AM216)*_xlfn.XLOOKUP(AM$281,tons_kWh!$C$2:$BA$2,tons_kWh!$C17:$BA17))+(AM243*tons_co2_per_therm*therms_per_mcf)</f>
        <v>0</v>
      </c>
      <c r="AN297" s="21">
        <f>((AN162+AN216)*_xlfn.XLOOKUP(AN$281,tons_kWh!$C$2:$BA$2,tons_kWh!$C17:$BA17))+(AN243*tons_co2_per_therm*therms_per_mcf)</f>
        <v>0</v>
      </c>
      <c r="AO297" s="21">
        <f>((AO162+AO216)*_xlfn.XLOOKUP(AO$281,tons_kWh!$C$2:$BA$2,tons_kWh!$C17:$BA17))+(AO243*tons_co2_per_therm*therms_per_mcf)</f>
        <v>0</v>
      </c>
      <c r="AP297" s="21">
        <f>((AP162+AP216)*_xlfn.XLOOKUP(AP$281,tons_kWh!$C$2:$BA$2,tons_kWh!$C17:$BA17))+(AP243*tons_co2_per_therm*therms_per_mcf)</f>
        <v>0</v>
      </c>
      <c r="AQ297" s="21">
        <f>((AQ162+AQ216)*_xlfn.XLOOKUP(AQ$281,tons_kWh!$C$2:$BA$2,tons_kWh!$C17:$BA17))+(AQ243*tons_co2_per_therm*therms_per_mcf)</f>
        <v>0</v>
      </c>
      <c r="AR297" s="21">
        <f>((AR162+AR216)*_xlfn.XLOOKUP(AR$281,tons_kWh!$C$2:$BA$2,tons_kWh!$C17:$BA17))+(AR243*tons_co2_per_therm*therms_per_mcf)</f>
        <v>0</v>
      </c>
      <c r="AS297" s="21">
        <f>((AS162+AS216)*_xlfn.XLOOKUP(AS$281,tons_kWh!$C$2:$BA$2,tons_kWh!$C17:$BA17))+(AS243*tons_co2_per_therm*therms_per_mcf)</f>
        <v>0</v>
      </c>
      <c r="AT297" s="21">
        <f>((AT162+AT216)*_xlfn.XLOOKUP(AT$281,tons_kWh!$C$2:$BA$2,tons_kWh!$C17:$BA17))+(AT243*tons_co2_per_therm*therms_per_mcf)</f>
        <v>0</v>
      </c>
      <c r="AU297" s="21">
        <f>((AU162+AU216)*_xlfn.XLOOKUP(AU$281,tons_kWh!$C$2:$BA$2,tons_kWh!$C17:$BA17))+(AU243*tons_co2_per_therm*therms_per_mcf)</f>
        <v>0</v>
      </c>
      <c r="AV297" s="21">
        <f>((AV162+AV216)*_xlfn.XLOOKUP(AV$281,tons_kWh!$C$2:$BA$2,tons_kWh!$C17:$BA17))+(AV243*tons_co2_per_therm*therms_per_mcf)</f>
        <v>0</v>
      </c>
      <c r="AW297" s="21">
        <f>((AW162+AW216)*_xlfn.XLOOKUP(AW$281,tons_kWh!$C$2:$BA$2,tons_kWh!$C17:$BA17))+(AW243*tons_co2_per_therm*therms_per_mcf)</f>
        <v>0</v>
      </c>
      <c r="AX297" s="21">
        <f>((AX162+AX216)*_xlfn.XLOOKUP(AX$281,tons_kWh!$C$2:$BA$2,tons_kWh!$C17:$BA17))+(AX243*tons_co2_per_therm*therms_per_mcf)</f>
        <v>0</v>
      </c>
      <c r="AY297" s="21">
        <f>((AY162+AY216)*_xlfn.XLOOKUP(AY$281,tons_kWh!$C$2:$BA$2,tons_kWh!$C17:$BA17))+(AY243*tons_co2_per_therm*therms_per_mcf)</f>
        <v>0</v>
      </c>
      <c r="AZ297" s="21">
        <f>((AZ162+AZ216)*_xlfn.XLOOKUP(AZ$281,tons_kWh!$C$2:$BA$2,tons_kWh!$C17:$BA17))+(AZ243*tons_co2_per_therm*therms_per_mcf)</f>
        <v>0</v>
      </c>
      <c r="BA297" s="21">
        <f>((BA162+BA216)*_xlfn.XLOOKUP(BA$281,tons_kWh!$C$2:$BA$2,tons_kWh!$C17:$BA17))+(BA243*tons_co2_per_therm*therms_per_mcf)</f>
        <v>0</v>
      </c>
      <c r="BB297" s="21">
        <f t="shared" si="245"/>
        <v>0</v>
      </c>
    </row>
    <row r="298" spans="1:54">
      <c r="A298" s="456"/>
      <c r="B298" s="226">
        <v>2022</v>
      </c>
      <c r="C298" s="21">
        <f>((C163+C217)*_xlfn.XLOOKUP(C$281,tons_kWh!$C$2:$BA$2,tons_kWh!$C18:$BA18))+(C244*tons_co2_per_therm*therms_per_mcf)</f>
        <v>0</v>
      </c>
      <c r="D298" s="21">
        <f>((D163+D217)*_xlfn.XLOOKUP(D$281,tons_kWh!$C$2:$BA$2,tons_kWh!$C18:$BA18))+(D244*tons_co2_per_therm*therms_per_mcf)</f>
        <v>0</v>
      </c>
      <c r="E298" s="21">
        <f>((E163+E217)*_xlfn.XLOOKUP(E$281,tons_kWh!$C$2:$BA$2,tons_kWh!$C18:$BA18))+(E244*tons_co2_per_therm*therms_per_mcf)</f>
        <v>0</v>
      </c>
      <c r="F298" s="21">
        <f>((F163+F217)*_xlfn.XLOOKUP(F$281,tons_kWh!$C$2:$BA$2,tons_kWh!$C18:$BA18))+(F244*tons_co2_per_therm*therms_per_mcf)</f>
        <v>0</v>
      </c>
      <c r="G298" s="21">
        <f>((G163+G217)*_xlfn.XLOOKUP(G$281,tons_kWh!$C$2:$BA$2,tons_kWh!$C18:$BA18))+(G244*tons_co2_per_therm*therms_per_mcf)</f>
        <v>0</v>
      </c>
      <c r="H298" s="21">
        <f>((H163+H217)*_xlfn.XLOOKUP(H$281,tons_kWh!$C$2:$BA$2,tons_kWh!$C18:$BA18))+(H244*tons_co2_per_therm*therms_per_mcf)</f>
        <v>0</v>
      </c>
      <c r="I298" s="21">
        <f>((I163+I217)*_xlfn.XLOOKUP(I$281,tons_kWh!$C$2:$BA$2,tons_kWh!$C18:$BA18))+(I244*tons_co2_per_therm*therms_per_mcf)</f>
        <v>0</v>
      </c>
      <c r="J298" s="21">
        <f>((J163+J217)*_xlfn.XLOOKUP(J$281,tons_kWh!$C$2:$BA$2,tons_kWh!$C18:$BA18))+(J244*tons_co2_per_therm*therms_per_mcf)</f>
        <v>0</v>
      </c>
      <c r="K298" s="21">
        <f>((K163+K217)*_xlfn.XLOOKUP(K$281,tons_kWh!$C$2:$BA$2,tons_kWh!$C18:$BA18))+(K244*tons_co2_per_therm*therms_per_mcf)</f>
        <v>0</v>
      </c>
      <c r="L298" s="21">
        <f>((L163+L217)*_xlfn.XLOOKUP(L$281,tons_kWh!$C$2:$BA$2,tons_kWh!$C18:$BA18))+(L244*tons_co2_per_therm*therms_per_mcf)</f>
        <v>0</v>
      </c>
      <c r="M298" s="21">
        <f>((M163+M217)*_xlfn.XLOOKUP(M$281,tons_kWh!$C$2:$BA$2,tons_kWh!$C18:$BA18))+(M244*tons_co2_per_therm*therms_per_mcf)</f>
        <v>0</v>
      </c>
      <c r="N298" s="21">
        <f>((N163+N217)*_xlfn.XLOOKUP(N$281,tons_kWh!$C$2:$BA$2,tons_kWh!$C18:$BA18))+(N244*tons_co2_per_therm*therms_per_mcf)</f>
        <v>0</v>
      </c>
      <c r="O298" s="21">
        <f>((O163+O217)*_xlfn.XLOOKUP(O$281,tons_kWh!$C$2:$BA$2,tons_kWh!$C18:$BA18))+(O244*tons_co2_per_therm*therms_per_mcf)</f>
        <v>0</v>
      </c>
      <c r="P298" s="21">
        <f>((P163+P217)*_xlfn.XLOOKUP(P$281,tons_kWh!$C$2:$BA$2,tons_kWh!$C18:$BA18))+(P244*tons_co2_per_therm*therms_per_mcf)</f>
        <v>0</v>
      </c>
      <c r="Q298" s="21">
        <f>((Q163+Q217)*_xlfn.XLOOKUP(Q$281,tons_kWh!$C$2:$BA$2,tons_kWh!$C18:$BA18))+(Q244*tons_co2_per_therm*therms_per_mcf)</f>
        <v>0</v>
      </c>
      <c r="R298" s="21">
        <f>((R163+R217)*_xlfn.XLOOKUP(R$281,tons_kWh!$C$2:$BA$2,tons_kWh!$C18:$BA18))+(R244*tons_co2_per_therm*therms_per_mcf)</f>
        <v>0</v>
      </c>
      <c r="S298" s="21">
        <f>((S163+S217)*_xlfn.XLOOKUP(S$281,tons_kWh!$C$2:$BA$2,tons_kWh!$C18:$BA18))+(S244*tons_co2_per_therm*therms_per_mcf)</f>
        <v>0</v>
      </c>
      <c r="T298" s="21">
        <f>((T163+T217)*_xlfn.XLOOKUP(T$281,tons_kWh!$C$2:$BA$2,tons_kWh!$C18:$BA18))+(T244*tons_co2_per_therm*therms_per_mcf)</f>
        <v>0</v>
      </c>
      <c r="U298" s="21">
        <f>((U163+U217)*_xlfn.XLOOKUP(U$281,tons_kWh!$C$2:$BA$2,tons_kWh!$C18:$BA18))+(U244*tons_co2_per_therm*therms_per_mcf)</f>
        <v>0</v>
      </c>
      <c r="V298" s="21">
        <f>((V163+V217)*_xlfn.XLOOKUP(V$281,tons_kWh!$C$2:$BA$2,tons_kWh!$C18:$BA18))+(V244*tons_co2_per_therm*therms_per_mcf)</f>
        <v>0</v>
      </c>
      <c r="W298" s="21">
        <f>((W163+W217)*_xlfn.XLOOKUP(W$281,tons_kWh!$C$2:$BA$2,tons_kWh!$C18:$BA18))+(W244*tons_co2_per_therm*therms_per_mcf)</f>
        <v>0</v>
      </c>
      <c r="X298" s="21">
        <f>((X163+X217)*_xlfn.XLOOKUP(X$281,tons_kWh!$C$2:$BA$2,tons_kWh!$C18:$BA18))+(X244*tons_co2_per_therm*therms_per_mcf)</f>
        <v>0</v>
      </c>
      <c r="Y298" s="21">
        <f>((Y163+Y217)*_xlfn.XLOOKUP(Y$281,tons_kWh!$C$2:$BA$2,tons_kWh!$C18:$BA18))+(Y244*tons_co2_per_therm*therms_per_mcf)</f>
        <v>0</v>
      </c>
      <c r="Z298" s="21">
        <f>((Z163+Z217)*_xlfn.XLOOKUP(Z$281,tons_kWh!$C$2:$BA$2,tons_kWh!$C18:$BA18))+(Z244*tons_co2_per_therm*therms_per_mcf)</f>
        <v>0</v>
      </c>
      <c r="AA298" s="21">
        <f>((AA163+AA217)*_xlfn.XLOOKUP(AA$281,tons_kWh!$C$2:$BA$2,tons_kWh!$C18:$BA18))+(AA244*tons_co2_per_therm*therms_per_mcf)</f>
        <v>0</v>
      </c>
      <c r="AB298" s="21">
        <f>((AB163+AB217)*_xlfn.XLOOKUP(AB$281,tons_kWh!$C$2:$BA$2,tons_kWh!$C18:$BA18))+(AB244*tons_co2_per_therm*therms_per_mcf)</f>
        <v>0</v>
      </c>
      <c r="AC298" s="21">
        <f>((AC163+AC217)*_xlfn.XLOOKUP(AC$281,tons_kWh!$C$2:$BA$2,tons_kWh!$C18:$BA18))+(AC244*tons_co2_per_therm*therms_per_mcf)</f>
        <v>0</v>
      </c>
      <c r="AD298" s="21">
        <f>((AD163+AD217)*_xlfn.XLOOKUP(AD$281,tons_kWh!$C$2:$BA$2,tons_kWh!$C18:$BA18))+(AD244*tons_co2_per_therm*therms_per_mcf)</f>
        <v>0</v>
      </c>
      <c r="AE298" s="21">
        <f>((AE163+AE217)*_xlfn.XLOOKUP(AE$281,tons_kWh!$C$2:$BA$2,tons_kWh!$C18:$BA18))+(AE244*tons_co2_per_therm*therms_per_mcf)</f>
        <v>0</v>
      </c>
      <c r="AF298" s="21">
        <f>((AF163+AF217)*_xlfn.XLOOKUP(AF$281,tons_kWh!$C$2:$BA$2,tons_kWh!$C18:$BA18))+(AF244*tons_co2_per_therm*therms_per_mcf)</f>
        <v>0</v>
      </c>
      <c r="AG298" s="21">
        <f>((AG163+AG217)*_xlfn.XLOOKUP(AG$281,tons_kWh!$C$2:$BA$2,tons_kWh!$C18:$BA18))+(AG244*tons_co2_per_therm*therms_per_mcf)</f>
        <v>0</v>
      </c>
      <c r="AH298" s="21">
        <f>((AH163+AH217)*_xlfn.XLOOKUP(AH$281,tons_kWh!$C$2:$BA$2,tons_kWh!$C18:$BA18))+(AH244*tons_co2_per_therm*therms_per_mcf)</f>
        <v>0</v>
      </c>
      <c r="AI298" s="21">
        <f>((AI163+AI217)*_xlfn.XLOOKUP(AI$281,tons_kWh!$C$2:$BA$2,tons_kWh!$C18:$BA18))+(AI244*tons_co2_per_therm*therms_per_mcf)</f>
        <v>0</v>
      </c>
      <c r="AJ298" s="21">
        <f>((AJ163+AJ217)*_xlfn.XLOOKUP(AJ$281,tons_kWh!$C$2:$BA$2,tons_kWh!$C18:$BA18))+(AJ244*tons_co2_per_therm*therms_per_mcf)</f>
        <v>0</v>
      </c>
      <c r="AK298" s="21">
        <f>((AK163+AK217)*_xlfn.XLOOKUP(AK$281,tons_kWh!$C$2:$BA$2,tons_kWh!$C18:$BA18))+(AK244*tons_co2_per_therm*therms_per_mcf)</f>
        <v>0</v>
      </c>
      <c r="AL298" s="21">
        <f>((AL163+AL217)*_xlfn.XLOOKUP(AL$281,tons_kWh!$C$2:$BA$2,tons_kWh!$C18:$BA18))+(AL244*tons_co2_per_therm*therms_per_mcf)</f>
        <v>0</v>
      </c>
      <c r="AM298" s="21">
        <f>((AM163+AM217)*_xlfn.XLOOKUP(AM$281,tons_kWh!$C$2:$BA$2,tons_kWh!$C18:$BA18))+(AM244*tons_co2_per_therm*therms_per_mcf)</f>
        <v>0</v>
      </c>
      <c r="AN298" s="21">
        <f>((AN163+AN217)*_xlfn.XLOOKUP(AN$281,tons_kWh!$C$2:$BA$2,tons_kWh!$C18:$BA18))+(AN244*tons_co2_per_therm*therms_per_mcf)</f>
        <v>0</v>
      </c>
      <c r="AO298" s="21">
        <f>((AO163+AO217)*_xlfn.XLOOKUP(AO$281,tons_kWh!$C$2:$BA$2,tons_kWh!$C18:$BA18))+(AO244*tons_co2_per_therm*therms_per_mcf)</f>
        <v>0</v>
      </c>
      <c r="AP298" s="21">
        <f>((AP163+AP217)*_xlfn.XLOOKUP(AP$281,tons_kWh!$C$2:$BA$2,tons_kWh!$C18:$BA18))+(AP244*tons_co2_per_therm*therms_per_mcf)</f>
        <v>0</v>
      </c>
      <c r="AQ298" s="21">
        <f>((AQ163+AQ217)*_xlfn.XLOOKUP(AQ$281,tons_kWh!$C$2:$BA$2,tons_kWh!$C18:$BA18))+(AQ244*tons_co2_per_therm*therms_per_mcf)</f>
        <v>0</v>
      </c>
      <c r="AR298" s="21">
        <f>((AR163+AR217)*_xlfn.XLOOKUP(AR$281,tons_kWh!$C$2:$BA$2,tons_kWh!$C18:$BA18))+(AR244*tons_co2_per_therm*therms_per_mcf)</f>
        <v>0</v>
      </c>
      <c r="AS298" s="21">
        <f>((AS163+AS217)*_xlfn.XLOOKUP(AS$281,tons_kWh!$C$2:$BA$2,tons_kWh!$C18:$BA18))+(AS244*tons_co2_per_therm*therms_per_mcf)</f>
        <v>0</v>
      </c>
      <c r="AT298" s="21">
        <f>((AT163+AT217)*_xlfn.XLOOKUP(AT$281,tons_kWh!$C$2:$BA$2,tons_kWh!$C18:$BA18))+(AT244*tons_co2_per_therm*therms_per_mcf)</f>
        <v>0</v>
      </c>
      <c r="AU298" s="21">
        <f>((AU163+AU217)*_xlfn.XLOOKUP(AU$281,tons_kWh!$C$2:$BA$2,tons_kWh!$C18:$BA18))+(AU244*tons_co2_per_therm*therms_per_mcf)</f>
        <v>0</v>
      </c>
      <c r="AV298" s="21">
        <f>((AV163+AV217)*_xlfn.XLOOKUP(AV$281,tons_kWh!$C$2:$BA$2,tons_kWh!$C18:$BA18))+(AV244*tons_co2_per_therm*therms_per_mcf)</f>
        <v>0</v>
      </c>
      <c r="AW298" s="21">
        <f>((AW163+AW217)*_xlfn.XLOOKUP(AW$281,tons_kWh!$C$2:$BA$2,tons_kWh!$C18:$BA18))+(AW244*tons_co2_per_therm*therms_per_mcf)</f>
        <v>0</v>
      </c>
      <c r="AX298" s="21">
        <f>((AX163+AX217)*_xlfn.XLOOKUP(AX$281,tons_kWh!$C$2:$BA$2,tons_kWh!$C18:$BA18))+(AX244*tons_co2_per_therm*therms_per_mcf)</f>
        <v>0</v>
      </c>
      <c r="AY298" s="21">
        <f>((AY163+AY217)*_xlfn.XLOOKUP(AY$281,tons_kWh!$C$2:$BA$2,tons_kWh!$C18:$BA18))+(AY244*tons_co2_per_therm*therms_per_mcf)</f>
        <v>0</v>
      </c>
      <c r="AZ298" s="21">
        <f>((AZ163+AZ217)*_xlfn.XLOOKUP(AZ$281,tons_kWh!$C$2:$BA$2,tons_kWh!$C18:$BA18))+(AZ244*tons_co2_per_therm*therms_per_mcf)</f>
        <v>0</v>
      </c>
      <c r="BA298" s="21">
        <f>((BA163+BA217)*_xlfn.XLOOKUP(BA$281,tons_kWh!$C$2:$BA$2,tons_kWh!$C18:$BA18))+(BA244*tons_co2_per_therm*therms_per_mcf)</f>
        <v>0</v>
      </c>
      <c r="BB298" s="21">
        <f t="shared" si="245"/>
        <v>0</v>
      </c>
    </row>
    <row r="299" spans="1:54">
      <c r="A299" s="456"/>
      <c r="B299" s="228">
        <v>2023</v>
      </c>
      <c r="C299" s="21">
        <f>((C164+C218)*_xlfn.XLOOKUP(C$281,tons_kWh!$C$2:$BA$2,tons_kWh!$C19:$BA19))+(C245*tons_co2_per_therm*therms_per_mcf)</f>
        <v>0</v>
      </c>
      <c r="D299" s="21">
        <f>((D164+D218)*_xlfn.XLOOKUP(D$281,tons_kWh!$C$2:$BA$2,tons_kWh!$C19:$BA19))+(D245*tons_co2_per_therm*therms_per_mcf)</f>
        <v>0</v>
      </c>
      <c r="E299" s="21">
        <f>((E164+E218)*_xlfn.XLOOKUP(E$281,tons_kWh!$C$2:$BA$2,tons_kWh!$C19:$BA19))+(E245*tons_co2_per_therm*therms_per_mcf)</f>
        <v>0</v>
      </c>
      <c r="F299" s="21">
        <f>((F164+F218)*_xlfn.XLOOKUP(F$281,tons_kWh!$C$2:$BA$2,tons_kWh!$C19:$BA19))+(F245*tons_co2_per_therm*therms_per_mcf)</f>
        <v>0</v>
      </c>
      <c r="G299" s="21">
        <f>((G164+G218)*_xlfn.XLOOKUP(G$281,tons_kWh!$C$2:$BA$2,tons_kWh!$C19:$BA19))+(G245*tons_co2_per_therm*therms_per_mcf)</f>
        <v>0</v>
      </c>
      <c r="H299" s="21">
        <f>((H164+H218)*_xlfn.XLOOKUP(H$281,tons_kWh!$C$2:$BA$2,tons_kWh!$C19:$BA19))+(H245*tons_co2_per_therm*therms_per_mcf)</f>
        <v>0</v>
      </c>
      <c r="I299" s="21">
        <f>((I164+I218)*_xlfn.XLOOKUP(I$281,tons_kWh!$C$2:$BA$2,tons_kWh!$C19:$BA19))+(I245*tons_co2_per_therm*therms_per_mcf)</f>
        <v>0</v>
      </c>
      <c r="J299" s="21">
        <f>((J164+J218)*_xlfn.XLOOKUP(J$281,tons_kWh!$C$2:$BA$2,tons_kWh!$C19:$BA19))+(J245*tons_co2_per_therm*therms_per_mcf)</f>
        <v>0</v>
      </c>
      <c r="K299" s="21">
        <f>((K164+K218)*_xlfn.XLOOKUP(K$281,tons_kWh!$C$2:$BA$2,tons_kWh!$C19:$BA19))+(K245*tons_co2_per_therm*therms_per_mcf)</f>
        <v>0</v>
      </c>
      <c r="L299" s="21">
        <f>((L164+L218)*_xlfn.XLOOKUP(L$281,tons_kWh!$C$2:$BA$2,tons_kWh!$C19:$BA19))+(L245*tons_co2_per_therm*therms_per_mcf)</f>
        <v>0</v>
      </c>
      <c r="M299" s="21">
        <f>((M164+M218)*_xlfn.XLOOKUP(M$281,tons_kWh!$C$2:$BA$2,tons_kWh!$C19:$BA19))+(M245*tons_co2_per_therm*therms_per_mcf)</f>
        <v>0</v>
      </c>
      <c r="N299" s="21">
        <f>((N164+N218)*_xlfn.XLOOKUP(N$281,tons_kWh!$C$2:$BA$2,tons_kWh!$C19:$BA19))+(N245*tons_co2_per_therm*therms_per_mcf)</f>
        <v>0</v>
      </c>
      <c r="O299" s="21">
        <f>((O164+O218)*_xlfn.XLOOKUP(O$281,tons_kWh!$C$2:$BA$2,tons_kWh!$C19:$BA19))+(O245*tons_co2_per_therm*therms_per_mcf)</f>
        <v>0</v>
      </c>
      <c r="P299" s="21">
        <f>((P164+P218)*_xlfn.XLOOKUP(P$281,tons_kWh!$C$2:$BA$2,tons_kWh!$C19:$BA19))+(P245*tons_co2_per_therm*therms_per_mcf)</f>
        <v>0</v>
      </c>
      <c r="Q299" s="21">
        <f>((Q164+Q218)*_xlfn.XLOOKUP(Q$281,tons_kWh!$C$2:$BA$2,tons_kWh!$C19:$BA19))+(Q245*tons_co2_per_therm*therms_per_mcf)</f>
        <v>0</v>
      </c>
      <c r="R299" s="21">
        <f>((R164+R218)*_xlfn.XLOOKUP(R$281,tons_kWh!$C$2:$BA$2,tons_kWh!$C19:$BA19))+(R245*tons_co2_per_therm*therms_per_mcf)</f>
        <v>0</v>
      </c>
      <c r="S299" s="21">
        <f>((S164+S218)*_xlfn.XLOOKUP(S$281,tons_kWh!$C$2:$BA$2,tons_kWh!$C19:$BA19))+(S245*tons_co2_per_therm*therms_per_mcf)</f>
        <v>0</v>
      </c>
      <c r="T299" s="21">
        <f>((T164+T218)*_xlfn.XLOOKUP(T$281,tons_kWh!$C$2:$BA$2,tons_kWh!$C19:$BA19))+(T245*tons_co2_per_therm*therms_per_mcf)</f>
        <v>0</v>
      </c>
      <c r="U299" s="21">
        <f>((U164+U218)*_xlfn.XLOOKUP(U$281,tons_kWh!$C$2:$BA$2,tons_kWh!$C19:$BA19))+(U245*tons_co2_per_therm*therms_per_mcf)</f>
        <v>0</v>
      </c>
      <c r="V299" s="21">
        <f>((V164+V218)*_xlfn.XLOOKUP(V$281,tons_kWh!$C$2:$BA$2,tons_kWh!$C19:$BA19))+(V245*tons_co2_per_therm*therms_per_mcf)</f>
        <v>0</v>
      </c>
      <c r="W299" s="21">
        <f>((W164+W218)*_xlfn.XLOOKUP(W$281,tons_kWh!$C$2:$BA$2,tons_kWh!$C19:$BA19))+(W245*tons_co2_per_therm*therms_per_mcf)</f>
        <v>0</v>
      </c>
      <c r="X299" s="21">
        <f>((X164+X218)*_xlfn.XLOOKUP(X$281,tons_kWh!$C$2:$BA$2,tons_kWh!$C19:$BA19))+(X245*tons_co2_per_therm*therms_per_mcf)</f>
        <v>0</v>
      </c>
      <c r="Y299" s="21">
        <f>((Y164+Y218)*_xlfn.XLOOKUP(Y$281,tons_kWh!$C$2:$BA$2,tons_kWh!$C19:$BA19))+(Y245*tons_co2_per_therm*therms_per_mcf)</f>
        <v>0</v>
      </c>
      <c r="Z299" s="21">
        <f>((Z164+Z218)*_xlfn.XLOOKUP(Z$281,tons_kWh!$C$2:$BA$2,tons_kWh!$C19:$BA19))+(Z245*tons_co2_per_therm*therms_per_mcf)</f>
        <v>0</v>
      </c>
      <c r="AA299" s="21">
        <f>((AA164+AA218)*_xlfn.XLOOKUP(AA$281,tons_kWh!$C$2:$BA$2,tons_kWh!$C19:$BA19))+(AA245*tons_co2_per_therm*therms_per_mcf)</f>
        <v>0</v>
      </c>
      <c r="AB299" s="21">
        <f>((AB164+AB218)*_xlfn.XLOOKUP(AB$281,tons_kWh!$C$2:$BA$2,tons_kWh!$C19:$BA19))+(AB245*tons_co2_per_therm*therms_per_mcf)</f>
        <v>0</v>
      </c>
      <c r="AC299" s="21">
        <f>((AC164+AC218)*_xlfn.XLOOKUP(AC$281,tons_kWh!$C$2:$BA$2,tons_kWh!$C19:$BA19))+(AC245*tons_co2_per_therm*therms_per_mcf)</f>
        <v>0</v>
      </c>
      <c r="AD299" s="21">
        <f>((AD164+AD218)*_xlfn.XLOOKUP(AD$281,tons_kWh!$C$2:$BA$2,tons_kWh!$C19:$BA19))+(AD245*tons_co2_per_therm*therms_per_mcf)</f>
        <v>0</v>
      </c>
      <c r="AE299" s="21">
        <f>((AE164+AE218)*_xlfn.XLOOKUP(AE$281,tons_kWh!$C$2:$BA$2,tons_kWh!$C19:$BA19))+(AE245*tons_co2_per_therm*therms_per_mcf)</f>
        <v>0</v>
      </c>
      <c r="AF299" s="21">
        <f>((AF164+AF218)*_xlfn.XLOOKUP(AF$281,tons_kWh!$C$2:$BA$2,tons_kWh!$C19:$BA19))+(AF245*tons_co2_per_therm*therms_per_mcf)</f>
        <v>0</v>
      </c>
      <c r="AG299" s="21">
        <f>((AG164+AG218)*_xlfn.XLOOKUP(AG$281,tons_kWh!$C$2:$BA$2,tons_kWh!$C19:$BA19))+(AG245*tons_co2_per_therm*therms_per_mcf)</f>
        <v>0</v>
      </c>
      <c r="AH299" s="21">
        <f>((AH164+AH218)*_xlfn.XLOOKUP(AH$281,tons_kWh!$C$2:$BA$2,tons_kWh!$C19:$BA19))+(AH245*tons_co2_per_therm*therms_per_mcf)</f>
        <v>0</v>
      </c>
      <c r="AI299" s="21">
        <f>((AI164+AI218)*_xlfn.XLOOKUP(AI$281,tons_kWh!$C$2:$BA$2,tons_kWh!$C19:$BA19))+(AI245*tons_co2_per_therm*therms_per_mcf)</f>
        <v>0</v>
      </c>
      <c r="AJ299" s="21">
        <f>((AJ164+AJ218)*_xlfn.XLOOKUP(AJ$281,tons_kWh!$C$2:$BA$2,tons_kWh!$C19:$BA19))+(AJ245*tons_co2_per_therm*therms_per_mcf)</f>
        <v>0</v>
      </c>
      <c r="AK299" s="21">
        <f>((AK164+AK218)*_xlfn.XLOOKUP(AK$281,tons_kWh!$C$2:$BA$2,tons_kWh!$C19:$BA19))+(AK245*tons_co2_per_therm*therms_per_mcf)</f>
        <v>0</v>
      </c>
      <c r="AL299" s="21">
        <f>((AL164+AL218)*_xlfn.XLOOKUP(AL$281,tons_kWh!$C$2:$BA$2,tons_kWh!$C19:$BA19))+(AL245*tons_co2_per_therm*therms_per_mcf)</f>
        <v>0</v>
      </c>
      <c r="AM299" s="21">
        <f>((AM164+AM218)*_xlfn.XLOOKUP(AM$281,tons_kWh!$C$2:$BA$2,tons_kWh!$C19:$BA19))+(AM245*tons_co2_per_therm*therms_per_mcf)</f>
        <v>0</v>
      </c>
      <c r="AN299" s="21">
        <f>((AN164+AN218)*_xlfn.XLOOKUP(AN$281,tons_kWh!$C$2:$BA$2,tons_kWh!$C19:$BA19))+(AN245*tons_co2_per_therm*therms_per_mcf)</f>
        <v>0</v>
      </c>
      <c r="AO299" s="21">
        <f>((AO164+AO218)*_xlfn.XLOOKUP(AO$281,tons_kWh!$C$2:$BA$2,tons_kWh!$C19:$BA19))+(AO245*tons_co2_per_therm*therms_per_mcf)</f>
        <v>0</v>
      </c>
      <c r="AP299" s="21">
        <f>((AP164+AP218)*_xlfn.XLOOKUP(AP$281,tons_kWh!$C$2:$BA$2,tons_kWh!$C19:$BA19))+(AP245*tons_co2_per_therm*therms_per_mcf)</f>
        <v>0</v>
      </c>
      <c r="AQ299" s="21">
        <f>((AQ164+AQ218)*_xlfn.XLOOKUP(AQ$281,tons_kWh!$C$2:$BA$2,tons_kWh!$C19:$BA19))+(AQ245*tons_co2_per_therm*therms_per_mcf)</f>
        <v>0</v>
      </c>
      <c r="AR299" s="21">
        <f>((AR164+AR218)*_xlfn.XLOOKUP(AR$281,tons_kWh!$C$2:$BA$2,tons_kWh!$C19:$BA19))+(AR245*tons_co2_per_therm*therms_per_mcf)</f>
        <v>0</v>
      </c>
      <c r="AS299" s="21">
        <f>((AS164+AS218)*_xlfn.XLOOKUP(AS$281,tons_kWh!$C$2:$BA$2,tons_kWh!$C19:$BA19))+(AS245*tons_co2_per_therm*therms_per_mcf)</f>
        <v>0</v>
      </c>
      <c r="AT299" s="21">
        <f>((AT164+AT218)*_xlfn.XLOOKUP(AT$281,tons_kWh!$C$2:$BA$2,tons_kWh!$C19:$BA19))+(AT245*tons_co2_per_therm*therms_per_mcf)</f>
        <v>0</v>
      </c>
      <c r="AU299" s="21">
        <f>((AU164+AU218)*_xlfn.XLOOKUP(AU$281,tons_kWh!$C$2:$BA$2,tons_kWh!$C19:$BA19))+(AU245*tons_co2_per_therm*therms_per_mcf)</f>
        <v>0</v>
      </c>
      <c r="AV299" s="21">
        <f>((AV164+AV218)*_xlfn.XLOOKUP(AV$281,tons_kWh!$C$2:$BA$2,tons_kWh!$C19:$BA19))+(AV245*tons_co2_per_therm*therms_per_mcf)</f>
        <v>0</v>
      </c>
      <c r="AW299" s="21">
        <f>((AW164+AW218)*_xlfn.XLOOKUP(AW$281,tons_kWh!$C$2:$BA$2,tons_kWh!$C19:$BA19))+(AW245*tons_co2_per_therm*therms_per_mcf)</f>
        <v>0</v>
      </c>
      <c r="AX299" s="21">
        <f>((AX164+AX218)*_xlfn.XLOOKUP(AX$281,tons_kWh!$C$2:$BA$2,tons_kWh!$C19:$BA19))+(AX245*tons_co2_per_therm*therms_per_mcf)</f>
        <v>0</v>
      </c>
      <c r="AY299" s="21">
        <f>((AY164+AY218)*_xlfn.XLOOKUP(AY$281,tons_kWh!$C$2:$BA$2,tons_kWh!$C19:$BA19))+(AY245*tons_co2_per_therm*therms_per_mcf)</f>
        <v>0</v>
      </c>
      <c r="AZ299" s="21">
        <f>((AZ164+AZ218)*_xlfn.XLOOKUP(AZ$281,tons_kWh!$C$2:$BA$2,tons_kWh!$C19:$BA19))+(AZ245*tons_co2_per_therm*therms_per_mcf)</f>
        <v>0</v>
      </c>
      <c r="BA299" s="21">
        <f>((BA164+BA218)*_xlfn.XLOOKUP(BA$281,tons_kWh!$C$2:$BA$2,tons_kWh!$C19:$BA19))+(BA245*tons_co2_per_therm*therms_per_mcf)</f>
        <v>0</v>
      </c>
      <c r="BB299" s="21">
        <f t="shared" si="245"/>
        <v>0</v>
      </c>
    </row>
    <row r="300" spans="1:54">
      <c r="A300" s="456"/>
      <c r="B300" s="226">
        <v>2024</v>
      </c>
      <c r="C300" s="21">
        <f>((C165+C219)*_xlfn.XLOOKUP(C$281,tons_kWh!$C$2:$BA$2,tons_kWh!$C20:$BA20))+(C246*tons_co2_per_therm*therms_per_mcf)</f>
        <v>0</v>
      </c>
      <c r="D300" s="21">
        <f>((D165+D219)*_xlfn.XLOOKUP(D$281,tons_kWh!$C$2:$BA$2,tons_kWh!$C20:$BA20))+(D246*tons_co2_per_therm*therms_per_mcf)</f>
        <v>0</v>
      </c>
      <c r="E300" s="21">
        <f>((E165+E219)*_xlfn.XLOOKUP(E$281,tons_kWh!$C$2:$BA$2,tons_kWh!$C20:$BA20))+(E246*tons_co2_per_therm*therms_per_mcf)</f>
        <v>0</v>
      </c>
      <c r="F300" s="21">
        <f>((F165+F219)*_xlfn.XLOOKUP(F$281,tons_kWh!$C$2:$BA$2,tons_kWh!$C20:$BA20))+(F246*tons_co2_per_therm*therms_per_mcf)</f>
        <v>0</v>
      </c>
      <c r="G300" s="21">
        <f>((G165+G219)*_xlfn.XLOOKUP(G$281,tons_kWh!$C$2:$BA$2,tons_kWh!$C20:$BA20))+(G246*tons_co2_per_therm*therms_per_mcf)</f>
        <v>0</v>
      </c>
      <c r="H300" s="21">
        <f>((H165+H219)*_xlfn.XLOOKUP(H$281,tons_kWh!$C$2:$BA$2,tons_kWh!$C20:$BA20))+(H246*tons_co2_per_therm*therms_per_mcf)</f>
        <v>0</v>
      </c>
      <c r="I300" s="21">
        <f>((I165+I219)*_xlfn.XLOOKUP(I$281,tons_kWh!$C$2:$BA$2,tons_kWh!$C20:$BA20))+(I246*tons_co2_per_therm*therms_per_mcf)</f>
        <v>0</v>
      </c>
      <c r="J300" s="21">
        <f>((J165+J219)*_xlfn.XLOOKUP(J$281,tons_kWh!$C$2:$BA$2,tons_kWh!$C20:$BA20))+(J246*tons_co2_per_therm*therms_per_mcf)</f>
        <v>0</v>
      </c>
      <c r="K300" s="21">
        <f>((K165+K219)*_xlfn.XLOOKUP(K$281,tons_kWh!$C$2:$BA$2,tons_kWh!$C20:$BA20))+(K246*tons_co2_per_therm*therms_per_mcf)</f>
        <v>0</v>
      </c>
      <c r="L300" s="21">
        <f>((L165+L219)*_xlfn.XLOOKUP(L$281,tons_kWh!$C$2:$BA$2,tons_kWh!$C20:$BA20))+(L246*tons_co2_per_therm*therms_per_mcf)</f>
        <v>0</v>
      </c>
      <c r="M300" s="21">
        <f>((M165+M219)*_xlfn.XLOOKUP(M$281,tons_kWh!$C$2:$BA$2,tons_kWh!$C20:$BA20))+(M246*tons_co2_per_therm*therms_per_mcf)</f>
        <v>0</v>
      </c>
      <c r="N300" s="21">
        <f>((N165+N219)*_xlfn.XLOOKUP(N$281,tons_kWh!$C$2:$BA$2,tons_kWh!$C20:$BA20))+(N246*tons_co2_per_therm*therms_per_mcf)</f>
        <v>0</v>
      </c>
      <c r="O300" s="21">
        <f>((O165+O219)*_xlfn.XLOOKUP(O$281,tons_kWh!$C$2:$BA$2,tons_kWh!$C20:$BA20))+(O246*tons_co2_per_therm*therms_per_mcf)</f>
        <v>0</v>
      </c>
      <c r="P300" s="21">
        <f>((P165+P219)*_xlfn.XLOOKUP(P$281,tons_kWh!$C$2:$BA$2,tons_kWh!$C20:$BA20))+(P246*tons_co2_per_therm*therms_per_mcf)</f>
        <v>0</v>
      </c>
      <c r="Q300" s="21">
        <f>((Q165+Q219)*_xlfn.XLOOKUP(Q$281,tons_kWh!$C$2:$BA$2,tons_kWh!$C20:$BA20))+(Q246*tons_co2_per_therm*therms_per_mcf)</f>
        <v>0</v>
      </c>
      <c r="R300" s="21">
        <f>((R165+R219)*_xlfn.XLOOKUP(R$281,tons_kWh!$C$2:$BA$2,tons_kWh!$C20:$BA20))+(R246*tons_co2_per_therm*therms_per_mcf)</f>
        <v>0</v>
      </c>
      <c r="S300" s="21">
        <f>((S165+S219)*_xlfn.XLOOKUP(S$281,tons_kWh!$C$2:$BA$2,tons_kWh!$C20:$BA20))+(S246*tons_co2_per_therm*therms_per_mcf)</f>
        <v>0</v>
      </c>
      <c r="T300" s="21">
        <f>((T165+T219)*_xlfn.XLOOKUP(T$281,tons_kWh!$C$2:$BA$2,tons_kWh!$C20:$BA20))+(T246*tons_co2_per_therm*therms_per_mcf)</f>
        <v>0</v>
      </c>
      <c r="U300" s="21">
        <f>((U165+U219)*_xlfn.XLOOKUP(U$281,tons_kWh!$C$2:$BA$2,tons_kWh!$C20:$BA20))+(U246*tons_co2_per_therm*therms_per_mcf)</f>
        <v>0</v>
      </c>
      <c r="V300" s="21">
        <f>((V165+V219)*_xlfn.XLOOKUP(V$281,tons_kWh!$C$2:$BA$2,tons_kWh!$C20:$BA20))+(V246*tons_co2_per_therm*therms_per_mcf)</f>
        <v>0</v>
      </c>
      <c r="W300" s="21">
        <f>((W165+W219)*_xlfn.XLOOKUP(W$281,tons_kWh!$C$2:$BA$2,tons_kWh!$C20:$BA20))+(W246*tons_co2_per_therm*therms_per_mcf)</f>
        <v>0</v>
      </c>
      <c r="X300" s="21">
        <f>((X165+X219)*_xlfn.XLOOKUP(X$281,tons_kWh!$C$2:$BA$2,tons_kWh!$C20:$BA20))+(X246*tons_co2_per_therm*therms_per_mcf)</f>
        <v>0</v>
      </c>
      <c r="Y300" s="21">
        <f>((Y165+Y219)*_xlfn.XLOOKUP(Y$281,tons_kWh!$C$2:$BA$2,tons_kWh!$C20:$BA20))+(Y246*tons_co2_per_therm*therms_per_mcf)</f>
        <v>0</v>
      </c>
      <c r="Z300" s="21">
        <f>((Z165+Z219)*_xlfn.XLOOKUP(Z$281,tons_kWh!$C$2:$BA$2,tons_kWh!$C20:$BA20))+(Z246*tons_co2_per_therm*therms_per_mcf)</f>
        <v>0</v>
      </c>
      <c r="AA300" s="21">
        <f>((AA165+AA219)*_xlfn.XLOOKUP(AA$281,tons_kWh!$C$2:$BA$2,tons_kWh!$C20:$BA20))+(AA246*tons_co2_per_therm*therms_per_mcf)</f>
        <v>0</v>
      </c>
      <c r="AB300" s="21">
        <f>((AB165+AB219)*_xlfn.XLOOKUP(AB$281,tons_kWh!$C$2:$BA$2,tons_kWh!$C20:$BA20))+(AB246*tons_co2_per_therm*therms_per_mcf)</f>
        <v>0</v>
      </c>
      <c r="AC300" s="21">
        <f>((AC165+AC219)*_xlfn.XLOOKUP(AC$281,tons_kWh!$C$2:$BA$2,tons_kWh!$C20:$BA20))+(AC246*tons_co2_per_therm*therms_per_mcf)</f>
        <v>0</v>
      </c>
      <c r="AD300" s="21">
        <f>((AD165+AD219)*_xlfn.XLOOKUP(AD$281,tons_kWh!$C$2:$BA$2,tons_kWh!$C20:$BA20))+(AD246*tons_co2_per_therm*therms_per_mcf)</f>
        <v>0</v>
      </c>
      <c r="AE300" s="21">
        <f>((AE165+AE219)*_xlfn.XLOOKUP(AE$281,tons_kWh!$C$2:$BA$2,tons_kWh!$C20:$BA20))+(AE246*tons_co2_per_therm*therms_per_mcf)</f>
        <v>0</v>
      </c>
      <c r="AF300" s="21">
        <f>((AF165+AF219)*_xlfn.XLOOKUP(AF$281,tons_kWh!$C$2:$BA$2,tons_kWh!$C20:$BA20))+(AF246*tons_co2_per_therm*therms_per_mcf)</f>
        <v>0</v>
      </c>
      <c r="AG300" s="21">
        <f>((AG165+AG219)*_xlfn.XLOOKUP(AG$281,tons_kWh!$C$2:$BA$2,tons_kWh!$C20:$BA20))+(AG246*tons_co2_per_therm*therms_per_mcf)</f>
        <v>0</v>
      </c>
      <c r="AH300" s="21">
        <f>((AH165+AH219)*_xlfn.XLOOKUP(AH$281,tons_kWh!$C$2:$BA$2,tons_kWh!$C20:$BA20))+(AH246*tons_co2_per_therm*therms_per_mcf)</f>
        <v>0</v>
      </c>
      <c r="AI300" s="21">
        <f>((AI165+AI219)*_xlfn.XLOOKUP(AI$281,tons_kWh!$C$2:$BA$2,tons_kWh!$C20:$BA20))+(AI246*tons_co2_per_therm*therms_per_mcf)</f>
        <v>0</v>
      </c>
      <c r="AJ300" s="21">
        <f>((AJ165+AJ219)*_xlfn.XLOOKUP(AJ$281,tons_kWh!$C$2:$BA$2,tons_kWh!$C20:$BA20))+(AJ246*tons_co2_per_therm*therms_per_mcf)</f>
        <v>0</v>
      </c>
      <c r="AK300" s="21">
        <f>((AK165+AK219)*_xlfn.XLOOKUP(AK$281,tons_kWh!$C$2:$BA$2,tons_kWh!$C20:$BA20))+(AK246*tons_co2_per_therm*therms_per_mcf)</f>
        <v>0</v>
      </c>
      <c r="AL300" s="21">
        <f>((AL165+AL219)*_xlfn.XLOOKUP(AL$281,tons_kWh!$C$2:$BA$2,tons_kWh!$C20:$BA20))+(AL246*tons_co2_per_therm*therms_per_mcf)</f>
        <v>0</v>
      </c>
      <c r="AM300" s="21">
        <f>((AM165+AM219)*_xlfn.XLOOKUP(AM$281,tons_kWh!$C$2:$BA$2,tons_kWh!$C20:$BA20))+(AM246*tons_co2_per_therm*therms_per_mcf)</f>
        <v>0</v>
      </c>
      <c r="AN300" s="21">
        <f>((AN165+AN219)*_xlfn.XLOOKUP(AN$281,tons_kWh!$C$2:$BA$2,tons_kWh!$C20:$BA20))+(AN246*tons_co2_per_therm*therms_per_mcf)</f>
        <v>0</v>
      </c>
      <c r="AO300" s="21">
        <f>((AO165+AO219)*_xlfn.XLOOKUP(AO$281,tons_kWh!$C$2:$BA$2,tons_kWh!$C20:$BA20))+(AO246*tons_co2_per_therm*therms_per_mcf)</f>
        <v>0</v>
      </c>
      <c r="AP300" s="21">
        <f>((AP165+AP219)*_xlfn.XLOOKUP(AP$281,tons_kWh!$C$2:$BA$2,tons_kWh!$C20:$BA20))+(AP246*tons_co2_per_therm*therms_per_mcf)</f>
        <v>0</v>
      </c>
      <c r="AQ300" s="21">
        <f>((AQ165+AQ219)*_xlfn.XLOOKUP(AQ$281,tons_kWh!$C$2:$BA$2,tons_kWh!$C20:$BA20))+(AQ246*tons_co2_per_therm*therms_per_mcf)</f>
        <v>0</v>
      </c>
      <c r="AR300" s="21">
        <f>((AR165+AR219)*_xlfn.XLOOKUP(AR$281,tons_kWh!$C$2:$BA$2,tons_kWh!$C20:$BA20))+(AR246*tons_co2_per_therm*therms_per_mcf)</f>
        <v>0</v>
      </c>
      <c r="AS300" s="21">
        <f>((AS165+AS219)*_xlfn.XLOOKUP(AS$281,tons_kWh!$C$2:$BA$2,tons_kWh!$C20:$BA20))+(AS246*tons_co2_per_therm*therms_per_mcf)</f>
        <v>0</v>
      </c>
      <c r="AT300" s="21">
        <f>((AT165+AT219)*_xlfn.XLOOKUP(AT$281,tons_kWh!$C$2:$BA$2,tons_kWh!$C20:$BA20))+(AT246*tons_co2_per_therm*therms_per_mcf)</f>
        <v>0</v>
      </c>
      <c r="AU300" s="21">
        <f>((AU165+AU219)*_xlfn.XLOOKUP(AU$281,tons_kWh!$C$2:$BA$2,tons_kWh!$C20:$BA20))+(AU246*tons_co2_per_therm*therms_per_mcf)</f>
        <v>0</v>
      </c>
      <c r="AV300" s="21">
        <f>((AV165+AV219)*_xlfn.XLOOKUP(AV$281,tons_kWh!$C$2:$BA$2,tons_kWh!$C20:$BA20))+(AV246*tons_co2_per_therm*therms_per_mcf)</f>
        <v>0</v>
      </c>
      <c r="AW300" s="21">
        <f>((AW165+AW219)*_xlfn.XLOOKUP(AW$281,tons_kWh!$C$2:$BA$2,tons_kWh!$C20:$BA20))+(AW246*tons_co2_per_therm*therms_per_mcf)</f>
        <v>0</v>
      </c>
      <c r="AX300" s="21">
        <f>((AX165+AX219)*_xlfn.XLOOKUP(AX$281,tons_kWh!$C$2:$BA$2,tons_kWh!$C20:$BA20))+(AX246*tons_co2_per_therm*therms_per_mcf)</f>
        <v>0</v>
      </c>
      <c r="AY300" s="21">
        <f>((AY165+AY219)*_xlfn.XLOOKUP(AY$281,tons_kWh!$C$2:$BA$2,tons_kWh!$C20:$BA20))+(AY246*tons_co2_per_therm*therms_per_mcf)</f>
        <v>0</v>
      </c>
      <c r="AZ300" s="21">
        <f>((AZ165+AZ219)*_xlfn.XLOOKUP(AZ$281,tons_kWh!$C$2:$BA$2,tons_kWh!$C20:$BA20))+(AZ246*tons_co2_per_therm*therms_per_mcf)</f>
        <v>0</v>
      </c>
      <c r="BA300" s="21">
        <f>((BA165+BA219)*_xlfn.XLOOKUP(BA$281,tons_kWh!$C$2:$BA$2,tons_kWh!$C20:$BA20))+(BA246*tons_co2_per_therm*therms_per_mcf)</f>
        <v>0</v>
      </c>
      <c r="BB300" s="21">
        <f t="shared" si="245"/>
        <v>0</v>
      </c>
    </row>
    <row r="301" spans="1:54">
      <c r="A301" s="456"/>
      <c r="B301" s="228">
        <v>2025</v>
      </c>
      <c r="C301" s="21" t="e">
        <f>((C166+C220)*_xlfn.XLOOKUP(C$281,tons_kWh!$C$2:$BA$2,tons_kWh!$C21:$BA21))+(C247*tons_co2_per_therm*therms_per_mcf)</f>
        <v>#DIV/0!</v>
      </c>
      <c r="D301" s="21" t="e">
        <f>((D166+D220)*_xlfn.XLOOKUP(D$281,tons_kWh!$C$2:$BA$2,tons_kWh!$C21:$BA21))+(D247*tons_co2_per_therm*therms_per_mcf)</f>
        <v>#DIV/0!</v>
      </c>
      <c r="E301" s="21" t="e">
        <f>((E166+E220)*_xlfn.XLOOKUP(E$281,tons_kWh!$C$2:$BA$2,tons_kWh!$C21:$BA21))+(E247*tons_co2_per_therm*therms_per_mcf)</f>
        <v>#DIV/0!</v>
      </c>
      <c r="F301" s="21" t="e">
        <f>((F166+F220)*_xlfn.XLOOKUP(F$281,tons_kWh!$C$2:$BA$2,tons_kWh!$C21:$BA21))+(F247*tons_co2_per_therm*therms_per_mcf)</f>
        <v>#DIV/0!</v>
      </c>
      <c r="G301" s="21" t="e">
        <f>((G166+G220)*_xlfn.XLOOKUP(G$281,tons_kWh!$C$2:$BA$2,tons_kWh!$C21:$BA21))+(G247*tons_co2_per_therm*therms_per_mcf)</f>
        <v>#DIV/0!</v>
      </c>
      <c r="H301" s="21" t="e">
        <f>((H166+H220)*_xlfn.XLOOKUP(H$281,tons_kWh!$C$2:$BA$2,tons_kWh!$C21:$BA21))+(H247*tons_co2_per_therm*therms_per_mcf)</f>
        <v>#DIV/0!</v>
      </c>
      <c r="I301" s="21" t="e">
        <f>((I166+I220)*_xlfn.XLOOKUP(I$281,tons_kWh!$C$2:$BA$2,tons_kWh!$C21:$BA21))+(I247*tons_co2_per_therm*therms_per_mcf)</f>
        <v>#DIV/0!</v>
      </c>
      <c r="J301" s="21" t="e">
        <f>((J166+J220)*_xlfn.XLOOKUP(J$281,tons_kWh!$C$2:$BA$2,tons_kWh!$C21:$BA21))+(J247*tons_co2_per_therm*therms_per_mcf)</f>
        <v>#DIV/0!</v>
      </c>
      <c r="K301" s="21" t="e">
        <f>((K166+K220)*_xlfn.XLOOKUP(K$281,tons_kWh!$C$2:$BA$2,tons_kWh!$C21:$BA21))+(K247*tons_co2_per_therm*therms_per_mcf)</f>
        <v>#DIV/0!</v>
      </c>
      <c r="L301" s="21" t="e">
        <f>((L166+L220)*_xlfn.XLOOKUP(L$281,tons_kWh!$C$2:$BA$2,tons_kWh!$C21:$BA21))+(L247*tons_co2_per_therm*therms_per_mcf)</f>
        <v>#DIV/0!</v>
      </c>
      <c r="M301" s="21" t="e">
        <f>((M166+M220)*_xlfn.XLOOKUP(M$281,tons_kWh!$C$2:$BA$2,tons_kWh!$C21:$BA21))+(M247*tons_co2_per_therm*therms_per_mcf)</f>
        <v>#DIV/0!</v>
      </c>
      <c r="N301" s="21" t="e">
        <f>((N166+N220)*_xlfn.XLOOKUP(N$281,tons_kWh!$C$2:$BA$2,tons_kWh!$C21:$BA21))+(N247*tons_co2_per_therm*therms_per_mcf)</f>
        <v>#DIV/0!</v>
      </c>
      <c r="O301" s="21" t="e">
        <f>((O166+O220)*_xlfn.XLOOKUP(O$281,tons_kWh!$C$2:$BA$2,tons_kWh!$C21:$BA21))+(O247*tons_co2_per_therm*therms_per_mcf)</f>
        <v>#DIV/0!</v>
      </c>
      <c r="P301" s="21" t="e">
        <f>((P166+P220)*_xlfn.XLOOKUP(P$281,tons_kWh!$C$2:$BA$2,tons_kWh!$C21:$BA21))+(P247*tons_co2_per_therm*therms_per_mcf)</f>
        <v>#DIV/0!</v>
      </c>
      <c r="Q301" s="21" t="e">
        <f>((Q166+Q220)*_xlfn.XLOOKUP(Q$281,tons_kWh!$C$2:$BA$2,tons_kWh!$C21:$BA21))+(Q247*tons_co2_per_therm*therms_per_mcf)</f>
        <v>#DIV/0!</v>
      </c>
      <c r="R301" s="21" t="e">
        <f>((R166+R220)*_xlfn.XLOOKUP(R$281,tons_kWh!$C$2:$BA$2,tons_kWh!$C21:$BA21))+(R247*tons_co2_per_therm*therms_per_mcf)</f>
        <v>#DIV/0!</v>
      </c>
      <c r="S301" s="21" t="e">
        <f>((S166+S220)*_xlfn.XLOOKUP(S$281,tons_kWh!$C$2:$BA$2,tons_kWh!$C21:$BA21))+(S247*tons_co2_per_therm*therms_per_mcf)</f>
        <v>#DIV/0!</v>
      </c>
      <c r="T301" s="21" t="e">
        <f>((T166+T220)*_xlfn.XLOOKUP(T$281,tons_kWh!$C$2:$BA$2,tons_kWh!$C21:$BA21))+(T247*tons_co2_per_therm*therms_per_mcf)</f>
        <v>#DIV/0!</v>
      </c>
      <c r="U301" s="21" t="e">
        <f>((U166+U220)*_xlfn.XLOOKUP(U$281,tons_kWh!$C$2:$BA$2,tons_kWh!$C21:$BA21))+(U247*tons_co2_per_therm*therms_per_mcf)</f>
        <v>#DIV/0!</v>
      </c>
      <c r="V301" s="21" t="e">
        <f>((V166+V220)*_xlfn.XLOOKUP(V$281,tons_kWh!$C$2:$BA$2,tons_kWh!$C21:$BA21))+(V247*tons_co2_per_therm*therms_per_mcf)</f>
        <v>#DIV/0!</v>
      </c>
      <c r="W301" s="21" t="e">
        <f>((W166+W220)*_xlfn.XLOOKUP(W$281,tons_kWh!$C$2:$BA$2,tons_kWh!$C21:$BA21))+(W247*tons_co2_per_therm*therms_per_mcf)</f>
        <v>#DIV/0!</v>
      </c>
      <c r="X301" s="21" t="e">
        <f>((X166+X220)*_xlfn.XLOOKUP(X$281,tons_kWh!$C$2:$BA$2,tons_kWh!$C21:$BA21))+(X247*tons_co2_per_therm*therms_per_mcf)</f>
        <v>#DIV/0!</v>
      </c>
      <c r="Y301" s="21" t="e">
        <f>((Y166+Y220)*_xlfn.XLOOKUP(Y$281,tons_kWh!$C$2:$BA$2,tons_kWh!$C21:$BA21))+(Y247*tons_co2_per_therm*therms_per_mcf)</f>
        <v>#DIV/0!</v>
      </c>
      <c r="Z301" s="21" t="e">
        <f>((Z166+Z220)*_xlfn.XLOOKUP(Z$281,tons_kWh!$C$2:$BA$2,tons_kWh!$C21:$BA21))+(Z247*tons_co2_per_therm*therms_per_mcf)</f>
        <v>#DIV/0!</v>
      </c>
      <c r="AA301" s="21" t="e">
        <f>((AA166+AA220)*_xlfn.XLOOKUP(AA$281,tons_kWh!$C$2:$BA$2,tons_kWh!$C21:$BA21))+(AA247*tons_co2_per_therm*therms_per_mcf)</f>
        <v>#DIV/0!</v>
      </c>
      <c r="AB301" s="21" t="e">
        <f>((AB166+AB220)*_xlfn.XLOOKUP(AB$281,tons_kWh!$C$2:$BA$2,tons_kWh!$C21:$BA21))+(AB247*tons_co2_per_therm*therms_per_mcf)</f>
        <v>#DIV/0!</v>
      </c>
      <c r="AC301" s="21" t="e">
        <f>((AC166+AC220)*_xlfn.XLOOKUP(AC$281,tons_kWh!$C$2:$BA$2,tons_kWh!$C21:$BA21))+(AC247*tons_co2_per_therm*therms_per_mcf)</f>
        <v>#DIV/0!</v>
      </c>
      <c r="AD301" s="21" t="e">
        <f>((AD166+AD220)*_xlfn.XLOOKUP(AD$281,tons_kWh!$C$2:$BA$2,tons_kWh!$C21:$BA21))+(AD247*tons_co2_per_therm*therms_per_mcf)</f>
        <v>#DIV/0!</v>
      </c>
      <c r="AE301" s="21" t="e">
        <f>((AE166+AE220)*_xlfn.XLOOKUP(AE$281,tons_kWh!$C$2:$BA$2,tons_kWh!$C21:$BA21))+(AE247*tons_co2_per_therm*therms_per_mcf)</f>
        <v>#DIV/0!</v>
      </c>
      <c r="AF301" s="21" t="e">
        <f>((AF166+AF220)*_xlfn.XLOOKUP(AF$281,tons_kWh!$C$2:$BA$2,tons_kWh!$C21:$BA21))+(AF247*tons_co2_per_therm*therms_per_mcf)</f>
        <v>#DIV/0!</v>
      </c>
      <c r="AG301" s="21" t="e">
        <f>((AG166+AG220)*_xlfn.XLOOKUP(AG$281,tons_kWh!$C$2:$BA$2,tons_kWh!$C21:$BA21))+(AG247*tons_co2_per_therm*therms_per_mcf)</f>
        <v>#DIV/0!</v>
      </c>
      <c r="AH301" s="21" t="e">
        <f>((AH166+AH220)*_xlfn.XLOOKUP(AH$281,tons_kWh!$C$2:$BA$2,tons_kWh!$C21:$BA21))+(AH247*tons_co2_per_therm*therms_per_mcf)</f>
        <v>#DIV/0!</v>
      </c>
      <c r="AI301" s="21" t="e">
        <f>((AI166+AI220)*_xlfn.XLOOKUP(AI$281,tons_kWh!$C$2:$BA$2,tons_kWh!$C21:$BA21))+(AI247*tons_co2_per_therm*therms_per_mcf)</f>
        <v>#DIV/0!</v>
      </c>
      <c r="AJ301" s="21" t="e">
        <f>((AJ166+AJ220)*_xlfn.XLOOKUP(AJ$281,tons_kWh!$C$2:$BA$2,tons_kWh!$C21:$BA21))+(AJ247*tons_co2_per_therm*therms_per_mcf)</f>
        <v>#DIV/0!</v>
      </c>
      <c r="AK301" s="21" t="e">
        <f>((AK166+AK220)*_xlfn.XLOOKUP(AK$281,tons_kWh!$C$2:$BA$2,tons_kWh!$C21:$BA21))+(AK247*tons_co2_per_therm*therms_per_mcf)</f>
        <v>#DIV/0!</v>
      </c>
      <c r="AL301" s="21" t="e">
        <f>((AL166+AL220)*_xlfn.XLOOKUP(AL$281,tons_kWh!$C$2:$BA$2,tons_kWh!$C21:$BA21))+(AL247*tons_co2_per_therm*therms_per_mcf)</f>
        <v>#DIV/0!</v>
      </c>
      <c r="AM301" s="21" t="e">
        <f>((AM166+AM220)*_xlfn.XLOOKUP(AM$281,tons_kWh!$C$2:$BA$2,tons_kWh!$C21:$BA21))+(AM247*tons_co2_per_therm*therms_per_mcf)</f>
        <v>#DIV/0!</v>
      </c>
      <c r="AN301" s="21" t="e">
        <f>((AN166+AN220)*_xlfn.XLOOKUP(AN$281,tons_kWh!$C$2:$BA$2,tons_kWh!$C21:$BA21))+(AN247*tons_co2_per_therm*therms_per_mcf)</f>
        <v>#DIV/0!</v>
      </c>
      <c r="AO301" s="21" t="e">
        <f>((AO166+AO220)*_xlfn.XLOOKUP(AO$281,tons_kWh!$C$2:$BA$2,tons_kWh!$C21:$BA21))+(AO247*tons_co2_per_therm*therms_per_mcf)</f>
        <v>#DIV/0!</v>
      </c>
      <c r="AP301" s="21" t="e">
        <f>((AP166+AP220)*_xlfn.XLOOKUP(AP$281,tons_kWh!$C$2:$BA$2,tons_kWh!$C21:$BA21))+(AP247*tons_co2_per_therm*therms_per_mcf)</f>
        <v>#DIV/0!</v>
      </c>
      <c r="AQ301" s="21" t="e">
        <f>((AQ166+AQ220)*_xlfn.XLOOKUP(AQ$281,tons_kWh!$C$2:$BA$2,tons_kWh!$C21:$BA21))+(AQ247*tons_co2_per_therm*therms_per_mcf)</f>
        <v>#DIV/0!</v>
      </c>
      <c r="AR301" s="21" t="e">
        <f>((AR166+AR220)*_xlfn.XLOOKUP(AR$281,tons_kWh!$C$2:$BA$2,tons_kWh!$C21:$BA21))+(AR247*tons_co2_per_therm*therms_per_mcf)</f>
        <v>#DIV/0!</v>
      </c>
      <c r="AS301" s="21" t="e">
        <f>((AS166+AS220)*_xlfn.XLOOKUP(AS$281,tons_kWh!$C$2:$BA$2,tons_kWh!$C21:$BA21))+(AS247*tons_co2_per_therm*therms_per_mcf)</f>
        <v>#DIV/0!</v>
      </c>
      <c r="AT301" s="21" t="e">
        <f>((AT166+AT220)*_xlfn.XLOOKUP(AT$281,tons_kWh!$C$2:$BA$2,tons_kWh!$C21:$BA21))+(AT247*tons_co2_per_therm*therms_per_mcf)</f>
        <v>#DIV/0!</v>
      </c>
      <c r="AU301" s="21" t="e">
        <f>((AU166+AU220)*_xlfn.XLOOKUP(AU$281,tons_kWh!$C$2:$BA$2,tons_kWh!$C21:$BA21))+(AU247*tons_co2_per_therm*therms_per_mcf)</f>
        <v>#DIV/0!</v>
      </c>
      <c r="AV301" s="21" t="e">
        <f>((AV166+AV220)*_xlfn.XLOOKUP(AV$281,tons_kWh!$C$2:$BA$2,tons_kWh!$C21:$BA21))+(AV247*tons_co2_per_therm*therms_per_mcf)</f>
        <v>#DIV/0!</v>
      </c>
      <c r="AW301" s="21" t="e">
        <f>((AW166+AW220)*_xlfn.XLOOKUP(AW$281,tons_kWh!$C$2:$BA$2,tons_kWh!$C21:$BA21))+(AW247*tons_co2_per_therm*therms_per_mcf)</f>
        <v>#DIV/0!</v>
      </c>
      <c r="AX301" s="21" t="e">
        <f>((AX166+AX220)*_xlfn.XLOOKUP(AX$281,tons_kWh!$C$2:$BA$2,tons_kWh!$C21:$BA21))+(AX247*tons_co2_per_therm*therms_per_mcf)</f>
        <v>#DIV/0!</v>
      </c>
      <c r="AY301" s="21" t="e">
        <f>((AY166+AY220)*_xlfn.XLOOKUP(AY$281,tons_kWh!$C$2:$BA$2,tons_kWh!$C21:$BA21))+(AY247*tons_co2_per_therm*therms_per_mcf)</f>
        <v>#DIV/0!</v>
      </c>
      <c r="AZ301" s="21" t="e">
        <f>((AZ166+AZ220)*_xlfn.XLOOKUP(AZ$281,tons_kWh!$C$2:$BA$2,tons_kWh!$C21:$BA21))+(AZ247*tons_co2_per_therm*therms_per_mcf)</f>
        <v>#DIV/0!</v>
      </c>
      <c r="BA301" s="21" t="e">
        <f>((BA166+BA220)*_xlfn.XLOOKUP(BA$281,tons_kWh!$C$2:$BA$2,tons_kWh!$C21:$BA21))+(BA247*tons_co2_per_therm*therms_per_mcf)</f>
        <v>#DIV/0!</v>
      </c>
      <c r="BB301" s="21" t="e">
        <f t="shared" si="245"/>
        <v>#DIV/0!</v>
      </c>
    </row>
    <row r="302" spans="1:54">
      <c r="A302" s="456"/>
      <c r="B302" s="226">
        <v>2026</v>
      </c>
      <c r="C302" s="21" t="e">
        <f>((C167+C221)*_xlfn.XLOOKUP(C$281,tons_kWh!$C$2:$BA$2,tons_kWh!$C22:$BA22))+(C248*tons_co2_per_therm*therms_per_mcf)</f>
        <v>#DIV/0!</v>
      </c>
      <c r="D302" s="21" t="e">
        <f>((D167+D221)*_xlfn.XLOOKUP(D$281,tons_kWh!$C$2:$BA$2,tons_kWh!$C22:$BA22))+(D248*tons_co2_per_therm*therms_per_mcf)</f>
        <v>#DIV/0!</v>
      </c>
      <c r="E302" s="21" t="e">
        <f>((E167+E221)*_xlfn.XLOOKUP(E$281,tons_kWh!$C$2:$BA$2,tons_kWh!$C22:$BA22))+(E248*tons_co2_per_therm*therms_per_mcf)</f>
        <v>#DIV/0!</v>
      </c>
      <c r="F302" s="21" t="e">
        <f>((F167+F221)*_xlfn.XLOOKUP(F$281,tons_kWh!$C$2:$BA$2,tons_kWh!$C22:$BA22))+(F248*tons_co2_per_therm*therms_per_mcf)</f>
        <v>#DIV/0!</v>
      </c>
      <c r="G302" s="21" t="e">
        <f>((G167+G221)*_xlfn.XLOOKUP(G$281,tons_kWh!$C$2:$BA$2,tons_kWh!$C22:$BA22))+(G248*tons_co2_per_therm*therms_per_mcf)</f>
        <v>#DIV/0!</v>
      </c>
      <c r="H302" s="21" t="e">
        <f>((H167+H221)*_xlfn.XLOOKUP(H$281,tons_kWh!$C$2:$BA$2,tons_kWh!$C22:$BA22))+(H248*tons_co2_per_therm*therms_per_mcf)</f>
        <v>#DIV/0!</v>
      </c>
      <c r="I302" s="21" t="e">
        <f>((I167+I221)*_xlfn.XLOOKUP(I$281,tons_kWh!$C$2:$BA$2,tons_kWh!$C22:$BA22))+(I248*tons_co2_per_therm*therms_per_mcf)</f>
        <v>#DIV/0!</v>
      </c>
      <c r="J302" s="21" t="e">
        <f>((J167+J221)*_xlfn.XLOOKUP(J$281,tons_kWh!$C$2:$BA$2,tons_kWh!$C22:$BA22))+(J248*tons_co2_per_therm*therms_per_mcf)</f>
        <v>#DIV/0!</v>
      </c>
      <c r="K302" s="21" t="e">
        <f>((K167+K221)*_xlfn.XLOOKUP(K$281,tons_kWh!$C$2:$BA$2,tons_kWh!$C22:$BA22))+(K248*tons_co2_per_therm*therms_per_mcf)</f>
        <v>#DIV/0!</v>
      </c>
      <c r="L302" s="21" t="e">
        <f>((L167+L221)*_xlfn.XLOOKUP(L$281,tons_kWh!$C$2:$BA$2,tons_kWh!$C22:$BA22))+(L248*tons_co2_per_therm*therms_per_mcf)</f>
        <v>#DIV/0!</v>
      </c>
      <c r="M302" s="21" t="e">
        <f>((M167+M221)*_xlfn.XLOOKUP(M$281,tons_kWh!$C$2:$BA$2,tons_kWh!$C22:$BA22))+(M248*tons_co2_per_therm*therms_per_mcf)</f>
        <v>#DIV/0!</v>
      </c>
      <c r="N302" s="21" t="e">
        <f>((N167+N221)*_xlfn.XLOOKUP(N$281,tons_kWh!$C$2:$BA$2,tons_kWh!$C22:$BA22))+(N248*tons_co2_per_therm*therms_per_mcf)</f>
        <v>#DIV/0!</v>
      </c>
      <c r="O302" s="21" t="e">
        <f>((O167+O221)*_xlfn.XLOOKUP(O$281,tons_kWh!$C$2:$BA$2,tons_kWh!$C22:$BA22))+(O248*tons_co2_per_therm*therms_per_mcf)</f>
        <v>#DIV/0!</v>
      </c>
      <c r="P302" s="21" t="e">
        <f>((P167+P221)*_xlfn.XLOOKUP(P$281,tons_kWh!$C$2:$BA$2,tons_kWh!$C22:$BA22))+(P248*tons_co2_per_therm*therms_per_mcf)</f>
        <v>#DIV/0!</v>
      </c>
      <c r="Q302" s="21" t="e">
        <f>((Q167+Q221)*_xlfn.XLOOKUP(Q$281,tons_kWh!$C$2:$BA$2,tons_kWh!$C22:$BA22))+(Q248*tons_co2_per_therm*therms_per_mcf)</f>
        <v>#DIV/0!</v>
      </c>
      <c r="R302" s="21" t="e">
        <f>((R167+R221)*_xlfn.XLOOKUP(R$281,tons_kWh!$C$2:$BA$2,tons_kWh!$C22:$BA22))+(R248*tons_co2_per_therm*therms_per_mcf)</f>
        <v>#DIV/0!</v>
      </c>
      <c r="S302" s="21" t="e">
        <f>((S167+S221)*_xlfn.XLOOKUP(S$281,tons_kWh!$C$2:$BA$2,tons_kWh!$C22:$BA22))+(S248*tons_co2_per_therm*therms_per_mcf)</f>
        <v>#DIV/0!</v>
      </c>
      <c r="T302" s="21" t="e">
        <f>((T167+T221)*_xlfn.XLOOKUP(T$281,tons_kWh!$C$2:$BA$2,tons_kWh!$C22:$BA22))+(T248*tons_co2_per_therm*therms_per_mcf)</f>
        <v>#DIV/0!</v>
      </c>
      <c r="U302" s="21" t="e">
        <f>((U167+U221)*_xlfn.XLOOKUP(U$281,tons_kWh!$C$2:$BA$2,tons_kWh!$C22:$BA22))+(U248*tons_co2_per_therm*therms_per_mcf)</f>
        <v>#DIV/0!</v>
      </c>
      <c r="V302" s="21" t="e">
        <f>((V167+V221)*_xlfn.XLOOKUP(V$281,tons_kWh!$C$2:$BA$2,tons_kWh!$C22:$BA22))+(V248*tons_co2_per_therm*therms_per_mcf)</f>
        <v>#DIV/0!</v>
      </c>
      <c r="W302" s="21" t="e">
        <f>((W167+W221)*_xlfn.XLOOKUP(W$281,tons_kWh!$C$2:$BA$2,tons_kWh!$C22:$BA22))+(W248*tons_co2_per_therm*therms_per_mcf)</f>
        <v>#DIV/0!</v>
      </c>
      <c r="X302" s="21" t="e">
        <f>((X167+X221)*_xlfn.XLOOKUP(X$281,tons_kWh!$C$2:$BA$2,tons_kWh!$C22:$BA22))+(X248*tons_co2_per_therm*therms_per_mcf)</f>
        <v>#DIV/0!</v>
      </c>
      <c r="Y302" s="21" t="e">
        <f>((Y167+Y221)*_xlfn.XLOOKUP(Y$281,tons_kWh!$C$2:$BA$2,tons_kWh!$C22:$BA22))+(Y248*tons_co2_per_therm*therms_per_mcf)</f>
        <v>#DIV/0!</v>
      </c>
      <c r="Z302" s="21" t="e">
        <f>((Z167+Z221)*_xlfn.XLOOKUP(Z$281,tons_kWh!$C$2:$BA$2,tons_kWh!$C22:$BA22))+(Z248*tons_co2_per_therm*therms_per_mcf)</f>
        <v>#DIV/0!</v>
      </c>
      <c r="AA302" s="21" t="e">
        <f>((AA167+AA221)*_xlfn.XLOOKUP(AA$281,tons_kWh!$C$2:$BA$2,tons_kWh!$C22:$BA22))+(AA248*tons_co2_per_therm*therms_per_mcf)</f>
        <v>#DIV/0!</v>
      </c>
      <c r="AB302" s="21" t="e">
        <f>((AB167+AB221)*_xlfn.XLOOKUP(AB$281,tons_kWh!$C$2:$BA$2,tons_kWh!$C22:$BA22))+(AB248*tons_co2_per_therm*therms_per_mcf)</f>
        <v>#DIV/0!</v>
      </c>
      <c r="AC302" s="21" t="e">
        <f>((AC167+AC221)*_xlfn.XLOOKUP(AC$281,tons_kWh!$C$2:$BA$2,tons_kWh!$C22:$BA22))+(AC248*tons_co2_per_therm*therms_per_mcf)</f>
        <v>#DIV/0!</v>
      </c>
      <c r="AD302" s="21" t="e">
        <f>((AD167+AD221)*_xlfn.XLOOKUP(AD$281,tons_kWh!$C$2:$BA$2,tons_kWh!$C22:$BA22))+(AD248*tons_co2_per_therm*therms_per_mcf)</f>
        <v>#DIV/0!</v>
      </c>
      <c r="AE302" s="21" t="e">
        <f>((AE167+AE221)*_xlfn.XLOOKUP(AE$281,tons_kWh!$C$2:$BA$2,tons_kWh!$C22:$BA22))+(AE248*tons_co2_per_therm*therms_per_mcf)</f>
        <v>#DIV/0!</v>
      </c>
      <c r="AF302" s="21" t="e">
        <f>((AF167+AF221)*_xlfn.XLOOKUP(AF$281,tons_kWh!$C$2:$BA$2,tons_kWh!$C22:$BA22))+(AF248*tons_co2_per_therm*therms_per_mcf)</f>
        <v>#DIV/0!</v>
      </c>
      <c r="AG302" s="21" t="e">
        <f>((AG167+AG221)*_xlfn.XLOOKUP(AG$281,tons_kWh!$C$2:$BA$2,tons_kWh!$C22:$BA22))+(AG248*tons_co2_per_therm*therms_per_mcf)</f>
        <v>#DIV/0!</v>
      </c>
      <c r="AH302" s="21" t="e">
        <f>((AH167+AH221)*_xlfn.XLOOKUP(AH$281,tons_kWh!$C$2:$BA$2,tons_kWh!$C22:$BA22))+(AH248*tons_co2_per_therm*therms_per_mcf)</f>
        <v>#DIV/0!</v>
      </c>
      <c r="AI302" s="21" t="e">
        <f>((AI167+AI221)*_xlfn.XLOOKUP(AI$281,tons_kWh!$C$2:$BA$2,tons_kWh!$C22:$BA22))+(AI248*tons_co2_per_therm*therms_per_mcf)</f>
        <v>#DIV/0!</v>
      </c>
      <c r="AJ302" s="21" t="e">
        <f>((AJ167+AJ221)*_xlfn.XLOOKUP(AJ$281,tons_kWh!$C$2:$BA$2,tons_kWh!$C22:$BA22))+(AJ248*tons_co2_per_therm*therms_per_mcf)</f>
        <v>#DIV/0!</v>
      </c>
      <c r="AK302" s="21" t="e">
        <f>((AK167+AK221)*_xlfn.XLOOKUP(AK$281,tons_kWh!$C$2:$BA$2,tons_kWh!$C22:$BA22))+(AK248*tons_co2_per_therm*therms_per_mcf)</f>
        <v>#DIV/0!</v>
      </c>
      <c r="AL302" s="21" t="e">
        <f>((AL167+AL221)*_xlfn.XLOOKUP(AL$281,tons_kWh!$C$2:$BA$2,tons_kWh!$C22:$BA22))+(AL248*tons_co2_per_therm*therms_per_mcf)</f>
        <v>#DIV/0!</v>
      </c>
      <c r="AM302" s="21" t="e">
        <f>((AM167+AM221)*_xlfn.XLOOKUP(AM$281,tons_kWh!$C$2:$BA$2,tons_kWh!$C22:$BA22))+(AM248*tons_co2_per_therm*therms_per_mcf)</f>
        <v>#DIV/0!</v>
      </c>
      <c r="AN302" s="21" t="e">
        <f>((AN167+AN221)*_xlfn.XLOOKUP(AN$281,tons_kWh!$C$2:$BA$2,tons_kWh!$C22:$BA22))+(AN248*tons_co2_per_therm*therms_per_mcf)</f>
        <v>#DIV/0!</v>
      </c>
      <c r="AO302" s="21" t="e">
        <f>((AO167+AO221)*_xlfn.XLOOKUP(AO$281,tons_kWh!$C$2:$BA$2,tons_kWh!$C22:$BA22))+(AO248*tons_co2_per_therm*therms_per_mcf)</f>
        <v>#DIV/0!</v>
      </c>
      <c r="AP302" s="21" t="e">
        <f>((AP167+AP221)*_xlfn.XLOOKUP(AP$281,tons_kWh!$C$2:$BA$2,tons_kWh!$C22:$BA22))+(AP248*tons_co2_per_therm*therms_per_mcf)</f>
        <v>#DIV/0!</v>
      </c>
      <c r="AQ302" s="21" t="e">
        <f>((AQ167+AQ221)*_xlfn.XLOOKUP(AQ$281,tons_kWh!$C$2:$BA$2,tons_kWh!$C22:$BA22))+(AQ248*tons_co2_per_therm*therms_per_mcf)</f>
        <v>#DIV/0!</v>
      </c>
      <c r="AR302" s="21" t="e">
        <f>((AR167+AR221)*_xlfn.XLOOKUP(AR$281,tons_kWh!$C$2:$BA$2,tons_kWh!$C22:$BA22))+(AR248*tons_co2_per_therm*therms_per_mcf)</f>
        <v>#DIV/0!</v>
      </c>
      <c r="AS302" s="21" t="e">
        <f>((AS167+AS221)*_xlfn.XLOOKUP(AS$281,tons_kWh!$C$2:$BA$2,tons_kWh!$C22:$BA22))+(AS248*tons_co2_per_therm*therms_per_mcf)</f>
        <v>#DIV/0!</v>
      </c>
      <c r="AT302" s="21" t="e">
        <f>((AT167+AT221)*_xlfn.XLOOKUP(AT$281,tons_kWh!$C$2:$BA$2,tons_kWh!$C22:$BA22))+(AT248*tons_co2_per_therm*therms_per_mcf)</f>
        <v>#DIV/0!</v>
      </c>
      <c r="AU302" s="21" t="e">
        <f>((AU167+AU221)*_xlfn.XLOOKUP(AU$281,tons_kWh!$C$2:$BA$2,tons_kWh!$C22:$BA22))+(AU248*tons_co2_per_therm*therms_per_mcf)</f>
        <v>#DIV/0!</v>
      </c>
      <c r="AV302" s="21" t="e">
        <f>((AV167+AV221)*_xlfn.XLOOKUP(AV$281,tons_kWh!$C$2:$BA$2,tons_kWh!$C22:$BA22))+(AV248*tons_co2_per_therm*therms_per_mcf)</f>
        <v>#DIV/0!</v>
      </c>
      <c r="AW302" s="21" t="e">
        <f>((AW167+AW221)*_xlfn.XLOOKUP(AW$281,tons_kWh!$C$2:$BA$2,tons_kWh!$C22:$BA22))+(AW248*tons_co2_per_therm*therms_per_mcf)</f>
        <v>#DIV/0!</v>
      </c>
      <c r="AX302" s="21" t="e">
        <f>((AX167+AX221)*_xlfn.XLOOKUP(AX$281,tons_kWh!$C$2:$BA$2,tons_kWh!$C22:$BA22))+(AX248*tons_co2_per_therm*therms_per_mcf)</f>
        <v>#DIV/0!</v>
      </c>
      <c r="AY302" s="21" t="e">
        <f>((AY167+AY221)*_xlfn.XLOOKUP(AY$281,tons_kWh!$C$2:$BA$2,tons_kWh!$C22:$BA22))+(AY248*tons_co2_per_therm*therms_per_mcf)</f>
        <v>#DIV/0!</v>
      </c>
      <c r="AZ302" s="21" t="e">
        <f>((AZ167+AZ221)*_xlfn.XLOOKUP(AZ$281,tons_kWh!$C$2:$BA$2,tons_kWh!$C22:$BA22))+(AZ248*tons_co2_per_therm*therms_per_mcf)</f>
        <v>#DIV/0!</v>
      </c>
      <c r="BA302" s="21" t="e">
        <f>((BA167+BA221)*_xlfn.XLOOKUP(BA$281,tons_kWh!$C$2:$BA$2,tons_kWh!$C22:$BA22))+(BA248*tons_co2_per_therm*therms_per_mcf)</f>
        <v>#DIV/0!</v>
      </c>
      <c r="BB302" s="21" t="e">
        <f t="shared" si="245"/>
        <v>#DIV/0!</v>
      </c>
    </row>
    <row r="303" spans="1:54">
      <c r="A303" s="456"/>
      <c r="B303" s="228">
        <v>2027</v>
      </c>
      <c r="C303" s="21" t="e">
        <f>((C168+C222)*_xlfn.XLOOKUP(C$281,tons_kWh!$C$2:$BA$2,tons_kWh!$C23:$BA23))+(C249*tons_co2_per_therm*therms_per_mcf)</f>
        <v>#DIV/0!</v>
      </c>
      <c r="D303" s="21" t="e">
        <f>((D168+D222)*_xlfn.XLOOKUP(D$281,tons_kWh!$C$2:$BA$2,tons_kWh!$C23:$BA23))+(D249*tons_co2_per_therm*therms_per_mcf)</f>
        <v>#DIV/0!</v>
      </c>
      <c r="E303" s="21" t="e">
        <f>((E168+E222)*_xlfn.XLOOKUP(E$281,tons_kWh!$C$2:$BA$2,tons_kWh!$C23:$BA23))+(E249*tons_co2_per_therm*therms_per_mcf)</f>
        <v>#DIV/0!</v>
      </c>
      <c r="F303" s="21" t="e">
        <f>((F168+F222)*_xlfn.XLOOKUP(F$281,tons_kWh!$C$2:$BA$2,tons_kWh!$C23:$BA23))+(F249*tons_co2_per_therm*therms_per_mcf)</f>
        <v>#DIV/0!</v>
      </c>
      <c r="G303" s="21" t="e">
        <f>((G168+G222)*_xlfn.XLOOKUP(G$281,tons_kWh!$C$2:$BA$2,tons_kWh!$C23:$BA23))+(G249*tons_co2_per_therm*therms_per_mcf)</f>
        <v>#DIV/0!</v>
      </c>
      <c r="H303" s="21" t="e">
        <f>((H168+H222)*_xlfn.XLOOKUP(H$281,tons_kWh!$C$2:$BA$2,tons_kWh!$C23:$BA23))+(H249*tons_co2_per_therm*therms_per_mcf)</f>
        <v>#DIV/0!</v>
      </c>
      <c r="I303" s="21" t="e">
        <f>((I168+I222)*_xlfn.XLOOKUP(I$281,tons_kWh!$C$2:$BA$2,tons_kWh!$C23:$BA23))+(I249*tons_co2_per_therm*therms_per_mcf)</f>
        <v>#DIV/0!</v>
      </c>
      <c r="J303" s="21" t="e">
        <f>((J168+J222)*_xlfn.XLOOKUP(J$281,tons_kWh!$C$2:$BA$2,tons_kWh!$C23:$BA23))+(J249*tons_co2_per_therm*therms_per_mcf)</f>
        <v>#DIV/0!</v>
      </c>
      <c r="K303" s="21" t="e">
        <f>((K168+K222)*_xlfn.XLOOKUP(K$281,tons_kWh!$C$2:$BA$2,tons_kWh!$C23:$BA23))+(K249*tons_co2_per_therm*therms_per_mcf)</f>
        <v>#DIV/0!</v>
      </c>
      <c r="L303" s="21" t="e">
        <f>((L168+L222)*_xlfn.XLOOKUP(L$281,tons_kWh!$C$2:$BA$2,tons_kWh!$C23:$BA23))+(L249*tons_co2_per_therm*therms_per_mcf)</f>
        <v>#DIV/0!</v>
      </c>
      <c r="M303" s="21" t="e">
        <f>((M168+M222)*_xlfn.XLOOKUP(M$281,tons_kWh!$C$2:$BA$2,tons_kWh!$C23:$BA23))+(M249*tons_co2_per_therm*therms_per_mcf)</f>
        <v>#DIV/0!</v>
      </c>
      <c r="N303" s="21" t="e">
        <f>((N168+N222)*_xlfn.XLOOKUP(N$281,tons_kWh!$C$2:$BA$2,tons_kWh!$C23:$BA23))+(N249*tons_co2_per_therm*therms_per_mcf)</f>
        <v>#DIV/0!</v>
      </c>
      <c r="O303" s="21" t="e">
        <f>((O168+O222)*_xlfn.XLOOKUP(O$281,tons_kWh!$C$2:$BA$2,tons_kWh!$C23:$BA23))+(O249*tons_co2_per_therm*therms_per_mcf)</f>
        <v>#DIV/0!</v>
      </c>
      <c r="P303" s="21" t="e">
        <f>((P168+P222)*_xlfn.XLOOKUP(P$281,tons_kWh!$C$2:$BA$2,tons_kWh!$C23:$BA23))+(P249*tons_co2_per_therm*therms_per_mcf)</f>
        <v>#DIV/0!</v>
      </c>
      <c r="Q303" s="21" t="e">
        <f>((Q168+Q222)*_xlfn.XLOOKUP(Q$281,tons_kWh!$C$2:$BA$2,tons_kWh!$C23:$BA23))+(Q249*tons_co2_per_therm*therms_per_mcf)</f>
        <v>#DIV/0!</v>
      </c>
      <c r="R303" s="21" t="e">
        <f>((R168+R222)*_xlfn.XLOOKUP(R$281,tons_kWh!$C$2:$BA$2,tons_kWh!$C23:$BA23))+(R249*tons_co2_per_therm*therms_per_mcf)</f>
        <v>#DIV/0!</v>
      </c>
      <c r="S303" s="21" t="e">
        <f>((S168+S222)*_xlfn.XLOOKUP(S$281,tons_kWh!$C$2:$BA$2,tons_kWh!$C23:$BA23))+(S249*tons_co2_per_therm*therms_per_mcf)</f>
        <v>#DIV/0!</v>
      </c>
      <c r="T303" s="21" t="e">
        <f>((T168+T222)*_xlfn.XLOOKUP(T$281,tons_kWh!$C$2:$BA$2,tons_kWh!$C23:$BA23))+(T249*tons_co2_per_therm*therms_per_mcf)</f>
        <v>#DIV/0!</v>
      </c>
      <c r="U303" s="21" t="e">
        <f>((U168+U222)*_xlfn.XLOOKUP(U$281,tons_kWh!$C$2:$BA$2,tons_kWh!$C23:$BA23))+(U249*tons_co2_per_therm*therms_per_mcf)</f>
        <v>#DIV/0!</v>
      </c>
      <c r="V303" s="21" t="e">
        <f>((V168+V222)*_xlfn.XLOOKUP(V$281,tons_kWh!$C$2:$BA$2,tons_kWh!$C23:$BA23))+(V249*tons_co2_per_therm*therms_per_mcf)</f>
        <v>#DIV/0!</v>
      </c>
      <c r="W303" s="21" t="e">
        <f>((W168+W222)*_xlfn.XLOOKUP(W$281,tons_kWh!$C$2:$BA$2,tons_kWh!$C23:$BA23))+(W249*tons_co2_per_therm*therms_per_mcf)</f>
        <v>#DIV/0!</v>
      </c>
      <c r="X303" s="21" t="e">
        <f>((X168+X222)*_xlfn.XLOOKUP(X$281,tons_kWh!$C$2:$BA$2,tons_kWh!$C23:$BA23))+(X249*tons_co2_per_therm*therms_per_mcf)</f>
        <v>#DIV/0!</v>
      </c>
      <c r="Y303" s="21" t="e">
        <f>((Y168+Y222)*_xlfn.XLOOKUP(Y$281,tons_kWh!$C$2:$BA$2,tons_kWh!$C23:$BA23))+(Y249*tons_co2_per_therm*therms_per_mcf)</f>
        <v>#DIV/0!</v>
      </c>
      <c r="Z303" s="21" t="e">
        <f>((Z168+Z222)*_xlfn.XLOOKUP(Z$281,tons_kWh!$C$2:$BA$2,tons_kWh!$C23:$BA23))+(Z249*tons_co2_per_therm*therms_per_mcf)</f>
        <v>#DIV/0!</v>
      </c>
      <c r="AA303" s="21" t="e">
        <f>((AA168+AA222)*_xlfn.XLOOKUP(AA$281,tons_kWh!$C$2:$BA$2,tons_kWh!$C23:$BA23))+(AA249*tons_co2_per_therm*therms_per_mcf)</f>
        <v>#DIV/0!</v>
      </c>
      <c r="AB303" s="21" t="e">
        <f>((AB168+AB222)*_xlfn.XLOOKUP(AB$281,tons_kWh!$C$2:$BA$2,tons_kWh!$C23:$BA23))+(AB249*tons_co2_per_therm*therms_per_mcf)</f>
        <v>#DIV/0!</v>
      </c>
      <c r="AC303" s="21" t="e">
        <f>((AC168+AC222)*_xlfn.XLOOKUP(AC$281,tons_kWh!$C$2:$BA$2,tons_kWh!$C23:$BA23))+(AC249*tons_co2_per_therm*therms_per_mcf)</f>
        <v>#DIV/0!</v>
      </c>
      <c r="AD303" s="21" t="e">
        <f>((AD168+AD222)*_xlfn.XLOOKUP(AD$281,tons_kWh!$C$2:$BA$2,tons_kWh!$C23:$BA23))+(AD249*tons_co2_per_therm*therms_per_mcf)</f>
        <v>#DIV/0!</v>
      </c>
      <c r="AE303" s="21" t="e">
        <f>((AE168+AE222)*_xlfn.XLOOKUP(AE$281,tons_kWh!$C$2:$BA$2,tons_kWh!$C23:$BA23))+(AE249*tons_co2_per_therm*therms_per_mcf)</f>
        <v>#DIV/0!</v>
      </c>
      <c r="AF303" s="21" t="e">
        <f>((AF168+AF222)*_xlfn.XLOOKUP(AF$281,tons_kWh!$C$2:$BA$2,tons_kWh!$C23:$BA23))+(AF249*tons_co2_per_therm*therms_per_mcf)</f>
        <v>#DIV/0!</v>
      </c>
      <c r="AG303" s="21" t="e">
        <f>((AG168+AG222)*_xlfn.XLOOKUP(AG$281,tons_kWh!$C$2:$BA$2,tons_kWh!$C23:$BA23))+(AG249*tons_co2_per_therm*therms_per_mcf)</f>
        <v>#DIV/0!</v>
      </c>
      <c r="AH303" s="21" t="e">
        <f>((AH168+AH222)*_xlfn.XLOOKUP(AH$281,tons_kWh!$C$2:$BA$2,tons_kWh!$C23:$BA23))+(AH249*tons_co2_per_therm*therms_per_mcf)</f>
        <v>#DIV/0!</v>
      </c>
      <c r="AI303" s="21" t="e">
        <f>((AI168+AI222)*_xlfn.XLOOKUP(AI$281,tons_kWh!$C$2:$BA$2,tons_kWh!$C23:$BA23))+(AI249*tons_co2_per_therm*therms_per_mcf)</f>
        <v>#DIV/0!</v>
      </c>
      <c r="AJ303" s="21" t="e">
        <f>((AJ168+AJ222)*_xlfn.XLOOKUP(AJ$281,tons_kWh!$C$2:$BA$2,tons_kWh!$C23:$BA23))+(AJ249*tons_co2_per_therm*therms_per_mcf)</f>
        <v>#DIV/0!</v>
      </c>
      <c r="AK303" s="21" t="e">
        <f>((AK168+AK222)*_xlfn.XLOOKUP(AK$281,tons_kWh!$C$2:$BA$2,tons_kWh!$C23:$BA23))+(AK249*tons_co2_per_therm*therms_per_mcf)</f>
        <v>#DIV/0!</v>
      </c>
      <c r="AL303" s="21" t="e">
        <f>((AL168+AL222)*_xlfn.XLOOKUP(AL$281,tons_kWh!$C$2:$BA$2,tons_kWh!$C23:$BA23))+(AL249*tons_co2_per_therm*therms_per_mcf)</f>
        <v>#DIV/0!</v>
      </c>
      <c r="AM303" s="21" t="e">
        <f>((AM168+AM222)*_xlfn.XLOOKUP(AM$281,tons_kWh!$C$2:$BA$2,tons_kWh!$C23:$BA23))+(AM249*tons_co2_per_therm*therms_per_mcf)</f>
        <v>#DIV/0!</v>
      </c>
      <c r="AN303" s="21" t="e">
        <f>((AN168+AN222)*_xlfn.XLOOKUP(AN$281,tons_kWh!$C$2:$BA$2,tons_kWh!$C23:$BA23))+(AN249*tons_co2_per_therm*therms_per_mcf)</f>
        <v>#DIV/0!</v>
      </c>
      <c r="AO303" s="21" t="e">
        <f>((AO168+AO222)*_xlfn.XLOOKUP(AO$281,tons_kWh!$C$2:$BA$2,tons_kWh!$C23:$BA23))+(AO249*tons_co2_per_therm*therms_per_mcf)</f>
        <v>#DIV/0!</v>
      </c>
      <c r="AP303" s="21" t="e">
        <f>((AP168+AP222)*_xlfn.XLOOKUP(AP$281,tons_kWh!$C$2:$BA$2,tons_kWh!$C23:$BA23))+(AP249*tons_co2_per_therm*therms_per_mcf)</f>
        <v>#DIV/0!</v>
      </c>
      <c r="AQ303" s="21" t="e">
        <f>((AQ168+AQ222)*_xlfn.XLOOKUP(AQ$281,tons_kWh!$C$2:$BA$2,tons_kWh!$C23:$BA23))+(AQ249*tons_co2_per_therm*therms_per_mcf)</f>
        <v>#DIV/0!</v>
      </c>
      <c r="AR303" s="21" t="e">
        <f>((AR168+AR222)*_xlfn.XLOOKUP(AR$281,tons_kWh!$C$2:$BA$2,tons_kWh!$C23:$BA23))+(AR249*tons_co2_per_therm*therms_per_mcf)</f>
        <v>#DIV/0!</v>
      </c>
      <c r="AS303" s="21" t="e">
        <f>((AS168+AS222)*_xlfn.XLOOKUP(AS$281,tons_kWh!$C$2:$BA$2,tons_kWh!$C23:$BA23))+(AS249*tons_co2_per_therm*therms_per_mcf)</f>
        <v>#DIV/0!</v>
      </c>
      <c r="AT303" s="21" t="e">
        <f>((AT168+AT222)*_xlfn.XLOOKUP(AT$281,tons_kWh!$C$2:$BA$2,tons_kWh!$C23:$BA23))+(AT249*tons_co2_per_therm*therms_per_mcf)</f>
        <v>#DIV/0!</v>
      </c>
      <c r="AU303" s="21" t="e">
        <f>((AU168+AU222)*_xlfn.XLOOKUP(AU$281,tons_kWh!$C$2:$BA$2,tons_kWh!$C23:$BA23))+(AU249*tons_co2_per_therm*therms_per_mcf)</f>
        <v>#DIV/0!</v>
      </c>
      <c r="AV303" s="21" t="e">
        <f>((AV168+AV222)*_xlfn.XLOOKUP(AV$281,tons_kWh!$C$2:$BA$2,tons_kWh!$C23:$BA23))+(AV249*tons_co2_per_therm*therms_per_mcf)</f>
        <v>#DIV/0!</v>
      </c>
      <c r="AW303" s="21" t="e">
        <f>((AW168+AW222)*_xlfn.XLOOKUP(AW$281,tons_kWh!$C$2:$BA$2,tons_kWh!$C23:$BA23))+(AW249*tons_co2_per_therm*therms_per_mcf)</f>
        <v>#DIV/0!</v>
      </c>
      <c r="AX303" s="21" t="e">
        <f>((AX168+AX222)*_xlfn.XLOOKUP(AX$281,tons_kWh!$C$2:$BA$2,tons_kWh!$C23:$BA23))+(AX249*tons_co2_per_therm*therms_per_mcf)</f>
        <v>#DIV/0!</v>
      </c>
      <c r="AY303" s="21" t="e">
        <f>((AY168+AY222)*_xlfn.XLOOKUP(AY$281,tons_kWh!$C$2:$BA$2,tons_kWh!$C23:$BA23))+(AY249*tons_co2_per_therm*therms_per_mcf)</f>
        <v>#DIV/0!</v>
      </c>
      <c r="AZ303" s="21" t="e">
        <f>((AZ168+AZ222)*_xlfn.XLOOKUP(AZ$281,tons_kWh!$C$2:$BA$2,tons_kWh!$C23:$BA23))+(AZ249*tons_co2_per_therm*therms_per_mcf)</f>
        <v>#DIV/0!</v>
      </c>
      <c r="BA303" s="21" t="e">
        <f>((BA168+BA222)*_xlfn.XLOOKUP(BA$281,tons_kWh!$C$2:$BA$2,tons_kWh!$C23:$BA23))+(BA249*tons_co2_per_therm*therms_per_mcf)</f>
        <v>#DIV/0!</v>
      </c>
      <c r="BB303" s="21" t="e">
        <f t="shared" si="245"/>
        <v>#DIV/0!</v>
      </c>
    </row>
    <row r="304" spans="1:54">
      <c r="A304" s="456"/>
      <c r="B304" s="226">
        <v>2028</v>
      </c>
      <c r="C304" s="21" t="e">
        <f>((C169+C223)*_xlfn.XLOOKUP(C$281,tons_kWh!$C$2:$BA$2,tons_kWh!$C24:$BA24))+(C250*tons_co2_per_therm*therms_per_mcf)</f>
        <v>#DIV/0!</v>
      </c>
      <c r="D304" s="21" t="e">
        <f>((D169+D223)*_xlfn.XLOOKUP(D$281,tons_kWh!$C$2:$BA$2,tons_kWh!$C24:$BA24))+(D250*tons_co2_per_therm*therms_per_mcf)</f>
        <v>#DIV/0!</v>
      </c>
      <c r="E304" s="21" t="e">
        <f>((E169+E223)*_xlfn.XLOOKUP(E$281,tons_kWh!$C$2:$BA$2,tons_kWh!$C24:$BA24))+(E250*tons_co2_per_therm*therms_per_mcf)</f>
        <v>#DIV/0!</v>
      </c>
      <c r="F304" s="21" t="e">
        <f>((F169+F223)*_xlfn.XLOOKUP(F$281,tons_kWh!$C$2:$BA$2,tons_kWh!$C24:$BA24))+(F250*tons_co2_per_therm*therms_per_mcf)</f>
        <v>#DIV/0!</v>
      </c>
      <c r="G304" s="21" t="e">
        <f>((G169+G223)*_xlfn.XLOOKUP(G$281,tons_kWh!$C$2:$BA$2,tons_kWh!$C24:$BA24))+(G250*tons_co2_per_therm*therms_per_mcf)</f>
        <v>#DIV/0!</v>
      </c>
      <c r="H304" s="21" t="e">
        <f>((H169+H223)*_xlfn.XLOOKUP(H$281,tons_kWh!$C$2:$BA$2,tons_kWh!$C24:$BA24))+(H250*tons_co2_per_therm*therms_per_mcf)</f>
        <v>#DIV/0!</v>
      </c>
      <c r="I304" s="21" t="e">
        <f>((I169+I223)*_xlfn.XLOOKUP(I$281,tons_kWh!$C$2:$BA$2,tons_kWh!$C24:$BA24))+(I250*tons_co2_per_therm*therms_per_mcf)</f>
        <v>#DIV/0!</v>
      </c>
      <c r="J304" s="21" t="e">
        <f>((J169+J223)*_xlfn.XLOOKUP(J$281,tons_kWh!$C$2:$BA$2,tons_kWh!$C24:$BA24))+(J250*tons_co2_per_therm*therms_per_mcf)</f>
        <v>#DIV/0!</v>
      </c>
      <c r="K304" s="21" t="e">
        <f>((K169+K223)*_xlfn.XLOOKUP(K$281,tons_kWh!$C$2:$BA$2,tons_kWh!$C24:$BA24))+(K250*tons_co2_per_therm*therms_per_mcf)</f>
        <v>#DIV/0!</v>
      </c>
      <c r="L304" s="21" t="e">
        <f>((L169+L223)*_xlfn.XLOOKUP(L$281,tons_kWh!$C$2:$BA$2,tons_kWh!$C24:$BA24))+(L250*tons_co2_per_therm*therms_per_mcf)</f>
        <v>#DIV/0!</v>
      </c>
      <c r="M304" s="21" t="e">
        <f>((M169+M223)*_xlfn.XLOOKUP(M$281,tons_kWh!$C$2:$BA$2,tons_kWh!$C24:$BA24))+(M250*tons_co2_per_therm*therms_per_mcf)</f>
        <v>#DIV/0!</v>
      </c>
      <c r="N304" s="21" t="e">
        <f>((N169+N223)*_xlfn.XLOOKUP(N$281,tons_kWh!$C$2:$BA$2,tons_kWh!$C24:$BA24))+(N250*tons_co2_per_therm*therms_per_mcf)</f>
        <v>#DIV/0!</v>
      </c>
      <c r="O304" s="21" t="e">
        <f>((O169+O223)*_xlfn.XLOOKUP(O$281,tons_kWh!$C$2:$BA$2,tons_kWh!$C24:$BA24))+(O250*tons_co2_per_therm*therms_per_mcf)</f>
        <v>#DIV/0!</v>
      </c>
      <c r="P304" s="21" t="e">
        <f>((P169+P223)*_xlfn.XLOOKUP(P$281,tons_kWh!$C$2:$BA$2,tons_kWh!$C24:$BA24))+(P250*tons_co2_per_therm*therms_per_mcf)</f>
        <v>#DIV/0!</v>
      </c>
      <c r="Q304" s="21" t="e">
        <f>((Q169+Q223)*_xlfn.XLOOKUP(Q$281,tons_kWh!$C$2:$BA$2,tons_kWh!$C24:$BA24))+(Q250*tons_co2_per_therm*therms_per_mcf)</f>
        <v>#DIV/0!</v>
      </c>
      <c r="R304" s="21" t="e">
        <f>((R169+R223)*_xlfn.XLOOKUP(R$281,tons_kWh!$C$2:$BA$2,tons_kWh!$C24:$BA24))+(R250*tons_co2_per_therm*therms_per_mcf)</f>
        <v>#DIV/0!</v>
      </c>
      <c r="S304" s="21" t="e">
        <f>((S169+S223)*_xlfn.XLOOKUP(S$281,tons_kWh!$C$2:$BA$2,tons_kWh!$C24:$BA24))+(S250*tons_co2_per_therm*therms_per_mcf)</f>
        <v>#DIV/0!</v>
      </c>
      <c r="T304" s="21" t="e">
        <f>((T169+T223)*_xlfn.XLOOKUP(T$281,tons_kWh!$C$2:$BA$2,tons_kWh!$C24:$BA24))+(T250*tons_co2_per_therm*therms_per_mcf)</f>
        <v>#DIV/0!</v>
      </c>
      <c r="U304" s="21" t="e">
        <f>((U169+U223)*_xlfn.XLOOKUP(U$281,tons_kWh!$C$2:$BA$2,tons_kWh!$C24:$BA24))+(U250*tons_co2_per_therm*therms_per_mcf)</f>
        <v>#DIV/0!</v>
      </c>
      <c r="V304" s="21" t="e">
        <f>((V169+V223)*_xlfn.XLOOKUP(V$281,tons_kWh!$C$2:$BA$2,tons_kWh!$C24:$BA24))+(V250*tons_co2_per_therm*therms_per_mcf)</f>
        <v>#DIV/0!</v>
      </c>
      <c r="W304" s="21" t="e">
        <f>((W169+W223)*_xlfn.XLOOKUP(W$281,tons_kWh!$C$2:$BA$2,tons_kWh!$C24:$BA24))+(W250*tons_co2_per_therm*therms_per_mcf)</f>
        <v>#DIV/0!</v>
      </c>
      <c r="X304" s="21" t="e">
        <f>((X169+X223)*_xlfn.XLOOKUP(X$281,tons_kWh!$C$2:$BA$2,tons_kWh!$C24:$BA24))+(X250*tons_co2_per_therm*therms_per_mcf)</f>
        <v>#DIV/0!</v>
      </c>
      <c r="Y304" s="21" t="e">
        <f>((Y169+Y223)*_xlfn.XLOOKUP(Y$281,tons_kWh!$C$2:$BA$2,tons_kWh!$C24:$BA24))+(Y250*tons_co2_per_therm*therms_per_mcf)</f>
        <v>#DIV/0!</v>
      </c>
      <c r="Z304" s="21" t="e">
        <f>((Z169+Z223)*_xlfn.XLOOKUP(Z$281,tons_kWh!$C$2:$BA$2,tons_kWh!$C24:$BA24))+(Z250*tons_co2_per_therm*therms_per_mcf)</f>
        <v>#DIV/0!</v>
      </c>
      <c r="AA304" s="21" t="e">
        <f>((AA169+AA223)*_xlfn.XLOOKUP(AA$281,tons_kWh!$C$2:$BA$2,tons_kWh!$C24:$BA24))+(AA250*tons_co2_per_therm*therms_per_mcf)</f>
        <v>#DIV/0!</v>
      </c>
      <c r="AB304" s="21" t="e">
        <f>((AB169+AB223)*_xlfn.XLOOKUP(AB$281,tons_kWh!$C$2:$BA$2,tons_kWh!$C24:$BA24))+(AB250*tons_co2_per_therm*therms_per_mcf)</f>
        <v>#DIV/0!</v>
      </c>
      <c r="AC304" s="21" t="e">
        <f>((AC169+AC223)*_xlfn.XLOOKUP(AC$281,tons_kWh!$C$2:$BA$2,tons_kWh!$C24:$BA24))+(AC250*tons_co2_per_therm*therms_per_mcf)</f>
        <v>#DIV/0!</v>
      </c>
      <c r="AD304" s="21" t="e">
        <f>((AD169+AD223)*_xlfn.XLOOKUP(AD$281,tons_kWh!$C$2:$BA$2,tons_kWh!$C24:$BA24))+(AD250*tons_co2_per_therm*therms_per_mcf)</f>
        <v>#DIV/0!</v>
      </c>
      <c r="AE304" s="21" t="e">
        <f>((AE169+AE223)*_xlfn.XLOOKUP(AE$281,tons_kWh!$C$2:$BA$2,tons_kWh!$C24:$BA24))+(AE250*tons_co2_per_therm*therms_per_mcf)</f>
        <v>#DIV/0!</v>
      </c>
      <c r="AF304" s="21" t="e">
        <f>((AF169+AF223)*_xlfn.XLOOKUP(AF$281,tons_kWh!$C$2:$BA$2,tons_kWh!$C24:$BA24))+(AF250*tons_co2_per_therm*therms_per_mcf)</f>
        <v>#DIV/0!</v>
      </c>
      <c r="AG304" s="21" t="e">
        <f>((AG169+AG223)*_xlfn.XLOOKUP(AG$281,tons_kWh!$C$2:$BA$2,tons_kWh!$C24:$BA24))+(AG250*tons_co2_per_therm*therms_per_mcf)</f>
        <v>#DIV/0!</v>
      </c>
      <c r="AH304" s="21" t="e">
        <f>((AH169+AH223)*_xlfn.XLOOKUP(AH$281,tons_kWh!$C$2:$BA$2,tons_kWh!$C24:$BA24))+(AH250*tons_co2_per_therm*therms_per_mcf)</f>
        <v>#DIV/0!</v>
      </c>
      <c r="AI304" s="21" t="e">
        <f>((AI169+AI223)*_xlfn.XLOOKUP(AI$281,tons_kWh!$C$2:$BA$2,tons_kWh!$C24:$BA24))+(AI250*tons_co2_per_therm*therms_per_mcf)</f>
        <v>#DIV/0!</v>
      </c>
      <c r="AJ304" s="21" t="e">
        <f>((AJ169+AJ223)*_xlfn.XLOOKUP(AJ$281,tons_kWh!$C$2:$BA$2,tons_kWh!$C24:$BA24))+(AJ250*tons_co2_per_therm*therms_per_mcf)</f>
        <v>#DIV/0!</v>
      </c>
      <c r="AK304" s="21" t="e">
        <f>((AK169+AK223)*_xlfn.XLOOKUP(AK$281,tons_kWh!$C$2:$BA$2,tons_kWh!$C24:$BA24))+(AK250*tons_co2_per_therm*therms_per_mcf)</f>
        <v>#DIV/0!</v>
      </c>
      <c r="AL304" s="21" t="e">
        <f>((AL169+AL223)*_xlfn.XLOOKUP(AL$281,tons_kWh!$C$2:$BA$2,tons_kWh!$C24:$BA24))+(AL250*tons_co2_per_therm*therms_per_mcf)</f>
        <v>#DIV/0!</v>
      </c>
      <c r="AM304" s="21" t="e">
        <f>((AM169+AM223)*_xlfn.XLOOKUP(AM$281,tons_kWh!$C$2:$BA$2,tons_kWh!$C24:$BA24))+(AM250*tons_co2_per_therm*therms_per_mcf)</f>
        <v>#DIV/0!</v>
      </c>
      <c r="AN304" s="21" t="e">
        <f>((AN169+AN223)*_xlfn.XLOOKUP(AN$281,tons_kWh!$C$2:$BA$2,tons_kWh!$C24:$BA24))+(AN250*tons_co2_per_therm*therms_per_mcf)</f>
        <v>#DIV/0!</v>
      </c>
      <c r="AO304" s="21" t="e">
        <f>((AO169+AO223)*_xlfn.XLOOKUP(AO$281,tons_kWh!$C$2:$BA$2,tons_kWh!$C24:$BA24))+(AO250*tons_co2_per_therm*therms_per_mcf)</f>
        <v>#DIV/0!</v>
      </c>
      <c r="AP304" s="21" t="e">
        <f>((AP169+AP223)*_xlfn.XLOOKUP(AP$281,tons_kWh!$C$2:$BA$2,tons_kWh!$C24:$BA24))+(AP250*tons_co2_per_therm*therms_per_mcf)</f>
        <v>#DIV/0!</v>
      </c>
      <c r="AQ304" s="21" t="e">
        <f>((AQ169+AQ223)*_xlfn.XLOOKUP(AQ$281,tons_kWh!$C$2:$BA$2,tons_kWh!$C24:$BA24))+(AQ250*tons_co2_per_therm*therms_per_mcf)</f>
        <v>#DIV/0!</v>
      </c>
      <c r="AR304" s="21" t="e">
        <f>((AR169+AR223)*_xlfn.XLOOKUP(AR$281,tons_kWh!$C$2:$BA$2,tons_kWh!$C24:$BA24))+(AR250*tons_co2_per_therm*therms_per_mcf)</f>
        <v>#DIV/0!</v>
      </c>
      <c r="AS304" s="21" t="e">
        <f>((AS169+AS223)*_xlfn.XLOOKUP(AS$281,tons_kWh!$C$2:$BA$2,tons_kWh!$C24:$BA24))+(AS250*tons_co2_per_therm*therms_per_mcf)</f>
        <v>#DIV/0!</v>
      </c>
      <c r="AT304" s="21" t="e">
        <f>((AT169+AT223)*_xlfn.XLOOKUP(AT$281,tons_kWh!$C$2:$BA$2,tons_kWh!$C24:$BA24))+(AT250*tons_co2_per_therm*therms_per_mcf)</f>
        <v>#DIV/0!</v>
      </c>
      <c r="AU304" s="21" t="e">
        <f>((AU169+AU223)*_xlfn.XLOOKUP(AU$281,tons_kWh!$C$2:$BA$2,tons_kWh!$C24:$BA24))+(AU250*tons_co2_per_therm*therms_per_mcf)</f>
        <v>#DIV/0!</v>
      </c>
      <c r="AV304" s="21" t="e">
        <f>((AV169+AV223)*_xlfn.XLOOKUP(AV$281,tons_kWh!$C$2:$BA$2,tons_kWh!$C24:$BA24))+(AV250*tons_co2_per_therm*therms_per_mcf)</f>
        <v>#DIV/0!</v>
      </c>
      <c r="AW304" s="21" t="e">
        <f>((AW169+AW223)*_xlfn.XLOOKUP(AW$281,tons_kWh!$C$2:$BA$2,tons_kWh!$C24:$BA24))+(AW250*tons_co2_per_therm*therms_per_mcf)</f>
        <v>#DIV/0!</v>
      </c>
      <c r="AX304" s="21" t="e">
        <f>((AX169+AX223)*_xlfn.XLOOKUP(AX$281,tons_kWh!$C$2:$BA$2,tons_kWh!$C24:$BA24))+(AX250*tons_co2_per_therm*therms_per_mcf)</f>
        <v>#DIV/0!</v>
      </c>
      <c r="AY304" s="21" t="e">
        <f>((AY169+AY223)*_xlfn.XLOOKUP(AY$281,tons_kWh!$C$2:$BA$2,tons_kWh!$C24:$BA24))+(AY250*tons_co2_per_therm*therms_per_mcf)</f>
        <v>#DIV/0!</v>
      </c>
      <c r="AZ304" s="21" t="e">
        <f>((AZ169+AZ223)*_xlfn.XLOOKUP(AZ$281,tons_kWh!$C$2:$BA$2,tons_kWh!$C24:$BA24))+(AZ250*tons_co2_per_therm*therms_per_mcf)</f>
        <v>#DIV/0!</v>
      </c>
      <c r="BA304" s="21" t="e">
        <f>((BA169+BA223)*_xlfn.XLOOKUP(BA$281,tons_kWh!$C$2:$BA$2,tons_kWh!$C24:$BA24))+(BA250*tons_co2_per_therm*therms_per_mcf)</f>
        <v>#DIV/0!</v>
      </c>
      <c r="BB304" s="21" t="e">
        <f t="shared" si="245"/>
        <v>#DIV/0!</v>
      </c>
    </row>
    <row r="305" spans="1:54">
      <c r="A305" s="456"/>
      <c r="B305" s="228">
        <v>2029</v>
      </c>
      <c r="C305" s="21" t="e">
        <f>((C170+C224)*_xlfn.XLOOKUP(C$281,tons_kWh!$C$2:$BA$2,tons_kWh!$C25:$BA25))+(C251*tons_co2_per_therm*therms_per_mcf)</f>
        <v>#DIV/0!</v>
      </c>
      <c r="D305" s="21" t="e">
        <f>((D170+D224)*_xlfn.XLOOKUP(D$281,tons_kWh!$C$2:$BA$2,tons_kWh!$C25:$BA25))+(D251*tons_co2_per_therm*therms_per_mcf)</f>
        <v>#DIV/0!</v>
      </c>
      <c r="E305" s="21" t="e">
        <f>((E170+E224)*_xlfn.XLOOKUP(E$281,tons_kWh!$C$2:$BA$2,tons_kWh!$C25:$BA25))+(E251*tons_co2_per_therm*therms_per_mcf)</f>
        <v>#DIV/0!</v>
      </c>
      <c r="F305" s="21" t="e">
        <f>((F170+F224)*_xlfn.XLOOKUP(F$281,tons_kWh!$C$2:$BA$2,tons_kWh!$C25:$BA25))+(F251*tons_co2_per_therm*therms_per_mcf)</f>
        <v>#DIV/0!</v>
      </c>
      <c r="G305" s="21" t="e">
        <f>((G170+G224)*_xlfn.XLOOKUP(G$281,tons_kWh!$C$2:$BA$2,tons_kWh!$C25:$BA25))+(G251*tons_co2_per_therm*therms_per_mcf)</f>
        <v>#DIV/0!</v>
      </c>
      <c r="H305" s="21" t="e">
        <f>((H170+H224)*_xlfn.XLOOKUP(H$281,tons_kWh!$C$2:$BA$2,tons_kWh!$C25:$BA25))+(H251*tons_co2_per_therm*therms_per_mcf)</f>
        <v>#DIV/0!</v>
      </c>
      <c r="I305" s="21" t="e">
        <f>((I170+I224)*_xlfn.XLOOKUP(I$281,tons_kWh!$C$2:$BA$2,tons_kWh!$C25:$BA25))+(I251*tons_co2_per_therm*therms_per_mcf)</f>
        <v>#DIV/0!</v>
      </c>
      <c r="J305" s="21" t="e">
        <f>((J170+J224)*_xlfn.XLOOKUP(J$281,tons_kWh!$C$2:$BA$2,tons_kWh!$C25:$BA25))+(J251*tons_co2_per_therm*therms_per_mcf)</f>
        <v>#DIV/0!</v>
      </c>
      <c r="K305" s="21" t="e">
        <f>((K170+K224)*_xlfn.XLOOKUP(K$281,tons_kWh!$C$2:$BA$2,tons_kWh!$C25:$BA25))+(K251*tons_co2_per_therm*therms_per_mcf)</f>
        <v>#DIV/0!</v>
      </c>
      <c r="L305" s="21" t="e">
        <f>((L170+L224)*_xlfn.XLOOKUP(L$281,tons_kWh!$C$2:$BA$2,tons_kWh!$C25:$BA25))+(L251*tons_co2_per_therm*therms_per_mcf)</f>
        <v>#DIV/0!</v>
      </c>
      <c r="M305" s="21" t="e">
        <f>((M170+M224)*_xlfn.XLOOKUP(M$281,tons_kWh!$C$2:$BA$2,tons_kWh!$C25:$BA25))+(M251*tons_co2_per_therm*therms_per_mcf)</f>
        <v>#DIV/0!</v>
      </c>
      <c r="N305" s="21" t="e">
        <f>((N170+N224)*_xlfn.XLOOKUP(N$281,tons_kWh!$C$2:$BA$2,tons_kWh!$C25:$BA25))+(N251*tons_co2_per_therm*therms_per_mcf)</f>
        <v>#DIV/0!</v>
      </c>
      <c r="O305" s="21" t="e">
        <f>((O170+O224)*_xlfn.XLOOKUP(O$281,tons_kWh!$C$2:$BA$2,tons_kWh!$C25:$BA25))+(O251*tons_co2_per_therm*therms_per_mcf)</f>
        <v>#DIV/0!</v>
      </c>
      <c r="P305" s="21" t="e">
        <f>((P170+P224)*_xlfn.XLOOKUP(P$281,tons_kWh!$C$2:$BA$2,tons_kWh!$C25:$BA25))+(P251*tons_co2_per_therm*therms_per_mcf)</f>
        <v>#DIV/0!</v>
      </c>
      <c r="Q305" s="21" t="e">
        <f>((Q170+Q224)*_xlfn.XLOOKUP(Q$281,tons_kWh!$C$2:$BA$2,tons_kWh!$C25:$BA25))+(Q251*tons_co2_per_therm*therms_per_mcf)</f>
        <v>#DIV/0!</v>
      </c>
      <c r="R305" s="21" t="e">
        <f>((R170+R224)*_xlfn.XLOOKUP(R$281,tons_kWh!$C$2:$BA$2,tons_kWh!$C25:$BA25))+(R251*tons_co2_per_therm*therms_per_mcf)</f>
        <v>#DIV/0!</v>
      </c>
      <c r="S305" s="21" t="e">
        <f>((S170+S224)*_xlfn.XLOOKUP(S$281,tons_kWh!$C$2:$BA$2,tons_kWh!$C25:$BA25))+(S251*tons_co2_per_therm*therms_per_mcf)</f>
        <v>#DIV/0!</v>
      </c>
      <c r="T305" s="21" t="e">
        <f>((T170+T224)*_xlfn.XLOOKUP(T$281,tons_kWh!$C$2:$BA$2,tons_kWh!$C25:$BA25))+(T251*tons_co2_per_therm*therms_per_mcf)</f>
        <v>#DIV/0!</v>
      </c>
      <c r="U305" s="21" t="e">
        <f>((U170+U224)*_xlfn.XLOOKUP(U$281,tons_kWh!$C$2:$BA$2,tons_kWh!$C25:$BA25))+(U251*tons_co2_per_therm*therms_per_mcf)</f>
        <v>#DIV/0!</v>
      </c>
      <c r="V305" s="21" t="e">
        <f>((V170+V224)*_xlfn.XLOOKUP(V$281,tons_kWh!$C$2:$BA$2,tons_kWh!$C25:$BA25))+(V251*tons_co2_per_therm*therms_per_mcf)</f>
        <v>#DIV/0!</v>
      </c>
      <c r="W305" s="21" t="e">
        <f>((W170+W224)*_xlfn.XLOOKUP(W$281,tons_kWh!$C$2:$BA$2,tons_kWh!$C25:$BA25))+(W251*tons_co2_per_therm*therms_per_mcf)</f>
        <v>#DIV/0!</v>
      </c>
      <c r="X305" s="21" t="e">
        <f>((X170+X224)*_xlfn.XLOOKUP(X$281,tons_kWh!$C$2:$BA$2,tons_kWh!$C25:$BA25))+(X251*tons_co2_per_therm*therms_per_mcf)</f>
        <v>#DIV/0!</v>
      </c>
      <c r="Y305" s="21" t="e">
        <f>((Y170+Y224)*_xlfn.XLOOKUP(Y$281,tons_kWh!$C$2:$BA$2,tons_kWh!$C25:$BA25))+(Y251*tons_co2_per_therm*therms_per_mcf)</f>
        <v>#DIV/0!</v>
      </c>
      <c r="Z305" s="21" t="e">
        <f>((Z170+Z224)*_xlfn.XLOOKUP(Z$281,tons_kWh!$C$2:$BA$2,tons_kWh!$C25:$BA25))+(Z251*tons_co2_per_therm*therms_per_mcf)</f>
        <v>#DIV/0!</v>
      </c>
      <c r="AA305" s="21" t="e">
        <f>((AA170+AA224)*_xlfn.XLOOKUP(AA$281,tons_kWh!$C$2:$BA$2,tons_kWh!$C25:$BA25))+(AA251*tons_co2_per_therm*therms_per_mcf)</f>
        <v>#DIV/0!</v>
      </c>
      <c r="AB305" s="21" t="e">
        <f>((AB170+AB224)*_xlfn.XLOOKUP(AB$281,tons_kWh!$C$2:$BA$2,tons_kWh!$C25:$BA25))+(AB251*tons_co2_per_therm*therms_per_mcf)</f>
        <v>#DIV/0!</v>
      </c>
      <c r="AC305" s="21" t="e">
        <f>((AC170+AC224)*_xlfn.XLOOKUP(AC$281,tons_kWh!$C$2:$BA$2,tons_kWh!$C25:$BA25))+(AC251*tons_co2_per_therm*therms_per_mcf)</f>
        <v>#DIV/0!</v>
      </c>
      <c r="AD305" s="21" t="e">
        <f>((AD170+AD224)*_xlfn.XLOOKUP(AD$281,tons_kWh!$C$2:$BA$2,tons_kWh!$C25:$BA25))+(AD251*tons_co2_per_therm*therms_per_mcf)</f>
        <v>#DIV/0!</v>
      </c>
      <c r="AE305" s="21" t="e">
        <f>((AE170+AE224)*_xlfn.XLOOKUP(AE$281,tons_kWh!$C$2:$BA$2,tons_kWh!$C25:$BA25))+(AE251*tons_co2_per_therm*therms_per_mcf)</f>
        <v>#DIV/0!</v>
      </c>
      <c r="AF305" s="21" t="e">
        <f>((AF170+AF224)*_xlfn.XLOOKUP(AF$281,tons_kWh!$C$2:$BA$2,tons_kWh!$C25:$BA25))+(AF251*tons_co2_per_therm*therms_per_mcf)</f>
        <v>#DIV/0!</v>
      </c>
      <c r="AG305" s="21" t="e">
        <f>((AG170+AG224)*_xlfn.XLOOKUP(AG$281,tons_kWh!$C$2:$BA$2,tons_kWh!$C25:$BA25))+(AG251*tons_co2_per_therm*therms_per_mcf)</f>
        <v>#DIV/0!</v>
      </c>
      <c r="AH305" s="21" t="e">
        <f>((AH170+AH224)*_xlfn.XLOOKUP(AH$281,tons_kWh!$C$2:$BA$2,tons_kWh!$C25:$BA25))+(AH251*tons_co2_per_therm*therms_per_mcf)</f>
        <v>#DIV/0!</v>
      </c>
      <c r="AI305" s="21" t="e">
        <f>((AI170+AI224)*_xlfn.XLOOKUP(AI$281,tons_kWh!$C$2:$BA$2,tons_kWh!$C25:$BA25))+(AI251*tons_co2_per_therm*therms_per_mcf)</f>
        <v>#DIV/0!</v>
      </c>
      <c r="AJ305" s="21" t="e">
        <f>((AJ170+AJ224)*_xlfn.XLOOKUP(AJ$281,tons_kWh!$C$2:$BA$2,tons_kWh!$C25:$BA25))+(AJ251*tons_co2_per_therm*therms_per_mcf)</f>
        <v>#DIV/0!</v>
      </c>
      <c r="AK305" s="21" t="e">
        <f>((AK170+AK224)*_xlfn.XLOOKUP(AK$281,tons_kWh!$C$2:$BA$2,tons_kWh!$C25:$BA25))+(AK251*tons_co2_per_therm*therms_per_mcf)</f>
        <v>#DIV/0!</v>
      </c>
      <c r="AL305" s="21" t="e">
        <f>((AL170+AL224)*_xlfn.XLOOKUP(AL$281,tons_kWh!$C$2:$BA$2,tons_kWh!$C25:$BA25))+(AL251*tons_co2_per_therm*therms_per_mcf)</f>
        <v>#DIV/0!</v>
      </c>
      <c r="AM305" s="21" t="e">
        <f>((AM170+AM224)*_xlfn.XLOOKUP(AM$281,tons_kWh!$C$2:$BA$2,tons_kWh!$C25:$BA25))+(AM251*tons_co2_per_therm*therms_per_mcf)</f>
        <v>#DIV/0!</v>
      </c>
      <c r="AN305" s="21" t="e">
        <f>((AN170+AN224)*_xlfn.XLOOKUP(AN$281,tons_kWh!$C$2:$BA$2,tons_kWh!$C25:$BA25))+(AN251*tons_co2_per_therm*therms_per_mcf)</f>
        <v>#DIV/0!</v>
      </c>
      <c r="AO305" s="21" t="e">
        <f>((AO170+AO224)*_xlfn.XLOOKUP(AO$281,tons_kWh!$C$2:$BA$2,tons_kWh!$C25:$BA25))+(AO251*tons_co2_per_therm*therms_per_mcf)</f>
        <v>#DIV/0!</v>
      </c>
      <c r="AP305" s="21" t="e">
        <f>((AP170+AP224)*_xlfn.XLOOKUP(AP$281,tons_kWh!$C$2:$BA$2,tons_kWh!$C25:$BA25))+(AP251*tons_co2_per_therm*therms_per_mcf)</f>
        <v>#DIV/0!</v>
      </c>
      <c r="AQ305" s="21" t="e">
        <f>((AQ170+AQ224)*_xlfn.XLOOKUP(AQ$281,tons_kWh!$C$2:$BA$2,tons_kWh!$C25:$BA25))+(AQ251*tons_co2_per_therm*therms_per_mcf)</f>
        <v>#DIV/0!</v>
      </c>
      <c r="AR305" s="21" t="e">
        <f>((AR170+AR224)*_xlfn.XLOOKUP(AR$281,tons_kWh!$C$2:$BA$2,tons_kWh!$C25:$BA25))+(AR251*tons_co2_per_therm*therms_per_mcf)</f>
        <v>#DIV/0!</v>
      </c>
      <c r="AS305" s="21" t="e">
        <f>((AS170+AS224)*_xlfn.XLOOKUP(AS$281,tons_kWh!$C$2:$BA$2,tons_kWh!$C25:$BA25))+(AS251*tons_co2_per_therm*therms_per_mcf)</f>
        <v>#DIV/0!</v>
      </c>
      <c r="AT305" s="21" t="e">
        <f>((AT170+AT224)*_xlfn.XLOOKUP(AT$281,tons_kWh!$C$2:$BA$2,tons_kWh!$C25:$BA25))+(AT251*tons_co2_per_therm*therms_per_mcf)</f>
        <v>#DIV/0!</v>
      </c>
      <c r="AU305" s="21" t="e">
        <f>((AU170+AU224)*_xlfn.XLOOKUP(AU$281,tons_kWh!$C$2:$BA$2,tons_kWh!$C25:$BA25))+(AU251*tons_co2_per_therm*therms_per_mcf)</f>
        <v>#DIV/0!</v>
      </c>
      <c r="AV305" s="21" t="e">
        <f>((AV170+AV224)*_xlfn.XLOOKUP(AV$281,tons_kWh!$C$2:$BA$2,tons_kWh!$C25:$BA25))+(AV251*tons_co2_per_therm*therms_per_mcf)</f>
        <v>#DIV/0!</v>
      </c>
      <c r="AW305" s="21" t="e">
        <f>((AW170+AW224)*_xlfn.XLOOKUP(AW$281,tons_kWh!$C$2:$BA$2,tons_kWh!$C25:$BA25))+(AW251*tons_co2_per_therm*therms_per_mcf)</f>
        <v>#DIV/0!</v>
      </c>
      <c r="AX305" s="21" t="e">
        <f>((AX170+AX224)*_xlfn.XLOOKUP(AX$281,tons_kWh!$C$2:$BA$2,tons_kWh!$C25:$BA25))+(AX251*tons_co2_per_therm*therms_per_mcf)</f>
        <v>#DIV/0!</v>
      </c>
      <c r="AY305" s="21" t="e">
        <f>((AY170+AY224)*_xlfn.XLOOKUP(AY$281,tons_kWh!$C$2:$BA$2,tons_kWh!$C25:$BA25))+(AY251*tons_co2_per_therm*therms_per_mcf)</f>
        <v>#DIV/0!</v>
      </c>
      <c r="AZ305" s="21" t="e">
        <f>((AZ170+AZ224)*_xlfn.XLOOKUP(AZ$281,tons_kWh!$C$2:$BA$2,tons_kWh!$C25:$BA25))+(AZ251*tons_co2_per_therm*therms_per_mcf)</f>
        <v>#DIV/0!</v>
      </c>
      <c r="BA305" s="21" t="e">
        <f>((BA170+BA224)*_xlfn.XLOOKUP(BA$281,tons_kWh!$C$2:$BA$2,tons_kWh!$C25:$BA25))+(BA251*tons_co2_per_therm*therms_per_mcf)</f>
        <v>#DIV/0!</v>
      </c>
      <c r="BB305" s="21" t="e">
        <f t="shared" si="245"/>
        <v>#DIV/0!</v>
      </c>
    </row>
    <row r="306" spans="1:54">
      <c r="A306" s="456"/>
      <c r="B306" s="226">
        <v>2030</v>
      </c>
      <c r="C306" s="21" t="e">
        <f>((C171+C225)*_xlfn.XLOOKUP(C$281,tons_kWh!$C$2:$BA$2,tons_kWh!$C26:$BA26))+(C252*tons_co2_per_therm*therms_per_mcf)</f>
        <v>#DIV/0!</v>
      </c>
      <c r="D306" s="21" t="e">
        <f>((D171+D225)*_xlfn.XLOOKUP(D$281,tons_kWh!$C$2:$BA$2,tons_kWh!$C26:$BA26))+(D252*tons_co2_per_therm*therms_per_mcf)</f>
        <v>#DIV/0!</v>
      </c>
      <c r="E306" s="21" t="e">
        <f>((E171+E225)*_xlfn.XLOOKUP(E$281,tons_kWh!$C$2:$BA$2,tons_kWh!$C26:$BA26))+(E252*tons_co2_per_therm*therms_per_mcf)</f>
        <v>#DIV/0!</v>
      </c>
      <c r="F306" s="21" t="e">
        <f>((F171+F225)*_xlfn.XLOOKUP(F$281,tons_kWh!$C$2:$BA$2,tons_kWh!$C26:$BA26))+(F252*tons_co2_per_therm*therms_per_mcf)</f>
        <v>#DIV/0!</v>
      </c>
      <c r="G306" s="21" t="e">
        <f>((G171+G225)*_xlfn.XLOOKUP(G$281,tons_kWh!$C$2:$BA$2,tons_kWh!$C26:$BA26))+(G252*tons_co2_per_therm*therms_per_mcf)</f>
        <v>#DIV/0!</v>
      </c>
      <c r="H306" s="21" t="e">
        <f>((H171+H225)*_xlfn.XLOOKUP(H$281,tons_kWh!$C$2:$BA$2,tons_kWh!$C26:$BA26))+(H252*tons_co2_per_therm*therms_per_mcf)</f>
        <v>#DIV/0!</v>
      </c>
      <c r="I306" s="21" t="e">
        <f>((I171+I225)*_xlfn.XLOOKUP(I$281,tons_kWh!$C$2:$BA$2,tons_kWh!$C26:$BA26))+(I252*tons_co2_per_therm*therms_per_mcf)</f>
        <v>#DIV/0!</v>
      </c>
      <c r="J306" s="21" t="e">
        <f>((J171+J225)*_xlfn.XLOOKUP(J$281,tons_kWh!$C$2:$BA$2,tons_kWh!$C26:$BA26))+(J252*tons_co2_per_therm*therms_per_mcf)</f>
        <v>#DIV/0!</v>
      </c>
      <c r="K306" s="21" t="e">
        <f>((K171+K225)*_xlfn.XLOOKUP(K$281,tons_kWh!$C$2:$BA$2,tons_kWh!$C26:$BA26))+(K252*tons_co2_per_therm*therms_per_mcf)</f>
        <v>#DIV/0!</v>
      </c>
      <c r="L306" s="21" t="e">
        <f>((L171+L225)*_xlfn.XLOOKUP(L$281,tons_kWh!$C$2:$BA$2,tons_kWh!$C26:$BA26))+(L252*tons_co2_per_therm*therms_per_mcf)</f>
        <v>#DIV/0!</v>
      </c>
      <c r="M306" s="21" t="e">
        <f>((M171+M225)*_xlfn.XLOOKUP(M$281,tons_kWh!$C$2:$BA$2,tons_kWh!$C26:$BA26))+(M252*tons_co2_per_therm*therms_per_mcf)</f>
        <v>#DIV/0!</v>
      </c>
      <c r="N306" s="21" t="e">
        <f>((N171+N225)*_xlfn.XLOOKUP(N$281,tons_kWh!$C$2:$BA$2,tons_kWh!$C26:$BA26))+(N252*tons_co2_per_therm*therms_per_mcf)</f>
        <v>#DIV/0!</v>
      </c>
      <c r="O306" s="21" t="e">
        <f>((O171+O225)*_xlfn.XLOOKUP(O$281,tons_kWh!$C$2:$BA$2,tons_kWh!$C26:$BA26))+(O252*tons_co2_per_therm*therms_per_mcf)</f>
        <v>#DIV/0!</v>
      </c>
      <c r="P306" s="21" t="e">
        <f>((P171+P225)*_xlfn.XLOOKUP(P$281,tons_kWh!$C$2:$BA$2,tons_kWh!$C26:$BA26))+(P252*tons_co2_per_therm*therms_per_mcf)</f>
        <v>#DIV/0!</v>
      </c>
      <c r="Q306" s="21" t="e">
        <f>((Q171+Q225)*_xlfn.XLOOKUP(Q$281,tons_kWh!$C$2:$BA$2,tons_kWh!$C26:$BA26))+(Q252*tons_co2_per_therm*therms_per_mcf)</f>
        <v>#DIV/0!</v>
      </c>
      <c r="R306" s="21" t="e">
        <f>((R171+R225)*_xlfn.XLOOKUP(R$281,tons_kWh!$C$2:$BA$2,tons_kWh!$C26:$BA26))+(R252*tons_co2_per_therm*therms_per_mcf)</f>
        <v>#DIV/0!</v>
      </c>
      <c r="S306" s="21" t="e">
        <f>((S171+S225)*_xlfn.XLOOKUP(S$281,tons_kWh!$C$2:$BA$2,tons_kWh!$C26:$BA26))+(S252*tons_co2_per_therm*therms_per_mcf)</f>
        <v>#DIV/0!</v>
      </c>
      <c r="T306" s="21" t="e">
        <f>((T171+T225)*_xlfn.XLOOKUP(T$281,tons_kWh!$C$2:$BA$2,tons_kWh!$C26:$BA26))+(T252*tons_co2_per_therm*therms_per_mcf)</f>
        <v>#DIV/0!</v>
      </c>
      <c r="U306" s="21" t="e">
        <f>((U171+U225)*_xlfn.XLOOKUP(U$281,tons_kWh!$C$2:$BA$2,tons_kWh!$C26:$BA26))+(U252*tons_co2_per_therm*therms_per_mcf)</f>
        <v>#DIV/0!</v>
      </c>
      <c r="V306" s="21" t="e">
        <f>((V171+V225)*_xlfn.XLOOKUP(V$281,tons_kWh!$C$2:$BA$2,tons_kWh!$C26:$BA26))+(V252*tons_co2_per_therm*therms_per_mcf)</f>
        <v>#DIV/0!</v>
      </c>
      <c r="W306" s="21" t="e">
        <f>((W171+W225)*_xlfn.XLOOKUP(W$281,tons_kWh!$C$2:$BA$2,tons_kWh!$C26:$BA26))+(W252*tons_co2_per_therm*therms_per_mcf)</f>
        <v>#DIV/0!</v>
      </c>
      <c r="X306" s="21" t="e">
        <f>((X171+X225)*_xlfn.XLOOKUP(X$281,tons_kWh!$C$2:$BA$2,tons_kWh!$C26:$BA26))+(X252*tons_co2_per_therm*therms_per_mcf)</f>
        <v>#DIV/0!</v>
      </c>
      <c r="Y306" s="21" t="e">
        <f>((Y171+Y225)*_xlfn.XLOOKUP(Y$281,tons_kWh!$C$2:$BA$2,tons_kWh!$C26:$BA26))+(Y252*tons_co2_per_therm*therms_per_mcf)</f>
        <v>#DIV/0!</v>
      </c>
      <c r="Z306" s="21" t="e">
        <f>((Z171+Z225)*_xlfn.XLOOKUP(Z$281,tons_kWh!$C$2:$BA$2,tons_kWh!$C26:$BA26))+(Z252*tons_co2_per_therm*therms_per_mcf)</f>
        <v>#DIV/0!</v>
      </c>
      <c r="AA306" s="21" t="e">
        <f>((AA171+AA225)*_xlfn.XLOOKUP(AA$281,tons_kWh!$C$2:$BA$2,tons_kWh!$C26:$BA26))+(AA252*tons_co2_per_therm*therms_per_mcf)</f>
        <v>#DIV/0!</v>
      </c>
      <c r="AB306" s="21" t="e">
        <f>((AB171+AB225)*_xlfn.XLOOKUP(AB$281,tons_kWh!$C$2:$BA$2,tons_kWh!$C26:$BA26))+(AB252*tons_co2_per_therm*therms_per_mcf)</f>
        <v>#DIV/0!</v>
      </c>
      <c r="AC306" s="21" t="e">
        <f>((AC171+AC225)*_xlfn.XLOOKUP(AC$281,tons_kWh!$C$2:$BA$2,tons_kWh!$C26:$BA26))+(AC252*tons_co2_per_therm*therms_per_mcf)</f>
        <v>#DIV/0!</v>
      </c>
      <c r="AD306" s="21" t="e">
        <f>((AD171+AD225)*_xlfn.XLOOKUP(AD$281,tons_kWh!$C$2:$BA$2,tons_kWh!$C26:$BA26))+(AD252*tons_co2_per_therm*therms_per_mcf)</f>
        <v>#DIV/0!</v>
      </c>
      <c r="AE306" s="21" t="e">
        <f>((AE171+AE225)*_xlfn.XLOOKUP(AE$281,tons_kWh!$C$2:$BA$2,tons_kWh!$C26:$BA26))+(AE252*tons_co2_per_therm*therms_per_mcf)</f>
        <v>#DIV/0!</v>
      </c>
      <c r="AF306" s="21" t="e">
        <f>((AF171+AF225)*_xlfn.XLOOKUP(AF$281,tons_kWh!$C$2:$BA$2,tons_kWh!$C26:$BA26))+(AF252*tons_co2_per_therm*therms_per_mcf)</f>
        <v>#DIV/0!</v>
      </c>
      <c r="AG306" s="21" t="e">
        <f>((AG171+AG225)*_xlfn.XLOOKUP(AG$281,tons_kWh!$C$2:$BA$2,tons_kWh!$C26:$BA26))+(AG252*tons_co2_per_therm*therms_per_mcf)</f>
        <v>#DIV/0!</v>
      </c>
      <c r="AH306" s="21" t="e">
        <f>((AH171+AH225)*_xlfn.XLOOKUP(AH$281,tons_kWh!$C$2:$BA$2,tons_kWh!$C26:$BA26))+(AH252*tons_co2_per_therm*therms_per_mcf)</f>
        <v>#DIV/0!</v>
      </c>
      <c r="AI306" s="21" t="e">
        <f>((AI171+AI225)*_xlfn.XLOOKUP(AI$281,tons_kWh!$C$2:$BA$2,tons_kWh!$C26:$BA26))+(AI252*tons_co2_per_therm*therms_per_mcf)</f>
        <v>#DIV/0!</v>
      </c>
      <c r="AJ306" s="21" t="e">
        <f>((AJ171+AJ225)*_xlfn.XLOOKUP(AJ$281,tons_kWh!$C$2:$BA$2,tons_kWh!$C26:$BA26))+(AJ252*tons_co2_per_therm*therms_per_mcf)</f>
        <v>#DIV/0!</v>
      </c>
      <c r="AK306" s="21" t="e">
        <f>((AK171+AK225)*_xlfn.XLOOKUP(AK$281,tons_kWh!$C$2:$BA$2,tons_kWh!$C26:$BA26))+(AK252*tons_co2_per_therm*therms_per_mcf)</f>
        <v>#DIV/0!</v>
      </c>
      <c r="AL306" s="21" t="e">
        <f>((AL171+AL225)*_xlfn.XLOOKUP(AL$281,tons_kWh!$C$2:$BA$2,tons_kWh!$C26:$BA26))+(AL252*tons_co2_per_therm*therms_per_mcf)</f>
        <v>#DIV/0!</v>
      </c>
      <c r="AM306" s="21" t="e">
        <f>((AM171+AM225)*_xlfn.XLOOKUP(AM$281,tons_kWh!$C$2:$BA$2,tons_kWh!$C26:$BA26))+(AM252*tons_co2_per_therm*therms_per_mcf)</f>
        <v>#DIV/0!</v>
      </c>
      <c r="AN306" s="21" t="e">
        <f>((AN171+AN225)*_xlfn.XLOOKUP(AN$281,tons_kWh!$C$2:$BA$2,tons_kWh!$C26:$BA26))+(AN252*tons_co2_per_therm*therms_per_mcf)</f>
        <v>#DIV/0!</v>
      </c>
      <c r="AO306" s="21" t="e">
        <f>((AO171+AO225)*_xlfn.XLOOKUP(AO$281,tons_kWh!$C$2:$BA$2,tons_kWh!$C26:$BA26))+(AO252*tons_co2_per_therm*therms_per_mcf)</f>
        <v>#DIV/0!</v>
      </c>
      <c r="AP306" s="21" t="e">
        <f>((AP171+AP225)*_xlfn.XLOOKUP(AP$281,tons_kWh!$C$2:$BA$2,tons_kWh!$C26:$BA26))+(AP252*tons_co2_per_therm*therms_per_mcf)</f>
        <v>#DIV/0!</v>
      </c>
      <c r="AQ306" s="21" t="e">
        <f>((AQ171+AQ225)*_xlfn.XLOOKUP(AQ$281,tons_kWh!$C$2:$BA$2,tons_kWh!$C26:$BA26))+(AQ252*tons_co2_per_therm*therms_per_mcf)</f>
        <v>#DIV/0!</v>
      </c>
      <c r="AR306" s="21" t="e">
        <f>((AR171+AR225)*_xlfn.XLOOKUP(AR$281,tons_kWh!$C$2:$BA$2,tons_kWh!$C26:$BA26))+(AR252*tons_co2_per_therm*therms_per_mcf)</f>
        <v>#DIV/0!</v>
      </c>
      <c r="AS306" s="21" t="e">
        <f>((AS171+AS225)*_xlfn.XLOOKUP(AS$281,tons_kWh!$C$2:$BA$2,tons_kWh!$C26:$BA26))+(AS252*tons_co2_per_therm*therms_per_mcf)</f>
        <v>#DIV/0!</v>
      </c>
      <c r="AT306" s="21" t="e">
        <f>((AT171+AT225)*_xlfn.XLOOKUP(AT$281,tons_kWh!$C$2:$BA$2,tons_kWh!$C26:$BA26))+(AT252*tons_co2_per_therm*therms_per_mcf)</f>
        <v>#DIV/0!</v>
      </c>
      <c r="AU306" s="21" t="e">
        <f>((AU171+AU225)*_xlfn.XLOOKUP(AU$281,tons_kWh!$C$2:$BA$2,tons_kWh!$C26:$BA26))+(AU252*tons_co2_per_therm*therms_per_mcf)</f>
        <v>#DIV/0!</v>
      </c>
      <c r="AV306" s="21" t="e">
        <f>((AV171+AV225)*_xlfn.XLOOKUP(AV$281,tons_kWh!$C$2:$BA$2,tons_kWh!$C26:$BA26))+(AV252*tons_co2_per_therm*therms_per_mcf)</f>
        <v>#DIV/0!</v>
      </c>
      <c r="AW306" s="21" t="e">
        <f>((AW171+AW225)*_xlfn.XLOOKUP(AW$281,tons_kWh!$C$2:$BA$2,tons_kWh!$C26:$BA26))+(AW252*tons_co2_per_therm*therms_per_mcf)</f>
        <v>#DIV/0!</v>
      </c>
      <c r="AX306" s="21" t="e">
        <f>((AX171+AX225)*_xlfn.XLOOKUP(AX$281,tons_kWh!$C$2:$BA$2,tons_kWh!$C26:$BA26))+(AX252*tons_co2_per_therm*therms_per_mcf)</f>
        <v>#DIV/0!</v>
      </c>
      <c r="AY306" s="21" t="e">
        <f>((AY171+AY225)*_xlfn.XLOOKUP(AY$281,tons_kWh!$C$2:$BA$2,tons_kWh!$C26:$BA26))+(AY252*tons_co2_per_therm*therms_per_mcf)</f>
        <v>#DIV/0!</v>
      </c>
      <c r="AZ306" s="21" t="e">
        <f>((AZ171+AZ225)*_xlfn.XLOOKUP(AZ$281,tons_kWh!$C$2:$BA$2,tons_kWh!$C26:$BA26))+(AZ252*tons_co2_per_therm*therms_per_mcf)</f>
        <v>#DIV/0!</v>
      </c>
      <c r="BA306" s="21" t="e">
        <f>((BA171+BA225)*_xlfn.XLOOKUP(BA$281,tons_kWh!$C$2:$BA$2,tons_kWh!$C26:$BA26))+(BA252*tons_co2_per_therm*therms_per_mcf)</f>
        <v>#DIV/0!</v>
      </c>
      <c r="BB306" s="21" t="e">
        <f t="shared" si="245"/>
        <v>#DIV/0!</v>
      </c>
    </row>
  </sheetData>
  <mergeCells count="13">
    <mergeCell ref="A227:A252"/>
    <mergeCell ref="A254:A279"/>
    <mergeCell ref="A281:A306"/>
    <mergeCell ref="A92:A117"/>
    <mergeCell ref="A119:A144"/>
    <mergeCell ref="A147:A171"/>
    <mergeCell ref="A173:A198"/>
    <mergeCell ref="A200:A225"/>
    <mergeCell ref="C38:BA38"/>
    <mergeCell ref="C33:BA33"/>
    <mergeCell ref="I5:K5"/>
    <mergeCell ref="N5:P5"/>
    <mergeCell ref="A66:A90"/>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7" tint="0.39997558519241921"/>
  </sheetPr>
  <dimension ref="A1:AE83"/>
  <sheetViews>
    <sheetView workbookViewId="0">
      <selection activeCell="B39" sqref="B39"/>
    </sheetView>
  </sheetViews>
  <sheetFormatPr defaultColWidth="8.85546875" defaultRowHeight="12.75"/>
  <cols>
    <col min="2" max="2" width="5" bestFit="1" customWidth="1"/>
    <col min="3" max="3" width="25.85546875" customWidth="1"/>
    <col min="4" max="4" width="4.85546875" customWidth="1"/>
    <col min="5" max="5" width="5.140625" bestFit="1" customWidth="1"/>
    <col min="6" max="6" width="43.85546875" bestFit="1" customWidth="1"/>
    <col min="7" max="7" width="3" customWidth="1"/>
    <col min="8" max="8" width="5" bestFit="1" customWidth="1"/>
    <col min="9" max="9" width="31.42578125" bestFit="1" customWidth="1"/>
    <col min="10" max="10" width="4.140625" customWidth="1"/>
    <col min="11" max="11" width="5.140625" bestFit="1" customWidth="1"/>
    <col min="12" max="12" width="25.85546875" customWidth="1"/>
    <col min="13" max="13" width="3.85546875" customWidth="1"/>
    <col min="15" max="15" width="17.42578125" customWidth="1"/>
  </cols>
  <sheetData>
    <row r="1" spans="1:31">
      <c r="A1" s="102"/>
      <c r="B1" s="102"/>
      <c r="C1" s="102"/>
      <c r="D1" s="102"/>
      <c r="E1" s="102"/>
      <c r="F1" s="102"/>
      <c r="G1" s="102"/>
      <c r="H1" s="102"/>
      <c r="I1" s="102"/>
      <c r="J1" s="127"/>
      <c r="K1" s="127"/>
      <c r="L1" s="127"/>
      <c r="M1" s="127"/>
      <c r="N1" s="102"/>
      <c r="O1" s="102"/>
      <c r="P1" s="102"/>
      <c r="Q1" s="102"/>
      <c r="R1" s="102"/>
      <c r="S1" s="102"/>
      <c r="T1" s="102"/>
      <c r="U1" s="102"/>
      <c r="V1" s="102"/>
      <c r="W1" s="102"/>
      <c r="X1" s="102"/>
      <c r="Y1" s="102"/>
      <c r="Z1" s="102"/>
      <c r="AA1" s="102"/>
      <c r="AB1" s="102"/>
      <c r="AC1" s="102"/>
      <c r="AD1" s="102"/>
      <c r="AE1" s="102"/>
    </row>
    <row r="2" spans="1:31">
      <c r="A2" s="102"/>
      <c r="B2" s="102"/>
      <c r="C2" s="102"/>
      <c r="D2" s="102"/>
      <c r="E2" s="102"/>
      <c r="F2" s="102"/>
      <c r="G2" s="102"/>
      <c r="H2" s="102"/>
      <c r="I2" s="102"/>
      <c r="J2" s="127"/>
      <c r="K2" s="127"/>
      <c r="L2" s="127"/>
      <c r="M2" s="127"/>
      <c r="N2" s="102"/>
      <c r="O2" s="102"/>
      <c r="P2" s="102"/>
      <c r="Q2" s="102"/>
      <c r="R2" s="102"/>
      <c r="S2" s="102"/>
      <c r="T2" s="102"/>
      <c r="U2" s="102"/>
      <c r="V2" s="102"/>
      <c r="W2" s="102"/>
      <c r="X2" s="102"/>
      <c r="Y2" s="102"/>
      <c r="Z2" s="102"/>
      <c r="AA2" s="102"/>
      <c r="AB2" s="102"/>
      <c r="AC2" s="102"/>
      <c r="AD2" s="102"/>
      <c r="AE2" s="102"/>
    </row>
    <row r="3" spans="1:31">
      <c r="A3" s="102"/>
      <c r="B3" s="18"/>
      <c r="C3" s="68" t="s">
        <v>195</v>
      </c>
      <c r="D3" s="102"/>
      <c r="E3" s="102"/>
      <c r="F3" s="68" t="s">
        <v>236</v>
      </c>
      <c r="G3" s="102"/>
      <c r="H3" s="102"/>
      <c r="I3" s="102"/>
      <c r="J3" s="127"/>
      <c r="K3" s="127"/>
      <c r="L3" s="127"/>
      <c r="M3" s="127"/>
      <c r="N3" s="102"/>
      <c r="O3" s="102"/>
      <c r="P3" s="102"/>
      <c r="Q3" s="102"/>
      <c r="R3" s="102"/>
      <c r="S3" s="102"/>
      <c r="T3" s="102"/>
      <c r="U3" s="102"/>
      <c r="V3" s="102"/>
      <c r="W3" s="102"/>
      <c r="X3" s="102"/>
      <c r="Y3" s="102"/>
      <c r="Z3" s="102"/>
      <c r="AA3" s="102"/>
      <c r="AB3" s="102"/>
      <c r="AC3" s="102"/>
      <c r="AD3" s="102"/>
      <c r="AE3" s="102"/>
    </row>
    <row r="4" spans="1:31" ht="26.25" thickBot="1">
      <c r="A4" s="102"/>
      <c r="B4" s="18"/>
      <c r="C4" s="18"/>
      <c r="D4" s="103"/>
      <c r="E4" s="102"/>
      <c r="F4" s="104" t="s">
        <v>237</v>
      </c>
      <c r="G4" s="102"/>
      <c r="H4" s="68"/>
      <c r="I4" s="68" t="s">
        <v>238</v>
      </c>
      <c r="J4" s="129"/>
      <c r="K4" s="112"/>
      <c r="L4" s="61" t="s">
        <v>239</v>
      </c>
      <c r="M4" s="128"/>
      <c r="N4" s="102"/>
      <c r="O4" s="102"/>
      <c r="P4" s="102"/>
      <c r="Q4" s="102"/>
      <c r="R4" s="102"/>
      <c r="S4" s="102"/>
      <c r="T4" s="102"/>
      <c r="U4" s="102"/>
      <c r="V4" s="102"/>
      <c r="W4" s="102"/>
      <c r="X4" s="102"/>
      <c r="Y4" s="102"/>
      <c r="Z4" s="102"/>
      <c r="AA4" s="102"/>
      <c r="AB4" s="102"/>
      <c r="AC4" s="102"/>
      <c r="AD4" s="102"/>
      <c r="AE4" s="102"/>
    </row>
    <row r="5" spans="1:31" ht="64.5" thickBot="1">
      <c r="A5" s="102"/>
      <c r="B5" s="68"/>
      <c r="C5" s="71" t="s">
        <v>240</v>
      </c>
      <c r="D5" s="103"/>
      <c r="F5" s="50" t="s">
        <v>210</v>
      </c>
      <c r="G5" s="102"/>
      <c r="H5" s="69"/>
      <c r="I5" s="72" t="s">
        <v>213</v>
      </c>
      <c r="J5" s="129"/>
      <c r="K5" s="126"/>
      <c r="L5" s="50" t="str">
        <f>"USD ($" &amp;current_year &amp; ")"</f>
        <v>USD ($2024)</v>
      </c>
      <c r="M5" s="128"/>
      <c r="N5" s="102"/>
      <c r="O5" s="102"/>
      <c r="P5" s="102"/>
      <c r="Q5" s="102"/>
      <c r="R5" s="102"/>
      <c r="S5" s="102"/>
      <c r="T5" s="102"/>
      <c r="U5" s="102"/>
      <c r="V5" s="102"/>
      <c r="W5" s="102"/>
      <c r="X5" s="102"/>
      <c r="Y5" s="102"/>
      <c r="Z5" s="102"/>
      <c r="AA5" s="102"/>
      <c r="AB5" s="102"/>
      <c r="AC5" s="102"/>
      <c r="AD5" s="102"/>
      <c r="AE5" s="102"/>
    </row>
    <row r="6" spans="1:31" ht="13.5" thickBot="1">
      <c r="A6" s="102"/>
      <c r="B6" s="105" t="s">
        <v>11</v>
      </c>
      <c r="C6" s="62" t="s">
        <v>89</v>
      </c>
      <c r="D6" s="103"/>
      <c r="E6" s="105" t="s">
        <v>11</v>
      </c>
      <c r="F6" s="75" t="s">
        <v>89</v>
      </c>
      <c r="G6" s="102"/>
      <c r="H6" s="105" t="s">
        <v>11</v>
      </c>
      <c r="I6" s="75" t="s">
        <v>89</v>
      </c>
      <c r="J6" s="129"/>
      <c r="K6" s="120" t="s">
        <v>11</v>
      </c>
      <c r="L6" s="75" t="s">
        <v>89</v>
      </c>
      <c r="M6" s="127"/>
      <c r="N6" s="102"/>
      <c r="O6" s="102"/>
      <c r="P6" s="102"/>
      <c r="Q6" s="102"/>
      <c r="R6" s="102"/>
      <c r="S6" s="102"/>
      <c r="T6" s="102"/>
      <c r="U6" s="102"/>
      <c r="V6" s="102"/>
      <c r="W6" s="102"/>
      <c r="X6" s="102"/>
      <c r="Y6" s="102"/>
      <c r="Z6" s="102"/>
      <c r="AA6" s="102"/>
      <c r="AB6" s="102"/>
      <c r="AC6" s="102"/>
      <c r="AD6" s="102"/>
      <c r="AE6" s="102"/>
    </row>
    <row r="7" spans="1:31" ht="13.5" thickBot="1">
      <c r="A7" s="102"/>
      <c r="B7" s="105">
        <v>2007</v>
      </c>
      <c r="C7" s="80" cm="1">
        <f t="array" ref="C7">IF(B7&gt;current_year,"",INDEX(Toilets_h2o,B7-2006))</f>
        <v>0</v>
      </c>
      <c r="D7" s="103"/>
      <c r="E7" s="106">
        <v>2007</v>
      </c>
      <c r="F7" s="76">
        <f t="shared" ref="F7:F17" si="0">C7*(kwh_per_gal_drnk_water+kwh_per_gal_waste_water)</f>
        <v>0</v>
      </c>
      <c r="G7" s="102"/>
      <c r="H7" s="107">
        <v>2007</v>
      </c>
      <c r="I7" s="78">
        <f t="shared" ref="I7:I17" si="1">(F7*tons_co2_per_kwh)</f>
        <v>0</v>
      </c>
      <c r="J7" s="129"/>
      <c r="K7" s="1">
        <v>2007</v>
      </c>
      <c r="L7" s="121">
        <f t="shared" ref="L7:L30" si="2">IF(C7="","",(C7*10^-3*INDEX(water_res,K7-2006))*(IF(K7&lt;current_year,INDEX(GDP,current_year-2006),1)))</f>
        <v>0</v>
      </c>
      <c r="M7" s="127"/>
      <c r="N7" s="102"/>
      <c r="O7" s="234"/>
      <c r="P7" s="102"/>
      <c r="Q7" s="102"/>
      <c r="R7" s="102"/>
      <c r="S7" s="102"/>
      <c r="T7" s="102"/>
      <c r="U7" s="102"/>
      <c r="V7" s="102"/>
      <c r="W7" s="102"/>
      <c r="X7" s="102"/>
      <c r="Y7" s="102"/>
      <c r="Z7" s="102"/>
      <c r="AA7" s="102"/>
      <c r="AB7" s="102"/>
      <c r="AC7" s="102"/>
      <c r="AD7" s="102"/>
      <c r="AE7" s="102"/>
    </row>
    <row r="8" spans="1:31" ht="13.5" thickBot="1">
      <c r="A8" s="102"/>
      <c r="B8" s="105">
        <v>2008</v>
      </c>
      <c r="C8" s="80" cm="1">
        <f t="array" ref="C8">IF(B8&gt;current_year,"",INDEX(Toilets_h2o,B8-2006))</f>
        <v>0</v>
      </c>
      <c r="D8" s="103"/>
      <c r="E8" s="106">
        <v>2008</v>
      </c>
      <c r="F8" s="76">
        <f t="shared" si="0"/>
        <v>0</v>
      </c>
      <c r="G8" s="102"/>
      <c r="H8" s="107">
        <v>2008</v>
      </c>
      <c r="I8" s="78">
        <f t="shared" si="1"/>
        <v>0</v>
      </c>
      <c r="J8" s="129"/>
      <c r="K8" s="1">
        <v>2008</v>
      </c>
      <c r="L8" s="121">
        <f t="shared" si="2"/>
        <v>0</v>
      </c>
      <c r="M8" s="127"/>
      <c r="N8" s="102"/>
      <c r="O8" s="234"/>
      <c r="P8" s="102"/>
      <c r="Q8" s="102"/>
      <c r="R8" s="102"/>
      <c r="S8" s="102"/>
      <c r="T8" s="102"/>
      <c r="U8" s="102"/>
      <c r="V8" s="102"/>
      <c r="W8" s="102"/>
      <c r="X8" s="102"/>
      <c r="Y8" s="102"/>
      <c r="Z8" s="102"/>
      <c r="AA8" s="102"/>
      <c r="AB8" s="102"/>
      <c r="AC8" s="102"/>
      <c r="AD8" s="102"/>
      <c r="AE8" s="102"/>
    </row>
    <row r="9" spans="1:31" ht="13.5" thickBot="1">
      <c r="A9" s="102"/>
      <c r="B9" s="106">
        <v>2009</v>
      </c>
      <c r="C9" s="80" cm="1">
        <f t="array" ref="C9">IF(B9&gt;current_year,"",INDEX(Toilets_h2o,B9-2006))</f>
        <v>0</v>
      </c>
      <c r="D9" s="103"/>
      <c r="E9" s="106">
        <v>2009</v>
      </c>
      <c r="F9" s="76">
        <f t="shared" si="0"/>
        <v>0</v>
      </c>
      <c r="G9" s="102"/>
      <c r="H9" s="107">
        <v>2009</v>
      </c>
      <c r="I9" s="78">
        <f t="shared" si="1"/>
        <v>0</v>
      </c>
      <c r="J9" s="129"/>
      <c r="K9" s="1">
        <v>2009</v>
      </c>
      <c r="L9" s="121">
        <f t="shared" si="2"/>
        <v>0</v>
      </c>
      <c r="M9" s="127"/>
      <c r="N9" s="102"/>
      <c r="O9" s="234"/>
      <c r="P9" s="102"/>
      <c r="Q9" s="102"/>
      <c r="R9" s="102"/>
      <c r="S9" s="102"/>
      <c r="T9" s="102"/>
      <c r="U9" s="102"/>
      <c r="V9" s="102"/>
      <c r="W9" s="102"/>
      <c r="X9" s="102"/>
      <c r="Y9" s="102"/>
      <c r="Z9" s="102"/>
      <c r="AA9" s="102"/>
      <c r="AB9" s="102"/>
      <c r="AC9" s="102"/>
      <c r="AD9" s="102"/>
      <c r="AE9" s="102"/>
    </row>
    <row r="10" spans="1:31" ht="13.5" thickBot="1">
      <c r="A10" s="102"/>
      <c r="B10" s="106">
        <v>2010</v>
      </c>
      <c r="C10" s="80" cm="1">
        <f t="array" ref="C10">IF(B10&gt;current_year,"",INDEX(Toilets_h2o,B10-2006))</f>
        <v>0</v>
      </c>
      <c r="D10" s="103"/>
      <c r="E10" s="106">
        <v>2010</v>
      </c>
      <c r="F10" s="76">
        <f t="shared" si="0"/>
        <v>0</v>
      </c>
      <c r="G10" s="102"/>
      <c r="H10" s="107">
        <v>2010</v>
      </c>
      <c r="I10" s="78">
        <f t="shared" si="1"/>
        <v>0</v>
      </c>
      <c r="J10" s="129"/>
      <c r="K10" s="1">
        <v>2010</v>
      </c>
      <c r="L10" s="121">
        <f t="shared" si="2"/>
        <v>0</v>
      </c>
      <c r="M10" s="127"/>
      <c r="N10" s="102"/>
      <c r="O10" s="234"/>
      <c r="P10" s="102"/>
      <c r="Q10" s="102"/>
      <c r="R10" s="102"/>
      <c r="S10" s="102"/>
      <c r="T10" s="102"/>
      <c r="U10" s="102"/>
      <c r="V10" s="102"/>
      <c r="W10" s="102"/>
      <c r="X10" s="102"/>
      <c r="Y10" s="102"/>
      <c r="Z10" s="102"/>
      <c r="AA10" s="102"/>
      <c r="AB10" s="102"/>
      <c r="AC10" s="102"/>
      <c r="AD10" s="102"/>
      <c r="AE10" s="102"/>
    </row>
    <row r="11" spans="1:31" ht="13.5" thickBot="1">
      <c r="A11" s="102"/>
      <c r="B11" s="106">
        <v>2011</v>
      </c>
      <c r="C11" s="80" cm="1">
        <f t="array" ref="C11">IF(B11&gt;current_year,"",INDEX(Toilets_h2o,B11-2006))</f>
        <v>0</v>
      </c>
      <c r="D11" s="103"/>
      <c r="E11" s="106">
        <v>2011</v>
      </c>
      <c r="F11" s="76">
        <f t="shared" si="0"/>
        <v>0</v>
      </c>
      <c r="G11" s="102"/>
      <c r="H11" s="107">
        <v>2011</v>
      </c>
      <c r="I11" s="78">
        <f t="shared" si="1"/>
        <v>0</v>
      </c>
      <c r="J11" s="129"/>
      <c r="K11" s="1">
        <v>2011</v>
      </c>
      <c r="L11" s="121">
        <f t="shared" si="2"/>
        <v>0</v>
      </c>
      <c r="M11" s="127"/>
      <c r="N11" s="102"/>
      <c r="O11" s="234"/>
      <c r="P11" s="102"/>
      <c r="Q11" s="102"/>
      <c r="R11" s="102"/>
      <c r="S11" s="102"/>
      <c r="T11" s="102"/>
      <c r="U11" s="102"/>
      <c r="V11" s="102"/>
      <c r="W11" s="102"/>
      <c r="X11" s="102"/>
      <c r="Y11" s="102"/>
      <c r="Z11" s="102"/>
      <c r="AA11" s="102"/>
      <c r="AB11" s="102"/>
      <c r="AC11" s="102"/>
      <c r="AD11" s="102"/>
      <c r="AE11" s="102"/>
    </row>
    <row r="12" spans="1:31" ht="13.5" thickBot="1">
      <c r="A12" s="102"/>
      <c r="B12" s="105">
        <v>2012</v>
      </c>
      <c r="C12" s="80" cm="1">
        <f t="array" ref="C12">IF(B12&gt;current_year,"",INDEX(Toilets_h2o,B12-2006))</f>
        <v>0</v>
      </c>
      <c r="D12" s="103"/>
      <c r="E12" s="106">
        <v>2012</v>
      </c>
      <c r="F12" s="76">
        <f t="shared" si="0"/>
        <v>0</v>
      </c>
      <c r="G12" s="102"/>
      <c r="H12" s="107">
        <v>2012</v>
      </c>
      <c r="I12" s="78">
        <f t="shared" si="1"/>
        <v>0</v>
      </c>
      <c r="J12" s="129"/>
      <c r="K12" s="1">
        <v>2012</v>
      </c>
      <c r="L12" s="121">
        <f t="shared" si="2"/>
        <v>0</v>
      </c>
      <c r="M12" s="127"/>
      <c r="N12" s="102"/>
      <c r="O12" s="234"/>
      <c r="P12" s="102"/>
      <c r="Q12" s="102"/>
      <c r="R12" s="102"/>
      <c r="S12" s="102"/>
      <c r="T12" s="102"/>
      <c r="U12" s="102"/>
      <c r="V12" s="102"/>
      <c r="W12" s="102"/>
      <c r="X12" s="102"/>
      <c r="Y12" s="102"/>
      <c r="Z12" s="102"/>
      <c r="AA12" s="102"/>
      <c r="AB12" s="102"/>
      <c r="AC12" s="102"/>
      <c r="AD12" s="102"/>
      <c r="AE12" s="102"/>
    </row>
    <row r="13" spans="1:31" ht="13.5" thickBot="1">
      <c r="A13" s="102"/>
      <c r="B13" s="105">
        <v>2013</v>
      </c>
      <c r="C13" s="80" cm="1">
        <f t="array" ref="C13">IF(B13&gt;current_year,"",INDEX(Toilets_h2o,B13-2006))</f>
        <v>0</v>
      </c>
      <c r="D13" s="103"/>
      <c r="E13" s="106">
        <v>2013</v>
      </c>
      <c r="F13" s="76">
        <f t="shared" si="0"/>
        <v>0</v>
      </c>
      <c r="G13" s="102"/>
      <c r="H13" s="107">
        <v>2013</v>
      </c>
      <c r="I13" s="78">
        <f t="shared" si="1"/>
        <v>0</v>
      </c>
      <c r="J13" s="129"/>
      <c r="K13" s="120">
        <v>2013</v>
      </c>
      <c r="L13" s="121">
        <f t="shared" si="2"/>
        <v>0</v>
      </c>
      <c r="M13" s="127"/>
      <c r="N13" s="102"/>
      <c r="O13" s="234"/>
      <c r="P13" s="102"/>
      <c r="Q13" s="102"/>
      <c r="R13" s="102"/>
      <c r="S13" s="102"/>
      <c r="T13" s="102"/>
      <c r="U13" s="102"/>
      <c r="V13" s="102"/>
      <c r="W13" s="102"/>
      <c r="X13" s="102"/>
      <c r="Y13" s="102"/>
      <c r="Z13" s="102"/>
      <c r="AA13" s="102"/>
      <c r="AB13" s="102"/>
      <c r="AC13" s="102"/>
      <c r="AD13" s="102"/>
      <c r="AE13" s="102"/>
    </row>
    <row r="14" spans="1:31" ht="13.5" thickBot="1">
      <c r="A14" s="102"/>
      <c r="B14" s="105">
        <v>2014</v>
      </c>
      <c r="C14" s="80" cm="1">
        <f t="array" ref="C14">IF(B14&gt;current_year,"",INDEX(Toilets_h2o,B14-2006))</f>
        <v>0</v>
      </c>
      <c r="D14" s="103"/>
      <c r="E14" s="106">
        <v>2014</v>
      </c>
      <c r="F14" s="76">
        <f t="shared" si="0"/>
        <v>0</v>
      </c>
      <c r="G14" s="102"/>
      <c r="H14" s="106">
        <v>2014</v>
      </c>
      <c r="I14" s="78">
        <f t="shared" si="1"/>
        <v>0</v>
      </c>
      <c r="J14" s="129"/>
      <c r="K14" s="120">
        <v>2014</v>
      </c>
      <c r="L14" s="121">
        <f t="shared" si="2"/>
        <v>0</v>
      </c>
      <c r="M14" s="127"/>
      <c r="N14" s="102"/>
      <c r="O14" s="234"/>
      <c r="P14" s="102"/>
      <c r="Q14" s="102"/>
      <c r="R14" s="102"/>
      <c r="S14" s="102"/>
      <c r="T14" s="102"/>
      <c r="U14" s="102"/>
      <c r="V14" s="102"/>
      <c r="W14" s="102"/>
      <c r="X14" s="102"/>
      <c r="Y14" s="102"/>
      <c r="Z14" s="102"/>
      <c r="AA14" s="102"/>
      <c r="AB14" s="102"/>
      <c r="AC14" s="102"/>
      <c r="AD14" s="102"/>
      <c r="AE14" s="102"/>
    </row>
    <row r="15" spans="1:31" ht="13.5" thickBot="1">
      <c r="A15" s="102"/>
      <c r="B15" s="105">
        <v>2015</v>
      </c>
      <c r="C15" s="80" cm="1">
        <f t="array" ref="C15">IF(B15&gt;current_year,"",INDEX(Toilets_h2o,B15-2006))</f>
        <v>0</v>
      </c>
      <c r="D15" s="103"/>
      <c r="E15" s="106">
        <v>2015</v>
      </c>
      <c r="F15" s="76">
        <f t="shared" si="0"/>
        <v>0</v>
      </c>
      <c r="G15" s="102"/>
      <c r="H15" s="106">
        <v>2015</v>
      </c>
      <c r="I15" s="78">
        <f t="shared" si="1"/>
        <v>0</v>
      </c>
      <c r="J15" s="129"/>
      <c r="K15" s="120">
        <v>2015</v>
      </c>
      <c r="L15" s="121">
        <f t="shared" si="2"/>
        <v>0</v>
      </c>
      <c r="M15" s="127"/>
      <c r="N15" s="102"/>
      <c r="O15" s="234"/>
      <c r="P15" s="102"/>
      <c r="Q15" s="102"/>
      <c r="R15" s="102"/>
      <c r="S15" s="102"/>
      <c r="T15" s="102"/>
      <c r="U15" s="102"/>
      <c r="V15" s="102"/>
      <c r="W15" s="102"/>
      <c r="X15" s="102"/>
      <c r="Y15" s="102"/>
      <c r="Z15" s="102"/>
      <c r="AA15" s="102"/>
      <c r="AB15" s="102"/>
      <c r="AC15" s="102"/>
      <c r="AD15" s="102"/>
      <c r="AE15" s="102"/>
    </row>
    <row r="16" spans="1:31" ht="13.5" thickBot="1">
      <c r="A16" s="102"/>
      <c r="B16" s="105">
        <v>2016</v>
      </c>
      <c r="C16" s="80" cm="1">
        <f t="array" ref="C16">IF(B16&gt;current_year,"",INDEX(Toilets_h2o,B16-2006))</f>
        <v>0</v>
      </c>
      <c r="D16" s="103"/>
      <c r="E16" s="106">
        <v>2016</v>
      </c>
      <c r="F16" s="76">
        <f t="shared" si="0"/>
        <v>0</v>
      </c>
      <c r="G16" s="102"/>
      <c r="H16" s="106">
        <v>2016</v>
      </c>
      <c r="I16" s="78">
        <f t="shared" si="1"/>
        <v>0</v>
      </c>
      <c r="J16" s="129"/>
      <c r="K16" s="120">
        <v>2016</v>
      </c>
      <c r="L16" s="121">
        <f t="shared" si="2"/>
        <v>0</v>
      </c>
      <c r="M16" s="127"/>
      <c r="N16" s="102"/>
      <c r="O16" s="234"/>
      <c r="P16" s="102"/>
      <c r="Q16" s="102"/>
      <c r="R16" s="102"/>
      <c r="S16" s="102"/>
      <c r="T16" s="102"/>
      <c r="U16" s="102"/>
      <c r="V16" s="102"/>
      <c r="W16" s="102"/>
      <c r="X16" s="102"/>
      <c r="Y16" s="102"/>
      <c r="Z16" s="102"/>
      <c r="AA16" s="102"/>
      <c r="AB16" s="102"/>
      <c r="AC16" s="102"/>
      <c r="AD16" s="102"/>
      <c r="AE16" s="102"/>
    </row>
    <row r="17" spans="1:31" ht="13.5" thickBot="1">
      <c r="A17" s="102"/>
      <c r="B17" s="105">
        <v>2017</v>
      </c>
      <c r="C17" s="80" cm="1">
        <f t="array" ref="C17">IF(B17&gt;current_year,"",INDEX(Toilets_h2o,B17-2006))</f>
        <v>0</v>
      </c>
      <c r="D17" s="103"/>
      <c r="E17" s="106">
        <v>2017</v>
      </c>
      <c r="F17" s="76">
        <f t="shared" si="0"/>
        <v>0</v>
      </c>
      <c r="G17" s="102"/>
      <c r="H17" s="106">
        <v>2017</v>
      </c>
      <c r="I17" s="78">
        <f t="shared" si="1"/>
        <v>0</v>
      </c>
      <c r="J17" s="129"/>
      <c r="K17" s="120">
        <v>2017</v>
      </c>
      <c r="L17" s="121">
        <f t="shared" si="2"/>
        <v>0</v>
      </c>
      <c r="M17" s="127"/>
      <c r="N17" s="102"/>
      <c r="O17" s="234"/>
      <c r="P17" s="102"/>
      <c r="Q17" s="102"/>
      <c r="R17" s="102"/>
      <c r="S17" s="102"/>
      <c r="T17" s="102"/>
      <c r="U17" s="102"/>
      <c r="V17" s="102"/>
      <c r="W17" s="102"/>
      <c r="X17" s="102"/>
      <c r="Y17" s="102"/>
      <c r="Z17" s="102"/>
      <c r="AA17" s="102"/>
      <c r="AB17" s="102"/>
      <c r="AC17" s="102"/>
      <c r="AD17" s="102"/>
      <c r="AE17" s="102"/>
    </row>
    <row r="18" spans="1:31" ht="13.5" thickBot="1">
      <c r="A18" s="102"/>
      <c r="B18" s="105">
        <v>2018</v>
      </c>
      <c r="C18" s="80" cm="1">
        <f t="array" ref="C18">IF(B18&gt;current_year,"",INDEX(Toilets_h2o,B18-2006))</f>
        <v>0</v>
      </c>
      <c r="D18" s="103"/>
      <c r="E18" s="106">
        <v>2018</v>
      </c>
      <c r="F18" s="76">
        <f t="shared" ref="F18:F30" si="3">IF(C18="","",C18*(kwh_per_gal_drnk_water+kwh_per_gal_waste_water))</f>
        <v>0</v>
      </c>
      <c r="G18" s="102"/>
      <c r="H18" s="106">
        <v>2018</v>
      </c>
      <c r="I18" s="78">
        <f t="shared" ref="I18:I30" si="4">IF(F18="","",(F18*tons_co2_per_kwh))</f>
        <v>0</v>
      </c>
      <c r="J18" s="127"/>
      <c r="K18" s="120">
        <v>2018</v>
      </c>
      <c r="L18" s="121">
        <f t="shared" si="2"/>
        <v>0</v>
      </c>
      <c r="M18" s="127"/>
      <c r="N18" s="102"/>
      <c r="O18" s="234"/>
      <c r="P18" s="102"/>
      <c r="Q18" s="102"/>
      <c r="R18" s="102"/>
      <c r="S18" s="102"/>
      <c r="T18" s="102"/>
      <c r="U18" s="102"/>
      <c r="V18" s="102"/>
      <c r="W18" s="102"/>
      <c r="X18" s="102"/>
      <c r="Y18" s="102"/>
      <c r="Z18" s="102"/>
      <c r="AA18" s="102"/>
      <c r="AB18" s="102"/>
      <c r="AC18" s="102"/>
      <c r="AD18" s="102"/>
      <c r="AE18" s="102"/>
    </row>
    <row r="19" spans="1:31" ht="13.5" thickBot="1">
      <c r="A19" s="102"/>
      <c r="B19" s="105">
        <v>2019</v>
      </c>
      <c r="C19" s="80" cm="1">
        <f t="array" ref="C19">IF(B19&gt;current_year,"",INDEX(Toilets_h2o,B19-2006))</f>
        <v>0</v>
      </c>
      <c r="D19" s="103"/>
      <c r="E19" s="106">
        <v>2019</v>
      </c>
      <c r="F19" s="76">
        <f t="shared" si="3"/>
        <v>0</v>
      </c>
      <c r="G19" s="102"/>
      <c r="H19" s="106">
        <v>2019</v>
      </c>
      <c r="I19" s="78">
        <f t="shared" si="4"/>
        <v>0</v>
      </c>
      <c r="J19" s="127"/>
      <c r="K19" s="120">
        <v>2019</v>
      </c>
      <c r="L19" s="121">
        <f t="shared" si="2"/>
        <v>0</v>
      </c>
      <c r="M19" s="127"/>
      <c r="N19" s="102"/>
      <c r="O19" s="234"/>
      <c r="P19" s="102"/>
      <c r="Q19" s="102"/>
      <c r="R19" s="102"/>
      <c r="S19" s="102"/>
      <c r="T19" s="102"/>
      <c r="U19" s="102"/>
      <c r="V19" s="102"/>
      <c r="W19" s="102"/>
      <c r="X19" s="102"/>
      <c r="Y19" s="102"/>
      <c r="Z19" s="102"/>
      <c r="AA19" s="102"/>
      <c r="AB19" s="102"/>
      <c r="AC19" s="102"/>
      <c r="AD19" s="102"/>
      <c r="AE19" s="102"/>
    </row>
    <row r="20" spans="1:31" ht="13.5" thickBot="1">
      <c r="A20" s="102"/>
      <c r="B20" s="105">
        <v>2020</v>
      </c>
      <c r="C20" s="80" cm="1">
        <f t="array" ref="C20">IF(B20&gt;current_year,"",INDEX(Toilets_h2o,B20-2006))</f>
        <v>0</v>
      </c>
      <c r="D20" s="103"/>
      <c r="E20" s="106">
        <v>2020</v>
      </c>
      <c r="F20" s="76">
        <f t="shared" si="3"/>
        <v>0</v>
      </c>
      <c r="G20" s="102"/>
      <c r="H20" s="106">
        <v>2020</v>
      </c>
      <c r="I20" s="78">
        <f t="shared" si="4"/>
        <v>0</v>
      </c>
      <c r="J20" s="127"/>
      <c r="K20" s="120">
        <v>2020</v>
      </c>
      <c r="L20" s="121">
        <f t="shared" si="2"/>
        <v>0</v>
      </c>
      <c r="M20" s="127"/>
      <c r="N20" s="102"/>
      <c r="O20" s="234"/>
      <c r="P20" s="102"/>
      <c r="Q20" s="102"/>
      <c r="R20" s="102"/>
      <c r="S20" s="102"/>
      <c r="T20" s="102"/>
      <c r="U20" s="102"/>
      <c r="V20" s="102"/>
      <c r="W20" s="102"/>
      <c r="X20" s="102"/>
      <c r="Y20" s="102"/>
      <c r="Z20" s="102"/>
      <c r="AA20" s="102"/>
      <c r="AB20" s="102"/>
      <c r="AC20" s="102"/>
      <c r="AD20" s="102"/>
      <c r="AE20" s="102"/>
    </row>
    <row r="21" spans="1:31" ht="13.5" thickBot="1">
      <c r="A21" s="102"/>
      <c r="B21" s="105">
        <v>2021</v>
      </c>
      <c r="C21" s="80" cm="1">
        <f t="array" ref="C21">IF(B21&gt;current_year,"",INDEX(Toilets_h2o,B21-2006))</f>
        <v>0</v>
      </c>
      <c r="D21" s="103"/>
      <c r="E21" s="106">
        <v>2021</v>
      </c>
      <c r="F21" s="76">
        <f t="shared" si="3"/>
        <v>0</v>
      </c>
      <c r="G21" s="102"/>
      <c r="H21" s="106">
        <v>2021</v>
      </c>
      <c r="I21" s="78">
        <f t="shared" si="4"/>
        <v>0</v>
      </c>
      <c r="J21" s="132"/>
      <c r="K21" s="120">
        <v>2021</v>
      </c>
      <c r="L21" s="121">
        <f t="shared" si="2"/>
        <v>0</v>
      </c>
      <c r="M21" s="127"/>
      <c r="N21" s="102"/>
      <c r="O21" s="234"/>
      <c r="P21" s="102"/>
      <c r="Q21" s="102"/>
      <c r="R21" s="102"/>
      <c r="S21" s="102"/>
      <c r="T21" s="102"/>
      <c r="U21" s="102"/>
      <c r="V21" s="102"/>
      <c r="W21" s="102"/>
      <c r="X21" s="102"/>
      <c r="Y21" s="102"/>
      <c r="Z21" s="102"/>
      <c r="AA21" s="102"/>
      <c r="AB21" s="102"/>
      <c r="AC21" s="102"/>
      <c r="AD21" s="102"/>
      <c r="AE21" s="102"/>
    </row>
    <row r="22" spans="1:31" ht="13.5" thickBot="1">
      <c r="A22" s="102"/>
      <c r="B22" s="105">
        <v>2022</v>
      </c>
      <c r="C22" s="80" cm="1">
        <f t="array" ref="C22">IF(B22&gt;current_year,"",INDEX(Toilets_h2o,B22-2006))</f>
        <v>0</v>
      </c>
      <c r="D22" s="103"/>
      <c r="E22" s="106">
        <v>2022</v>
      </c>
      <c r="F22" s="76">
        <f t="shared" si="3"/>
        <v>0</v>
      </c>
      <c r="G22" s="102"/>
      <c r="H22" s="106">
        <v>2022</v>
      </c>
      <c r="I22" s="78">
        <f t="shared" si="4"/>
        <v>0</v>
      </c>
      <c r="J22" s="127"/>
      <c r="K22" s="120">
        <v>2022</v>
      </c>
      <c r="L22" s="121">
        <f t="shared" si="2"/>
        <v>0</v>
      </c>
      <c r="M22" s="127"/>
      <c r="N22" s="102"/>
      <c r="O22" s="234"/>
      <c r="P22" s="102"/>
      <c r="Q22" s="102"/>
      <c r="R22" s="102"/>
      <c r="S22" s="102"/>
      <c r="T22" s="102"/>
      <c r="U22" s="102"/>
      <c r="V22" s="102"/>
      <c r="W22" s="102"/>
      <c r="X22" s="102"/>
      <c r="Y22" s="102"/>
      <c r="Z22" s="102"/>
      <c r="AA22" s="102"/>
      <c r="AB22" s="102"/>
      <c r="AC22" s="102"/>
      <c r="AD22" s="102"/>
      <c r="AE22" s="102"/>
    </row>
    <row r="23" spans="1:31" ht="13.5" thickBot="1">
      <c r="A23" s="102"/>
      <c r="B23" s="105">
        <v>2023</v>
      </c>
      <c r="C23" s="80" cm="1">
        <f t="array" ref="C23">IF(B23&gt;current_year,"",INDEX(Toilets_h2o,B23-2006))</f>
        <v>0</v>
      </c>
      <c r="D23" s="103"/>
      <c r="E23" s="106">
        <v>2023</v>
      </c>
      <c r="F23" s="76">
        <f t="shared" si="3"/>
        <v>0</v>
      </c>
      <c r="G23" s="102"/>
      <c r="H23" s="106">
        <v>2023</v>
      </c>
      <c r="I23" s="78">
        <f t="shared" si="4"/>
        <v>0</v>
      </c>
      <c r="J23" s="127"/>
      <c r="K23" s="120">
        <v>2023</v>
      </c>
      <c r="L23" s="121">
        <f t="shared" si="2"/>
        <v>0</v>
      </c>
      <c r="M23" s="127"/>
      <c r="N23" s="102"/>
      <c r="O23" s="102"/>
      <c r="P23" s="102"/>
      <c r="Q23" s="102"/>
      <c r="R23" s="102"/>
      <c r="S23" s="102"/>
      <c r="T23" s="102"/>
      <c r="U23" s="102"/>
      <c r="V23" s="102"/>
      <c r="W23" s="102"/>
      <c r="X23" s="102"/>
      <c r="Y23" s="102"/>
      <c r="Z23" s="102"/>
      <c r="AA23" s="102"/>
      <c r="AB23" s="102"/>
      <c r="AC23" s="102"/>
      <c r="AD23" s="102"/>
      <c r="AE23" s="102"/>
    </row>
    <row r="24" spans="1:31" ht="13.5" thickBot="1">
      <c r="A24" s="102"/>
      <c r="B24" s="105">
        <v>2024</v>
      </c>
      <c r="C24" s="80" cm="1">
        <f t="array" ref="C24">IF(B24&gt;current_year,"",INDEX(Toilets_h2o,B24-2006))</f>
        <v>0</v>
      </c>
      <c r="D24" s="103"/>
      <c r="E24" s="106">
        <v>2024</v>
      </c>
      <c r="F24" s="76">
        <f t="shared" si="3"/>
        <v>0</v>
      </c>
      <c r="G24" s="102"/>
      <c r="H24" s="106">
        <v>2024</v>
      </c>
      <c r="I24" s="78">
        <f t="shared" si="4"/>
        <v>0</v>
      </c>
      <c r="J24" s="127"/>
      <c r="K24" s="120">
        <v>2024</v>
      </c>
      <c r="L24" s="121">
        <f t="shared" si="2"/>
        <v>0</v>
      </c>
      <c r="M24" s="127"/>
      <c r="N24" s="102"/>
      <c r="O24" s="102"/>
      <c r="P24" s="102"/>
      <c r="Q24" s="102"/>
      <c r="R24" s="102"/>
      <c r="S24" s="102"/>
      <c r="T24" s="102"/>
      <c r="U24" s="102"/>
      <c r="V24" s="102"/>
      <c r="W24" s="102"/>
      <c r="X24" s="102"/>
      <c r="Y24" s="102"/>
      <c r="Z24" s="102"/>
      <c r="AA24" s="102"/>
      <c r="AB24" s="102"/>
      <c r="AC24" s="102"/>
      <c r="AD24" s="102"/>
      <c r="AE24" s="102"/>
    </row>
    <row r="25" spans="1:31" ht="13.5" thickBot="1">
      <c r="A25" s="102"/>
      <c r="B25" s="105">
        <v>2025</v>
      </c>
      <c r="C25" s="80" t="str" cm="1">
        <f t="array" ref="C25">IF(B25&gt;current_year,"",INDEX(Toilets_h2o,B25-2006))</f>
        <v/>
      </c>
      <c r="D25" s="103"/>
      <c r="E25" s="106">
        <v>2025</v>
      </c>
      <c r="F25" s="76" t="str">
        <f t="shared" si="3"/>
        <v/>
      </c>
      <c r="G25" s="102"/>
      <c r="H25" s="106">
        <v>2025</v>
      </c>
      <c r="I25" s="78" t="str">
        <f t="shared" si="4"/>
        <v/>
      </c>
      <c r="J25" s="127"/>
      <c r="K25" s="120">
        <v>2025</v>
      </c>
      <c r="L25" s="121" t="str">
        <f t="shared" si="2"/>
        <v/>
      </c>
      <c r="M25" s="127"/>
      <c r="N25" s="102"/>
      <c r="O25" s="102"/>
      <c r="P25" s="102"/>
      <c r="Q25" s="102"/>
      <c r="R25" s="102"/>
      <c r="S25" s="102"/>
      <c r="T25" s="102"/>
      <c r="U25" s="102"/>
      <c r="V25" s="102"/>
      <c r="W25" s="102"/>
      <c r="X25" s="102"/>
      <c r="Y25" s="102"/>
      <c r="Z25" s="102"/>
      <c r="AA25" s="102"/>
      <c r="AB25" s="102"/>
      <c r="AC25" s="102"/>
      <c r="AD25" s="102"/>
      <c r="AE25" s="102"/>
    </row>
    <row r="26" spans="1:31" ht="13.5" thickBot="1">
      <c r="A26" s="102"/>
      <c r="B26" s="105">
        <v>2026</v>
      </c>
      <c r="C26" s="80" t="str" cm="1">
        <f t="array" ref="C26">IF(B26&gt;current_year,"",INDEX(Toilets_h2o,B26-2006))</f>
        <v/>
      </c>
      <c r="D26" s="103"/>
      <c r="E26" s="106">
        <v>2026</v>
      </c>
      <c r="F26" s="76" t="str">
        <f t="shared" si="3"/>
        <v/>
      </c>
      <c r="G26" s="102"/>
      <c r="H26" s="106">
        <v>2026</v>
      </c>
      <c r="I26" s="78" t="str">
        <f t="shared" si="4"/>
        <v/>
      </c>
      <c r="J26" s="127"/>
      <c r="K26" s="120">
        <v>2026</v>
      </c>
      <c r="L26" s="121" t="str">
        <f t="shared" si="2"/>
        <v/>
      </c>
      <c r="M26" s="127"/>
      <c r="N26" s="102"/>
      <c r="O26" s="102"/>
      <c r="P26" s="102"/>
      <c r="Q26" s="102"/>
      <c r="R26" s="102"/>
      <c r="S26" s="102"/>
      <c r="T26" s="102"/>
      <c r="U26" s="102"/>
      <c r="V26" s="102"/>
      <c r="W26" s="102"/>
      <c r="X26" s="102"/>
      <c r="Y26" s="102"/>
      <c r="Z26" s="102"/>
      <c r="AA26" s="102"/>
      <c r="AB26" s="102"/>
      <c r="AC26" s="102"/>
      <c r="AD26" s="102"/>
      <c r="AE26" s="102"/>
    </row>
    <row r="27" spans="1:31" ht="13.5" thickBot="1">
      <c r="A27" s="102"/>
      <c r="B27" s="105">
        <v>2027</v>
      </c>
      <c r="C27" s="80" t="str" cm="1">
        <f t="array" ref="C27">IF(B27&gt;current_year,"",INDEX(Toilets_h2o,B27-2006))</f>
        <v/>
      </c>
      <c r="D27" s="103"/>
      <c r="E27" s="106">
        <v>2027</v>
      </c>
      <c r="F27" s="76" t="str">
        <f t="shared" si="3"/>
        <v/>
      </c>
      <c r="G27" s="102"/>
      <c r="H27" s="106">
        <v>2027</v>
      </c>
      <c r="I27" s="78" t="str">
        <f t="shared" si="4"/>
        <v/>
      </c>
      <c r="J27" s="127"/>
      <c r="K27" s="120">
        <v>2027</v>
      </c>
      <c r="L27" s="121" t="str">
        <f t="shared" si="2"/>
        <v/>
      </c>
      <c r="M27" s="127"/>
      <c r="N27" s="102"/>
      <c r="O27" s="102"/>
      <c r="P27" s="102"/>
      <c r="Q27" s="102"/>
      <c r="R27" s="102"/>
      <c r="S27" s="102"/>
      <c r="T27" s="102"/>
      <c r="U27" s="102"/>
      <c r="V27" s="102"/>
      <c r="W27" s="102"/>
      <c r="X27" s="102"/>
      <c r="Y27" s="102"/>
      <c r="Z27" s="102"/>
      <c r="AA27" s="102"/>
      <c r="AB27" s="102"/>
      <c r="AC27" s="102"/>
      <c r="AD27" s="102"/>
      <c r="AE27" s="102"/>
    </row>
    <row r="28" spans="1:31" ht="13.5" thickBot="1">
      <c r="A28" s="102"/>
      <c r="B28" s="105">
        <v>2028</v>
      </c>
      <c r="C28" s="80" t="str" cm="1">
        <f t="array" ref="C28">IF(B28&gt;current_year,"",INDEX(Toilets_h2o,B28-2006))</f>
        <v/>
      </c>
      <c r="D28" s="103"/>
      <c r="E28" s="106">
        <v>2028</v>
      </c>
      <c r="F28" s="76" t="str">
        <f t="shared" si="3"/>
        <v/>
      </c>
      <c r="G28" s="102"/>
      <c r="H28" s="106">
        <v>2028</v>
      </c>
      <c r="I28" s="78" t="str">
        <f t="shared" si="4"/>
        <v/>
      </c>
      <c r="J28" s="127"/>
      <c r="K28" s="120">
        <v>2028</v>
      </c>
      <c r="L28" s="121" t="str">
        <f t="shared" si="2"/>
        <v/>
      </c>
      <c r="M28" s="127"/>
      <c r="N28" s="102"/>
      <c r="O28" s="102"/>
      <c r="P28" s="102"/>
      <c r="Q28" s="102"/>
      <c r="R28" s="102"/>
      <c r="S28" s="102"/>
      <c r="T28" s="102"/>
      <c r="U28" s="102"/>
      <c r="V28" s="102"/>
      <c r="W28" s="102"/>
      <c r="X28" s="102"/>
      <c r="Y28" s="102"/>
      <c r="Z28" s="102"/>
      <c r="AA28" s="102"/>
      <c r="AB28" s="102"/>
      <c r="AC28" s="102"/>
      <c r="AD28" s="102"/>
      <c r="AE28" s="102"/>
    </row>
    <row r="29" spans="1:31" ht="13.5" thickBot="1">
      <c r="A29" s="102"/>
      <c r="B29" s="105">
        <v>2029</v>
      </c>
      <c r="C29" s="80" t="str" cm="1">
        <f t="array" ref="C29">IF(B29&gt;current_year,"",INDEX(Toilets_h2o,B29-2006))</f>
        <v/>
      </c>
      <c r="D29" s="103"/>
      <c r="E29" s="106">
        <v>2029</v>
      </c>
      <c r="F29" s="76" t="str">
        <f t="shared" si="3"/>
        <v/>
      </c>
      <c r="G29" s="102"/>
      <c r="H29" s="106">
        <v>2029</v>
      </c>
      <c r="I29" s="78" t="str">
        <f t="shared" si="4"/>
        <v/>
      </c>
      <c r="J29" s="127"/>
      <c r="K29" s="120">
        <v>2029</v>
      </c>
      <c r="L29" s="121" t="str">
        <f t="shared" si="2"/>
        <v/>
      </c>
      <c r="M29" s="127"/>
      <c r="N29" s="102"/>
      <c r="O29" s="102"/>
      <c r="P29" s="102"/>
      <c r="Q29" s="102"/>
      <c r="R29" s="102"/>
      <c r="S29" s="102"/>
      <c r="T29" s="102"/>
      <c r="U29" s="102"/>
      <c r="V29" s="102"/>
      <c r="W29" s="102"/>
      <c r="X29" s="102"/>
      <c r="Y29" s="102"/>
      <c r="Z29" s="102"/>
      <c r="AA29" s="102"/>
      <c r="AB29" s="102"/>
      <c r="AC29" s="102"/>
      <c r="AD29" s="102"/>
      <c r="AE29" s="102"/>
    </row>
    <row r="30" spans="1:31">
      <c r="A30" s="102"/>
      <c r="B30" s="105">
        <v>2030</v>
      </c>
      <c r="C30" s="80" t="str" cm="1">
        <f t="array" ref="C30">IF(B30&gt;current_year,"",INDEX(Toilets_h2o,B30-2006))</f>
        <v/>
      </c>
      <c r="D30" s="103"/>
      <c r="E30" s="106">
        <v>2030</v>
      </c>
      <c r="F30" s="76" t="str">
        <f t="shared" si="3"/>
        <v/>
      </c>
      <c r="G30" s="102"/>
      <c r="H30" s="106">
        <v>2030</v>
      </c>
      <c r="I30" s="78" t="str">
        <f t="shared" si="4"/>
        <v/>
      </c>
      <c r="J30" s="127"/>
      <c r="K30" s="120">
        <v>2030</v>
      </c>
      <c r="L30" s="121" t="str">
        <f t="shared" si="2"/>
        <v/>
      </c>
      <c r="M30" s="127"/>
      <c r="N30" s="102"/>
      <c r="O30" s="102"/>
      <c r="P30" s="102"/>
      <c r="Q30" s="102"/>
      <c r="R30" s="102"/>
      <c r="S30" s="102"/>
      <c r="T30" s="102"/>
      <c r="U30" s="102"/>
      <c r="V30" s="102"/>
      <c r="W30" s="102"/>
      <c r="X30" s="102"/>
      <c r="Y30" s="102"/>
      <c r="Z30" s="102"/>
      <c r="AA30" s="102"/>
      <c r="AB30" s="102"/>
      <c r="AC30" s="102"/>
      <c r="AD30" s="102"/>
      <c r="AE30" s="102"/>
    </row>
    <row r="31" spans="1:31">
      <c r="A31" s="102"/>
      <c r="B31" s="102"/>
      <c r="C31" s="102"/>
      <c r="D31" s="102"/>
      <c r="E31" s="102"/>
      <c r="F31" s="102"/>
      <c r="G31" s="102"/>
      <c r="H31" s="102"/>
      <c r="I31" s="102"/>
      <c r="J31" s="127"/>
      <c r="K31" s="127"/>
      <c r="L31" s="127"/>
      <c r="M31" s="127"/>
      <c r="N31" s="102"/>
      <c r="O31" s="102"/>
      <c r="P31" s="102"/>
      <c r="Q31" s="102"/>
      <c r="R31" s="102"/>
      <c r="S31" s="102"/>
      <c r="T31" s="102"/>
      <c r="U31" s="102"/>
      <c r="V31" s="102"/>
      <c r="W31" s="102"/>
      <c r="X31" s="102"/>
      <c r="Y31" s="102"/>
      <c r="Z31" s="102"/>
      <c r="AA31" s="102"/>
      <c r="AB31" s="102"/>
      <c r="AC31" s="102"/>
      <c r="AD31" s="102"/>
      <c r="AE31" s="102"/>
    </row>
    <row r="32" spans="1:31">
      <c r="A32" s="102"/>
      <c r="B32" s="102"/>
      <c r="C32" s="102"/>
      <c r="D32" s="102"/>
      <c r="E32" s="102"/>
      <c r="F32" s="102"/>
      <c r="G32" s="102"/>
      <c r="H32" s="102"/>
      <c r="I32" s="102"/>
      <c r="J32" s="127"/>
      <c r="K32" s="127"/>
      <c r="L32" s="127"/>
      <c r="M32" s="127"/>
      <c r="N32" s="102"/>
      <c r="O32" s="102"/>
      <c r="P32" s="102"/>
      <c r="Q32" s="102"/>
      <c r="R32" s="102"/>
      <c r="S32" s="102"/>
      <c r="T32" s="102"/>
      <c r="U32" s="102"/>
      <c r="V32" s="102"/>
      <c r="W32" s="102"/>
      <c r="X32" s="102"/>
      <c r="Y32" s="102"/>
      <c r="Z32" s="102"/>
      <c r="AA32" s="102"/>
      <c r="AB32" s="102"/>
      <c r="AC32" s="102"/>
      <c r="AD32" s="102"/>
      <c r="AE32" s="102"/>
    </row>
    <row r="33" spans="1:31">
      <c r="A33" s="102"/>
      <c r="B33" s="102"/>
      <c r="C33" s="102"/>
      <c r="D33" s="102"/>
      <c r="E33" s="102"/>
      <c r="F33" s="102"/>
      <c r="G33" s="102"/>
      <c r="H33" s="102"/>
      <c r="I33" s="102"/>
      <c r="J33" s="127"/>
      <c r="K33" s="127"/>
      <c r="L33" s="127"/>
      <c r="M33" s="127"/>
      <c r="N33" s="102"/>
      <c r="O33" s="102"/>
      <c r="P33" s="102"/>
      <c r="Q33" s="102"/>
      <c r="R33" s="102"/>
      <c r="S33" s="102"/>
      <c r="T33" s="102"/>
      <c r="U33" s="102"/>
      <c r="V33" s="102"/>
      <c r="W33" s="102"/>
      <c r="X33" s="102"/>
      <c r="Y33" s="102"/>
      <c r="Z33" s="102"/>
      <c r="AA33" s="102"/>
      <c r="AB33" s="102"/>
      <c r="AC33" s="102"/>
      <c r="AD33" s="102"/>
      <c r="AE33" s="102"/>
    </row>
    <row r="34" spans="1:31">
      <c r="A34" s="102"/>
      <c r="B34" s="102"/>
      <c r="C34" s="102"/>
      <c r="D34" s="102"/>
      <c r="E34" s="102"/>
      <c r="F34" s="102"/>
      <c r="G34" s="102"/>
      <c r="H34" s="102"/>
      <c r="I34" s="102"/>
      <c r="J34" s="127"/>
      <c r="K34" s="127"/>
      <c r="L34" s="127"/>
      <c r="M34" s="127"/>
      <c r="N34" s="102"/>
      <c r="O34" s="102"/>
      <c r="P34" s="102"/>
      <c r="Q34" s="102"/>
      <c r="R34" s="102"/>
      <c r="S34" s="102"/>
      <c r="T34" s="102"/>
      <c r="U34" s="102"/>
      <c r="V34" s="102"/>
      <c r="W34" s="102"/>
      <c r="X34" s="102"/>
      <c r="Y34" s="102"/>
      <c r="Z34" s="102"/>
      <c r="AA34" s="102"/>
      <c r="AB34" s="102"/>
      <c r="AC34" s="102"/>
      <c r="AD34" s="102"/>
      <c r="AE34" s="102"/>
    </row>
    <row r="35" spans="1:31">
      <c r="A35" s="102"/>
      <c r="B35" s="102"/>
      <c r="C35" s="102"/>
      <c r="D35" s="102"/>
      <c r="E35" s="102"/>
      <c r="F35" s="102"/>
      <c r="G35" s="102"/>
      <c r="H35" s="102"/>
      <c r="I35" s="102"/>
      <c r="J35" s="127"/>
      <c r="K35" s="127"/>
      <c r="L35" s="127"/>
      <c r="M35" s="127"/>
      <c r="N35" s="102"/>
      <c r="O35" s="102"/>
      <c r="P35" s="102"/>
      <c r="Q35" s="102"/>
      <c r="R35" s="102"/>
      <c r="S35" s="102"/>
      <c r="T35" s="102"/>
      <c r="U35" s="102"/>
      <c r="V35" s="102"/>
      <c r="W35" s="102"/>
      <c r="X35" s="102"/>
      <c r="Y35" s="102"/>
      <c r="Z35" s="102"/>
      <c r="AA35" s="102"/>
      <c r="AB35" s="102"/>
      <c r="AC35" s="102"/>
      <c r="AD35" s="102"/>
      <c r="AE35" s="102"/>
    </row>
    <row r="36" spans="1:31">
      <c r="A36" s="102"/>
      <c r="B36" s="102"/>
      <c r="C36" s="102"/>
      <c r="D36" s="102"/>
      <c r="E36" s="102"/>
      <c r="F36" s="102"/>
      <c r="G36" s="102"/>
      <c r="H36" s="102"/>
      <c r="I36" s="102"/>
      <c r="J36" s="127"/>
      <c r="K36" s="127"/>
      <c r="L36" s="127"/>
      <c r="M36" s="127"/>
      <c r="N36" s="102"/>
      <c r="O36" s="102"/>
      <c r="P36" s="102"/>
      <c r="Q36" s="102"/>
      <c r="R36" s="102"/>
      <c r="S36" s="102"/>
      <c r="T36" s="102"/>
      <c r="U36" s="102"/>
      <c r="V36" s="102"/>
      <c r="W36" s="102"/>
      <c r="X36" s="102"/>
      <c r="Y36" s="102"/>
      <c r="Z36" s="102"/>
      <c r="AA36" s="102"/>
      <c r="AB36" s="102"/>
      <c r="AC36" s="102"/>
      <c r="AD36" s="102"/>
      <c r="AE36" s="102"/>
    </row>
    <row r="37" spans="1:31">
      <c r="A37" s="102"/>
      <c r="B37" s="102"/>
      <c r="C37" s="102"/>
      <c r="D37" s="102"/>
      <c r="E37" s="102"/>
      <c r="F37" s="102"/>
      <c r="G37" s="102"/>
      <c r="H37" s="102"/>
      <c r="I37" s="102"/>
      <c r="J37" s="127"/>
      <c r="K37" s="127"/>
      <c r="L37" s="127"/>
      <c r="M37" s="127"/>
      <c r="N37" s="102"/>
      <c r="O37" s="102"/>
      <c r="P37" s="102"/>
      <c r="Q37" s="102"/>
      <c r="R37" s="102"/>
      <c r="S37" s="102"/>
      <c r="T37" s="102"/>
      <c r="U37" s="102"/>
      <c r="V37" s="102"/>
      <c r="W37" s="102"/>
      <c r="X37" s="102"/>
      <c r="Y37" s="102"/>
      <c r="Z37" s="102"/>
      <c r="AA37" s="102"/>
      <c r="AB37" s="102"/>
      <c r="AC37" s="102"/>
      <c r="AD37" s="102"/>
      <c r="AE37" s="102"/>
    </row>
    <row r="38" spans="1:31">
      <c r="A38" s="102"/>
      <c r="B38" s="102"/>
      <c r="C38" s="102"/>
      <c r="D38" s="102"/>
      <c r="E38" s="102"/>
      <c r="F38" s="102"/>
      <c r="G38" s="102"/>
      <c r="H38" s="102"/>
      <c r="I38" s="102"/>
      <c r="J38" s="127"/>
      <c r="K38" s="127"/>
      <c r="L38" s="127"/>
      <c r="M38" s="127"/>
      <c r="N38" s="102"/>
      <c r="O38" s="102"/>
      <c r="P38" s="102"/>
      <c r="Q38" s="102"/>
      <c r="R38" s="102"/>
      <c r="S38" s="102"/>
      <c r="T38" s="102"/>
      <c r="U38" s="102"/>
      <c r="V38" s="102"/>
      <c r="W38" s="102"/>
      <c r="X38" s="102"/>
      <c r="Y38" s="102"/>
      <c r="Z38" s="102"/>
      <c r="AA38" s="102"/>
      <c r="AB38" s="102"/>
      <c r="AC38" s="102"/>
      <c r="AD38" s="102"/>
      <c r="AE38" s="102"/>
    </row>
    <row r="39" spans="1:31">
      <c r="A39" s="102"/>
      <c r="B39" s="102"/>
      <c r="C39" s="102"/>
      <c r="D39" s="102"/>
      <c r="E39" s="102"/>
      <c r="F39" s="102"/>
      <c r="G39" s="102"/>
      <c r="H39" s="102"/>
      <c r="I39" s="102"/>
      <c r="J39" s="127"/>
      <c r="K39" s="127"/>
      <c r="L39" s="127"/>
      <c r="M39" s="127"/>
      <c r="N39" s="102"/>
      <c r="O39" s="102"/>
      <c r="P39" s="102"/>
      <c r="Q39" s="102"/>
      <c r="R39" s="102"/>
      <c r="S39" s="102"/>
      <c r="T39" s="102"/>
      <c r="U39" s="102"/>
      <c r="V39" s="102"/>
      <c r="W39" s="102"/>
      <c r="X39" s="102"/>
      <c r="Y39" s="102"/>
      <c r="Z39" s="102"/>
      <c r="AA39" s="102"/>
      <c r="AB39" s="102"/>
      <c r="AC39" s="102"/>
      <c r="AD39" s="102"/>
      <c r="AE39" s="102"/>
    </row>
    <row r="40" spans="1:31">
      <c r="A40" s="102"/>
      <c r="B40" s="102"/>
      <c r="C40" s="102"/>
      <c r="D40" s="102"/>
      <c r="E40" s="102"/>
      <c r="F40" s="102"/>
      <c r="G40" s="102"/>
      <c r="H40" s="102"/>
      <c r="I40" s="102"/>
      <c r="J40" s="127"/>
      <c r="K40" s="127"/>
      <c r="L40" s="127"/>
      <c r="M40" s="127"/>
      <c r="N40" s="102"/>
      <c r="O40" s="102"/>
      <c r="P40" s="102"/>
      <c r="Q40" s="102"/>
      <c r="R40" s="102"/>
      <c r="S40" s="102"/>
      <c r="T40" s="102"/>
      <c r="U40" s="102"/>
      <c r="V40" s="102"/>
      <c r="W40" s="102"/>
      <c r="X40" s="102"/>
      <c r="Y40" s="102"/>
      <c r="Z40" s="102"/>
      <c r="AA40" s="102"/>
      <c r="AB40" s="102"/>
      <c r="AC40" s="102"/>
      <c r="AD40" s="102"/>
      <c r="AE40" s="102"/>
    </row>
    <row r="41" spans="1:31">
      <c r="A41" s="102"/>
      <c r="B41" s="102"/>
      <c r="C41" s="102"/>
      <c r="D41" s="102"/>
      <c r="E41" s="102"/>
      <c r="F41" s="102"/>
      <c r="G41" s="102"/>
      <c r="H41" s="102"/>
      <c r="I41" s="102"/>
      <c r="J41" s="127"/>
      <c r="K41" s="127"/>
      <c r="L41" s="127"/>
      <c r="M41" s="127"/>
      <c r="N41" s="102"/>
      <c r="O41" s="102"/>
      <c r="P41" s="102"/>
      <c r="Q41" s="102"/>
      <c r="R41" s="102"/>
      <c r="S41" s="102"/>
      <c r="T41" s="102"/>
      <c r="U41" s="102"/>
      <c r="V41" s="102"/>
      <c r="W41" s="102"/>
      <c r="X41" s="102"/>
      <c r="Y41" s="102"/>
      <c r="Z41" s="102"/>
      <c r="AA41" s="102"/>
      <c r="AB41" s="102"/>
      <c r="AC41" s="102"/>
      <c r="AD41" s="102"/>
      <c r="AE41" s="102"/>
    </row>
    <row r="42" spans="1:31">
      <c r="A42" s="102"/>
      <c r="B42" s="102"/>
      <c r="C42" s="102"/>
      <c r="D42" s="102"/>
      <c r="E42" s="102"/>
      <c r="F42" s="102"/>
      <c r="G42" s="102"/>
      <c r="H42" s="102"/>
      <c r="I42" s="102"/>
      <c r="J42" s="127"/>
      <c r="K42" s="127"/>
      <c r="L42" s="127"/>
      <c r="M42" s="127"/>
      <c r="N42" s="102"/>
      <c r="O42" s="102"/>
      <c r="P42" s="102"/>
      <c r="Q42" s="102"/>
      <c r="R42" s="102"/>
      <c r="S42" s="102"/>
      <c r="T42" s="102"/>
      <c r="U42" s="102"/>
      <c r="V42" s="102"/>
      <c r="W42" s="102"/>
      <c r="X42" s="102"/>
      <c r="Y42" s="102"/>
      <c r="Z42" s="102"/>
      <c r="AA42" s="102"/>
      <c r="AB42" s="102"/>
      <c r="AC42" s="102"/>
      <c r="AD42" s="102"/>
      <c r="AE42" s="102"/>
    </row>
    <row r="43" spans="1:31">
      <c r="A43" s="102"/>
      <c r="B43" s="102"/>
      <c r="C43" s="102"/>
      <c r="D43" s="102"/>
      <c r="E43" s="102"/>
      <c r="F43" s="102"/>
      <c r="G43" s="102"/>
      <c r="H43" s="102"/>
      <c r="I43" s="102"/>
      <c r="J43" s="127"/>
      <c r="K43" s="127"/>
      <c r="L43" s="127"/>
      <c r="M43" s="127"/>
      <c r="N43" s="102"/>
      <c r="O43" s="102"/>
      <c r="P43" s="102"/>
      <c r="Q43" s="102"/>
      <c r="R43" s="102"/>
      <c r="S43" s="102"/>
      <c r="T43" s="102"/>
      <c r="U43" s="102"/>
      <c r="V43" s="102"/>
      <c r="W43" s="102"/>
      <c r="X43" s="102"/>
      <c r="Y43" s="102"/>
      <c r="Z43" s="102"/>
      <c r="AA43" s="102"/>
      <c r="AB43" s="102"/>
      <c r="AC43" s="102"/>
      <c r="AD43" s="102"/>
      <c r="AE43" s="102"/>
    </row>
    <row r="44" spans="1:31">
      <c r="A44" s="102"/>
      <c r="B44" s="102"/>
      <c r="C44" s="102"/>
      <c r="D44" s="102"/>
      <c r="E44" s="102"/>
      <c r="F44" s="102"/>
      <c r="G44" s="102"/>
      <c r="H44" s="102"/>
      <c r="I44" s="102"/>
      <c r="J44" s="127"/>
      <c r="K44" s="127"/>
      <c r="L44" s="127"/>
      <c r="M44" s="127"/>
      <c r="N44" s="102"/>
      <c r="O44" s="102"/>
      <c r="P44" s="102"/>
      <c r="Q44" s="102"/>
      <c r="R44" s="102"/>
      <c r="S44" s="102"/>
      <c r="T44" s="102"/>
      <c r="U44" s="102"/>
      <c r="V44" s="102"/>
      <c r="W44" s="102"/>
      <c r="X44" s="102"/>
      <c r="Y44" s="102"/>
      <c r="Z44" s="102"/>
      <c r="AA44" s="102"/>
      <c r="AB44" s="102"/>
      <c r="AC44" s="102"/>
      <c r="AD44" s="102"/>
      <c r="AE44" s="102"/>
    </row>
    <row r="45" spans="1:31">
      <c r="A45" s="102"/>
      <c r="B45" s="102"/>
      <c r="C45" s="102"/>
      <c r="D45" s="102"/>
      <c r="E45" s="102"/>
      <c r="F45" s="102"/>
      <c r="G45" s="102"/>
      <c r="H45" s="102"/>
      <c r="I45" s="102"/>
      <c r="J45" s="127"/>
      <c r="K45" s="127"/>
      <c r="L45" s="127"/>
      <c r="M45" s="127"/>
      <c r="N45" s="102"/>
      <c r="O45" s="102"/>
      <c r="P45" s="102"/>
      <c r="Q45" s="102"/>
      <c r="R45" s="102"/>
      <c r="S45" s="102"/>
      <c r="T45" s="102"/>
      <c r="U45" s="102"/>
      <c r="V45" s="102"/>
      <c r="W45" s="102"/>
      <c r="X45" s="102"/>
      <c r="Y45" s="102"/>
      <c r="Z45" s="102"/>
      <c r="AA45" s="102"/>
      <c r="AB45" s="102"/>
      <c r="AC45" s="102"/>
      <c r="AD45" s="102"/>
      <c r="AE45" s="102"/>
    </row>
    <row r="46" spans="1:31">
      <c r="A46" s="102"/>
      <c r="B46" s="102"/>
      <c r="C46" s="102"/>
      <c r="D46" s="102"/>
      <c r="E46" s="102"/>
      <c r="F46" s="102"/>
      <c r="G46" s="102"/>
      <c r="H46" s="102"/>
      <c r="I46" s="102"/>
      <c r="J46" s="127"/>
      <c r="K46" s="127"/>
      <c r="L46" s="127"/>
      <c r="M46" s="127"/>
      <c r="N46" s="102"/>
      <c r="O46" s="102"/>
      <c r="P46" s="102"/>
      <c r="Q46" s="102"/>
      <c r="R46" s="102"/>
      <c r="S46" s="102"/>
      <c r="T46" s="102"/>
      <c r="U46" s="102"/>
      <c r="V46" s="102"/>
      <c r="W46" s="102"/>
      <c r="X46" s="102"/>
      <c r="Y46" s="102"/>
      <c r="Z46" s="102"/>
      <c r="AA46" s="102"/>
      <c r="AB46" s="102"/>
      <c r="AC46" s="102"/>
      <c r="AD46" s="102"/>
      <c r="AE46" s="102"/>
    </row>
    <row r="47" spans="1:31">
      <c r="A47" s="102"/>
      <c r="B47" s="102"/>
      <c r="C47" s="102"/>
      <c r="D47" s="102"/>
      <c r="E47" s="102"/>
      <c r="F47" s="102"/>
      <c r="G47" s="102"/>
      <c r="H47" s="102"/>
      <c r="I47" s="102"/>
      <c r="J47" s="127"/>
      <c r="K47" s="127"/>
      <c r="L47" s="127"/>
      <c r="M47" s="127"/>
      <c r="N47" s="102"/>
      <c r="O47" s="102"/>
      <c r="P47" s="102"/>
      <c r="Q47" s="102"/>
      <c r="R47" s="102"/>
      <c r="S47" s="102"/>
      <c r="T47" s="102"/>
      <c r="U47" s="102"/>
      <c r="V47" s="102"/>
      <c r="W47" s="102"/>
      <c r="X47" s="102"/>
      <c r="Y47" s="102"/>
      <c r="Z47" s="102"/>
      <c r="AA47" s="102"/>
      <c r="AB47" s="102"/>
      <c r="AC47" s="102"/>
      <c r="AD47" s="102"/>
      <c r="AE47" s="102"/>
    </row>
    <row r="48" spans="1:31">
      <c r="A48" s="102"/>
      <c r="B48" s="102"/>
      <c r="C48" s="102"/>
      <c r="D48" s="102"/>
      <c r="E48" s="102"/>
      <c r="F48" s="102"/>
      <c r="G48" s="102"/>
      <c r="H48" s="102"/>
      <c r="I48" s="102"/>
      <c r="J48" s="127"/>
      <c r="K48" s="127"/>
      <c r="L48" s="127"/>
      <c r="M48" s="127"/>
      <c r="N48" s="102"/>
      <c r="O48" s="102"/>
      <c r="P48" s="102"/>
      <c r="Q48" s="102"/>
      <c r="R48" s="102"/>
      <c r="S48" s="102"/>
      <c r="T48" s="102"/>
      <c r="U48" s="102"/>
      <c r="V48" s="102"/>
      <c r="W48" s="102"/>
      <c r="X48" s="102"/>
      <c r="Y48" s="102"/>
      <c r="Z48" s="102"/>
      <c r="AA48" s="102"/>
      <c r="AB48" s="102"/>
      <c r="AC48" s="102"/>
      <c r="AD48" s="102"/>
      <c r="AE48" s="102"/>
    </row>
    <row r="49" spans="1:31">
      <c r="A49" s="102"/>
      <c r="B49" s="102"/>
      <c r="C49" s="102"/>
      <c r="D49" s="102"/>
      <c r="E49" s="102"/>
      <c r="F49" s="102"/>
      <c r="G49" s="102"/>
      <c r="H49" s="102"/>
      <c r="I49" s="102"/>
      <c r="J49" s="127"/>
      <c r="K49" s="127"/>
      <c r="L49" s="127"/>
      <c r="M49" s="127"/>
      <c r="N49" s="102"/>
      <c r="O49" s="102"/>
      <c r="P49" s="102"/>
      <c r="Q49" s="102"/>
      <c r="R49" s="102"/>
      <c r="S49" s="102"/>
      <c r="T49" s="102"/>
      <c r="U49" s="102"/>
      <c r="V49" s="102"/>
      <c r="W49" s="102"/>
      <c r="X49" s="102"/>
      <c r="Y49" s="102"/>
      <c r="Z49" s="102"/>
      <c r="AA49" s="102"/>
      <c r="AB49" s="102"/>
      <c r="AC49" s="102"/>
      <c r="AD49" s="102"/>
      <c r="AE49" s="102"/>
    </row>
    <row r="50" spans="1:31">
      <c r="A50" s="102"/>
      <c r="B50" s="102"/>
      <c r="C50" s="102"/>
      <c r="D50" s="102"/>
      <c r="E50" s="102"/>
      <c r="F50" s="102"/>
      <c r="G50" s="102"/>
      <c r="H50" s="102"/>
      <c r="I50" s="102"/>
      <c r="J50" s="127"/>
      <c r="K50" s="127"/>
      <c r="L50" s="127"/>
      <c r="M50" s="127"/>
      <c r="N50" s="102"/>
      <c r="O50" s="102"/>
      <c r="P50" s="102"/>
      <c r="Q50" s="102"/>
      <c r="R50" s="102"/>
      <c r="S50" s="102"/>
      <c r="T50" s="102"/>
      <c r="U50" s="102"/>
      <c r="V50" s="102"/>
      <c r="W50" s="102"/>
      <c r="X50" s="102"/>
      <c r="Y50" s="102"/>
      <c r="Z50" s="102"/>
      <c r="AA50" s="102"/>
      <c r="AB50" s="102"/>
      <c r="AC50" s="102"/>
      <c r="AD50" s="102"/>
      <c r="AE50" s="102"/>
    </row>
    <row r="51" spans="1:31">
      <c r="A51" s="102"/>
      <c r="B51" s="102"/>
      <c r="C51" s="102"/>
      <c r="D51" s="102"/>
      <c r="E51" s="102"/>
      <c r="F51" s="102"/>
      <c r="G51" s="102"/>
      <c r="H51" s="102"/>
      <c r="I51" s="102"/>
      <c r="N51" s="102"/>
      <c r="O51" s="102"/>
      <c r="P51" s="102"/>
      <c r="Q51" s="102"/>
      <c r="R51" s="102"/>
      <c r="S51" s="102"/>
      <c r="T51" s="102"/>
      <c r="U51" s="102"/>
      <c r="V51" s="102"/>
      <c r="W51" s="102"/>
      <c r="X51" s="102"/>
      <c r="Y51" s="102"/>
      <c r="Z51" s="102"/>
      <c r="AA51" s="102"/>
      <c r="AB51" s="102"/>
      <c r="AC51" s="102"/>
      <c r="AD51" s="102"/>
      <c r="AE51" s="102"/>
    </row>
    <row r="52" spans="1:31">
      <c r="A52" s="102"/>
      <c r="B52" s="102"/>
      <c r="C52" s="102"/>
      <c r="D52" s="102"/>
      <c r="E52" s="102"/>
      <c r="F52" s="102"/>
      <c r="G52" s="102"/>
      <c r="H52" s="102"/>
      <c r="I52" s="102"/>
      <c r="N52" s="102"/>
      <c r="O52" s="102"/>
      <c r="P52" s="102"/>
      <c r="Q52" s="102"/>
      <c r="R52" s="102"/>
      <c r="S52" s="102"/>
      <c r="T52" s="102"/>
      <c r="U52" s="102"/>
      <c r="V52" s="102"/>
      <c r="W52" s="102"/>
      <c r="X52" s="102"/>
      <c r="Y52" s="102"/>
      <c r="Z52" s="102"/>
      <c r="AA52" s="102"/>
      <c r="AB52" s="102"/>
      <c r="AC52" s="102"/>
      <c r="AD52" s="102"/>
      <c r="AE52" s="102"/>
    </row>
    <row r="53" spans="1:31">
      <c r="A53" s="102"/>
      <c r="B53" s="102"/>
      <c r="C53" s="102"/>
      <c r="D53" s="102"/>
      <c r="E53" s="102"/>
      <c r="F53" s="102"/>
      <c r="G53" s="102"/>
      <c r="H53" s="102"/>
      <c r="I53" s="102"/>
      <c r="N53" s="102"/>
      <c r="O53" s="102"/>
      <c r="P53" s="102"/>
      <c r="Q53" s="102"/>
      <c r="R53" s="102"/>
      <c r="S53" s="102"/>
      <c r="T53" s="102"/>
      <c r="U53" s="102"/>
      <c r="V53" s="102"/>
      <c r="W53" s="102"/>
      <c r="X53" s="102"/>
      <c r="Y53" s="102"/>
      <c r="Z53" s="102"/>
      <c r="AA53" s="102"/>
      <c r="AB53" s="102"/>
      <c r="AC53" s="102"/>
      <c r="AD53" s="102"/>
      <c r="AE53" s="102"/>
    </row>
    <row r="54" spans="1:31">
      <c r="A54" s="102"/>
      <c r="B54" s="102"/>
      <c r="C54" s="102"/>
      <c r="D54" s="102"/>
      <c r="E54" s="102"/>
      <c r="F54" s="102"/>
      <c r="G54" s="102"/>
      <c r="H54" s="102"/>
      <c r="I54" s="102"/>
      <c r="N54" s="102"/>
      <c r="O54" s="102"/>
      <c r="P54" s="102"/>
      <c r="Q54" s="102"/>
      <c r="R54" s="102"/>
      <c r="S54" s="102"/>
      <c r="T54" s="102"/>
      <c r="U54" s="102"/>
      <c r="V54" s="102"/>
      <c r="W54" s="102"/>
      <c r="X54" s="102"/>
      <c r="Y54" s="102"/>
      <c r="Z54" s="102"/>
      <c r="AA54" s="102"/>
      <c r="AB54" s="102"/>
      <c r="AC54" s="102"/>
      <c r="AD54" s="102"/>
      <c r="AE54" s="102"/>
    </row>
    <row r="55" spans="1:31">
      <c r="A55" s="102"/>
      <c r="B55" s="102"/>
      <c r="C55" s="102"/>
      <c r="D55" s="102"/>
      <c r="E55" s="102"/>
      <c r="F55" s="102"/>
      <c r="G55" s="102"/>
      <c r="H55" s="102"/>
      <c r="I55" s="102"/>
      <c r="N55" s="102"/>
      <c r="O55" s="102"/>
      <c r="P55" s="102"/>
      <c r="Q55" s="102"/>
      <c r="R55" s="102"/>
      <c r="S55" s="102"/>
      <c r="T55" s="102"/>
      <c r="U55" s="102"/>
      <c r="V55" s="102"/>
      <c r="W55" s="102"/>
      <c r="X55" s="102"/>
      <c r="Y55" s="102"/>
      <c r="Z55" s="102"/>
      <c r="AA55" s="102"/>
      <c r="AB55" s="102"/>
      <c r="AC55" s="102"/>
      <c r="AD55" s="102"/>
      <c r="AE55" s="102"/>
    </row>
    <row r="56" spans="1:31">
      <c r="A56" s="102"/>
      <c r="B56" s="102"/>
      <c r="C56" s="102"/>
      <c r="D56" s="102"/>
      <c r="E56" s="102"/>
      <c r="F56" s="102"/>
      <c r="G56" s="102"/>
      <c r="H56" s="102"/>
      <c r="I56" s="102"/>
      <c r="N56" s="102"/>
      <c r="O56" s="102"/>
      <c r="P56" s="102"/>
      <c r="Q56" s="102"/>
      <c r="R56" s="102"/>
      <c r="S56" s="102"/>
      <c r="T56" s="102"/>
      <c r="U56" s="102"/>
      <c r="V56" s="102"/>
      <c r="W56" s="102"/>
      <c r="X56" s="102"/>
      <c r="Y56" s="102"/>
      <c r="Z56" s="102"/>
      <c r="AA56" s="102"/>
      <c r="AB56" s="102"/>
      <c r="AC56" s="102"/>
      <c r="AD56" s="102"/>
      <c r="AE56" s="102"/>
    </row>
    <row r="57" spans="1:31">
      <c r="A57" s="102"/>
      <c r="B57" s="102"/>
      <c r="C57" s="102"/>
      <c r="D57" s="102"/>
      <c r="E57" s="102"/>
      <c r="F57" s="102"/>
      <c r="G57" s="102"/>
      <c r="H57" s="102"/>
      <c r="I57" s="102"/>
      <c r="N57" s="102"/>
      <c r="O57" s="102"/>
      <c r="P57" s="102"/>
      <c r="Q57" s="102"/>
      <c r="R57" s="102"/>
      <c r="S57" s="102"/>
      <c r="T57" s="102"/>
      <c r="U57" s="102"/>
      <c r="V57" s="102"/>
      <c r="W57" s="102"/>
      <c r="X57" s="102"/>
      <c r="Y57" s="102"/>
      <c r="Z57" s="102"/>
      <c r="AA57" s="102"/>
      <c r="AB57" s="102"/>
      <c r="AC57" s="102"/>
      <c r="AD57" s="102"/>
      <c r="AE57" s="102"/>
    </row>
    <row r="58" spans="1:31">
      <c r="A58" s="102"/>
      <c r="B58" s="102"/>
      <c r="C58" s="102"/>
      <c r="D58" s="102"/>
      <c r="E58" s="102"/>
      <c r="F58" s="102"/>
      <c r="G58" s="102"/>
      <c r="H58" s="102"/>
      <c r="I58" s="102"/>
      <c r="N58" s="102"/>
      <c r="O58" s="102"/>
      <c r="P58" s="102"/>
      <c r="Q58" s="102"/>
      <c r="R58" s="102"/>
      <c r="S58" s="102"/>
      <c r="T58" s="102"/>
      <c r="U58" s="102"/>
      <c r="V58" s="102"/>
      <c r="W58" s="102"/>
      <c r="X58" s="102"/>
      <c r="Y58" s="102"/>
      <c r="Z58" s="102"/>
      <c r="AA58" s="102"/>
      <c r="AB58" s="102"/>
      <c r="AC58" s="102"/>
      <c r="AD58" s="102"/>
      <c r="AE58" s="102"/>
    </row>
    <row r="59" spans="1:31">
      <c r="A59" s="102"/>
      <c r="B59" s="102"/>
      <c r="C59" s="102"/>
      <c r="D59" s="102"/>
      <c r="E59" s="102"/>
      <c r="F59" s="102"/>
      <c r="G59" s="102"/>
      <c r="H59" s="102"/>
      <c r="I59" s="102"/>
      <c r="N59" s="102"/>
      <c r="O59" s="102"/>
      <c r="P59" s="102"/>
      <c r="Q59" s="102"/>
      <c r="R59" s="102"/>
      <c r="S59" s="102"/>
      <c r="T59" s="102"/>
      <c r="U59" s="102"/>
      <c r="V59" s="102"/>
      <c r="W59" s="102"/>
      <c r="X59" s="102"/>
      <c r="Y59" s="102"/>
      <c r="Z59" s="102"/>
      <c r="AA59" s="102"/>
      <c r="AB59" s="102"/>
      <c r="AC59" s="102"/>
      <c r="AD59" s="102"/>
      <c r="AE59" s="102"/>
    </row>
    <row r="60" spans="1:31">
      <c r="A60" s="102"/>
      <c r="B60" s="102"/>
      <c r="C60" s="102"/>
      <c r="D60" s="102"/>
      <c r="E60" s="102"/>
      <c r="F60" s="102"/>
      <c r="G60" s="102"/>
      <c r="H60" s="102"/>
      <c r="I60" s="102"/>
      <c r="N60" s="102"/>
      <c r="O60" s="102"/>
      <c r="P60" s="102"/>
      <c r="Q60" s="102"/>
      <c r="R60" s="102"/>
      <c r="S60" s="102"/>
      <c r="T60" s="102"/>
      <c r="U60" s="102"/>
      <c r="V60" s="102"/>
      <c r="W60" s="102"/>
      <c r="X60" s="102"/>
      <c r="Y60" s="102"/>
      <c r="Z60" s="102"/>
      <c r="AA60" s="102"/>
      <c r="AB60" s="102"/>
      <c r="AC60" s="102"/>
      <c r="AD60" s="102"/>
      <c r="AE60" s="102"/>
    </row>
    <row r="83" ht="13.5" customHeight="1"/>
  </sheetData>
  <phoneticPr fontId="3" type="noConversion"/>
  <pageMargins left="0.75" right="0.75" top="1" bottom="1" header="0.5" footer="0.5"/>
  <pageSetup orientation="portrait"/>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7" tint="0.39997558519241921"/>
  </sheetPr>
  <dimension ref="A1:AW100"/>
  <sheetViews>
    <sheetView workbookViewId="0">
      <selection activeCell="B39" sqref="B39"/>
    </sheetView>
  </sheetViews>
  <sheetFormatPr defaultColWidth="8.85546875" defaultRowHeight="12.75"/>
  <cols>
    <col min="1" max="1" width="4.140625" customWidth="1"/>
    <col min="2" max="2" width="5.140625" bestFit="1" customWidth="1"/>
    <col min="3" max="3" width="25.85546875" customWidth="1"/>
    <col min="4" max="4" width="3" customWidth="1"/>
    <col min="5" max="5" width="5.140625" bestFit="1" customWidth="1"/>
    <col min="6" max="6" width="25.85546875" customWidth="1"/>
    <col min="7" max="7" width="3.140625" customWidth="1"/>
    <col min="8" max="8" width="5.140625" bestFit="1" customWidth="1"/>
    <col min="9" max="9" width="25.85546875" customWidth="1"/>
    <col min="10" max="10" width="4.85546875" customWidth="1"/>
    <col min="11" max="11" width="4.85546875" bestFit="1" customWidth="1"/>
    <col min="12" max="12" width="25.85546875" customWidth="1"/>
    <col min="13" max="13" width="4.140625" customWidth="1"/>
    <col min="14" max="14" width="5.140625" bestFit="1" customWidth="1"/>
    <col min="15" max="15" width="25.85546875" customWidth="1"/>
    <col min="16" max="16" width="3.140625" customWidth="1"/>
    <col min="17" max="17" width="5.140625" bestFit="1" customWidth="1"/>
    <col min="18" max="18" width="25.85546875" customWidth="1"/>
    <col min="19" max="19" width="2.42578125" customWidth="1"/>
    <col min="20" max="20" width="5.140625" bestFit="1" customWidth="1"/>
    <col min="21" max="21" width="25.85546875" customWidth="1"/>
    <col min="22" max="22" width="3" customWidth="1"/>
    <col min="23" max="23" width="5.140625" bestFit="1" customWidth="1"/>
    <col min="24" max="24" width="25.85546875" customWidth="1"/>
    <col min="25" max="25" width="2.85546875" customWidth="1"/>
    <col min="26" max="26" width="5.140625" bestFit="1" customWidth="1"/>
    <col min="27" max="27" width="25.85546875" customWidth="1"/>
    <col min="28" max="28" width="3.140625" customWidth="1"/>
    <col min="29" max="29" width="5.140625" bestFit="1" customWidth="1"/>
    <col min="30" max="30" width="25.85546875" customWidth="1"/>
    <col min="31" max="31" width="3.140625" customWidth="1"/>
    <col min="32" max="32" width="5.140625" bestFit="1" customWidth="1"/>
    <col min="33" max="33" width="25.85546875" customWidth="1"/>
  </cols>
  <sheetData>
    <row r="1" spans="1:49">
      <c r="A1" s="127"/>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7"/>
      <c r="AV1" s="127"/>
      <c r="AW1" s="127"/>
    </row>
    <row r="2" spans="1:49">
      <c r="A2" s="127"/>
      <c r="B2" s="18"/>
      <c r="C2" s="68" t="s">
        <v>195</v>
      </c>
      <c r="D2" s="127"/>
      <c r="E2" s="18"/>
      <c r="F2" s="68" t="s">
        <v>236</v>
      </c>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row>
    <row r="3" spans="1:49">
      <c r="A3" s="127"/>
      <c r="B3" s="18"/>
      <c r="C3" s="18"/>
      <c r="D3" s="127"/>
      <c r="E3" s="18"/>
      <c r="F3" s="18"/>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row>
    <row r="4" spans="1:49" s="4" customFormat="1" ht="51.75" thickBot="1">
      <c r="A4" s="128"/>
      <c r="B4" s="112"/>
      <c r="C4" s="112"/>
      <c r="D4" s="127"/>
      <c r="E4" s="112"/>
      <c r="F4" s="71" t="s">
        <v>237</v>
      </c>
      <c r="G4" s="127"/>
      <c r="H4" s="112"/>
      <c r="I4" s="61" t="s">
        <v>241</v>
      </c>
      <c r="J4" s="127"/>
      <c r="K4" s="112"/>
      <c r="L4" s="61" t="s">
        <v>239</v>
      </c>
      <c r="M4" s="127"/>
      <c r="N4" s="112"/>
      <c r="O4" s="71" t="s">
        <v>242</v>
      </c>
      <c r="P4" s="127"/>
      <c r="Q4" s="112"/>
      <c r="R4" s="61" t="s">
        <v>243</v>
      </c>
      <c r="S4" s="127"/>
      <c r="T4" s="61"/>
      <c r="U4" s="61" t="s">
        <v>244</v>
      </c>
      <c r="V4" s="127"/>
      <c r="W4" s="112"/>
      <c r="X4" s="61" t="s">
        <v>245</v>
      </c>
      <c r="Y4" s="127"/>
      <c r="Z4" s="112"/>
      <c r="AA4" s="61" t="s">
        <v>246</v>
      </c>
      <c r="AB4" s="127"/>
      <c r="AC4" s="112"/>
      <c r="AD4" s="61" t="s">
        <v>247</v>
      </c>
      <c r="AE4" s="127"/>
      <c r="AF4" s="112"/>
      <c r="AG4" s="61" t="s">
        <v>248</v>
      </c>
      <c r="AH4" s="127"/>
      <c r="AI4" s="127"/>
      <c r="AJ4" s="127"/>
      <c r="AK4" s="127"/>
      <c r="AL4" s="127"/>
      <c r="AM4" s="127"/>
      <c r="AN4" s="127"/>
      <c r="AO4" s="127"/>
      <c r="AP4" s="127"/>
      <c r="AQ4" s="127"/>
      <c r="AR4" s="127"/>
      <c r="AS4" s="127"/>
      <c r="AT4" s="127"/>
      <c r="AU4" s="127"/>
      <c r="AV4" s="127"/>
      <c r="AW4" s="127"/>
    </row>
    <row r="5" spans="1:49" s="4" customFormat="1" ht="64.5" thickBot="1">
      <c r="A5" s="127"/>
      <c r="B5" s="61"/>
      <c r="C5" s="71" t="s">
        <v>249</v>
      </c>
      <c r="D5" s="127"/>
      <c r="E5" s="18"/>
      <c r="F5" s="74" t="s">
        <v>210</v>
      </c>
      <c r="G5" s="127"/>
      <c r="H5" s="18"/>
      <c r="I5" s="74" t="s">
        <v>210</v>
      </c>
      <c r="J5" s="127"/>
      <c r="K5" s="18"/>
      <c r="L5" s="50" t="str">
        <f>"USD ($" &amp;current_year &amp; ")"</f>
        <v>USD ($2024)</v>
      </c>
      <c r="M5" s="127"/>
      <c r="N5" s="18"/>
      <c r="O5" s="119" t="s">
        <v>211</v>
      </c>
      <c r="P5" s="127"/>
      <c r="Q5" s="69"/>
      <c r="R5" s="60" t="s">
        <v>212</v>
      </c>
      <c r="S5" s="127"/>
      <c r="T5" s="69"/>
      <c r="U5" s="60" t="s">
        <v>213</v>
      </c>
      <c r="V5" s="128"/>
      <c r="W5" s="126"/>
      <c r="X5" s="50" t="str">
        <f>"USD ($" &amp;current_year &amp; ")"</f>
        <v>USD ($2024)</v>
      </c>
      <c r="Y5" s="128"/>
      <c r="Z5" s="126"/>
      <c r="AA5" s="50" t="str">
        <f>"USD ($" &amp;current_year &amp; ")"</f>
        <v>USD ($2024)</v>
      </c>
      <c r="AB5" s="128"/>
      <c r="AC5" s="126"/>
      <c r="AD5" s="50" t="str">
        <f>"USD ($" &amp;current_year &amp; ")"</f>
        <v>USD ($2024)</v>
      </c>
      <c r="AE5" s="128"/>
      <c r="AF5" s="126"/>
      <c r="AG5" s="50" t="str">
        <f>"USD ($" &amp;current_year &amp; ")"</f>
        <v>USD ($2024)</v>
      </c>
      <c r="AH5" s="127"/>
      <c r="AI5" s="127"/>
      <c r="AJ5" s="127"/>
      <c r="AK5" s="127"/>
      <c r="AL5" s="127"/>
      <c r="AM5" s="127"/>
      <c r="AN5" s="127"/>
      <c r="AO5" s="127"/>
      <c r="AP5" s="127"/>
      <c r="AQ5" s="127"/>
      <c r="AR5" s="127"/>
      <c r="AS5" s="127"/>
      <c r="AT5" s="127"/>
      <c r="AU5" s="127"/>
      <c r="AV5" s="127"/>
      <c r="AW5" s="127"/>
    </row>
    <row r="6" spans="1:49">
      <c r="A6" s="127"/>
      <c r="B6" s="67" t="s">
        <v>11</v>
      </c>
      <c r="C6" s="50" t="s">
        <v>90</v>
      </c>
      <c r="D6" s="127"/>
      <c r="E6" s="67" t="s">
        <v>11</v>
      </c>
      <c r="F6" s="50" t="s">
        <v>250</v>
      </c>
      <c r="G6" s="127"/>
      <c r="H6" s="67" t="s">
        <v>11</v>
      </c>
      <c r="I6" s="50" t="s">
        <v>250</v>
      </c>
      <c r="J6" s="127"/>
      <c r="K6" s="67" t="s">
        <v>11</v>
      </c>
      <c r="L6" s="75" t="s">
        <v>90</v>
      </c>
      <c r="M6" s="127"/>
      <c r="N6" s="67" t="s">
        <v>11</v>
      </c>
      <c r="O6" s="122" t="s">
        <v>250</v>
      </c>
      <c r="P6" s="127"/>
      <c r="Q6" s="67" t="s">
        <v>11</v>
      </c>
      <c r="R6" s="72" t="s">
        <v>90</v>
      </c>
      <c r="S6" s="127"/>
      <c r="T6" s="67" t="s">
        <v>11</v>
      </c>
      <c r="U6" s="72" t="s">
        <v>90</v>
      </c>
      <c r="V6" s="127"/>
      <c r="W6" s="67" t="s">
        <v>11</v>
      </c>
      <c r="X6" s="72" t="s">
        <v>90</v>
      </c>
      <c r="Y6" s="127"/>
      <c r="Z6" s="67" t="s">
        <v>11</v>
      </c>
      <c r="AA6" s="72" t="s">
        <v>90</v>
      </c>
      <c r="AB6" s="127"/>
      <c r="AC6" s="67" t="s">
        <v>11</v>
      </c>
      <c r="AD6" s="72" t="s">
        <v>90</v>
      </c>
      <c r="AE6" s="127"/>
      <c r="AF6" s="67" t="s">
        <v>11</v>
      </c>
      <c r="AG6" s="72" t="s">
        <v>90</v>
      </c>
      <c r="AH6" s="127"/>
      <c r="AI6" s="127"/>
      <c r="AJ6" s="127"/>
      <c r="AK6" s="127"/>
      <c r="AL6" s="127"/>
      <c r="AM6" s="127"/>
      <c r="AN6" s="127"/>
      <c r="AO6" s="127"/>
      <c r="AP6" s="127"/>
      <c r="AQ6" s="127"/>
      <c r="AR6" s="127"/>
      <c r="AS6" s="127"/>
      <c r="AT6" s="127"/>
      <c r="AU6" s="127"/>
      <c r="AV6" s="127"/>
      <c r="AW6" s="127"/>
    </row>
    <row r="7" spans="1:49">
      <c r="A7" s="127"/>
      <c r="B7" s="67">
        <v>2007</v>
      </c>
      <c r="C7" s="51" cm="1">
        <f t="array" ref="C7">IF(B7&gt;current_year,"",INDEX(Faucets_h2o,B7-2006))</f>
        <v>0</v>
      </c>
      <c r="D7" s="127"/>
      <c r="E7" s="67">
        <v>2007</v>
      </c>
      <c r="F7" s="53">
        <f t="shared" ref="F7:F17" si="0">C7*(kwh_per_gal_drnk_water+kwh_per_gal_waste_water)</f>
        <v>0</v>
      </c>
      <c r="G7" s="127"/>
      <c r="H7" s="67">
        <v>2007</v>
      </c>
      <c r="I7" s="53" t="e">
        <f>(C7*perc_hot_water_faucet_2007)*(Houses_with_elec_07/Houses_with_plumbing_07)*kwh_per_gal_hot_water_2007</f>
        <v>#VALUE!</v>
      </c>
      <c r="J7" s="127"/>
      <c r="K7" s="67">
        <v>2007</v>
      </c>
      <c r="L7" s="121">
        <f t="shared" ref="L7:L30" si="1">IF(C7="","",SUM(C7*10^-3*INDEX(water_res,W7-2006)*IF(K7&lt;current_year,INDEX(GDP,current_year-2006)/INDEX(GDP,W7-2006),1)))</f>
        <v>0</v>
      </c>
      <c r="M7" s="127"/>
      <c r="N7" s="67">
        <v>2007</v>
      </c>
      <c r="O7" s="123" t="e">
        <f>(C7*perc_hot_water_faucet_2007)*((Houses_with_plumbing_07-Houses_with_elec_07)/Houses_with_plumbing_07)*mcf_per_gal_hot_water_2007</f>
        <v>#VALUE!</v>
      </c>
      <c r="P7" s="127"/>
      <c r="Q7" s="70">
        <v>2007</v>
      </c>
      <c r="R7" s="78" t="e">
        <f t="shared" ref="R7:R17" si="2">F7+I7+(O7*kwh_per_therm*therms_per_mcf)</f>
        <v>#VALUE!</v>
      </c>
      <c r="S7" s="127"/>
      <c r="T7" s="70">
        <v>2007</v>
      </c>
      <c r="U7" s="78" t="e">
        <f t="shared" ref="U7:U17" si="3">((I7+F7)*tons_co2_per_kwh)+(O7*tons_co2_per_therm*therms_per_mcf)</f>
        <v>#VALUE!</v>
      </c>
      <c r="V7" s="127"/>
      <c r="W7" s="70">
        <v>2007</v>
      </c>
      <c r="X7" s="121" t="e">
        <f>SUM(I7*cost_per_kwh_07)</f>
        <v>#VALUE!</v>
      </c>
      <c r="Y7" s="127"/>
      <c r="Z7" s="1">
        <v>2007</v>
      </c>
      <c r="AA7" s="121">
        <v>0</v>
      </c>
      <c r="AB7" s="127"/>
      <c r="AC7" s="1">
        <v>2007</v>
      </c>
      <c r="AD7" s="121" t="e">
        <f t="shared" ref="AD7:AD17" si="4">SUM(X7+AA7)</f>
        <v>#VALUE!</v>
      </c>
      <c r="AE7" s="127"/>
      <c r="AF7" s="1">
        <v>2007</v>
      </c>
      <c r="AG7" s="121" t="e">
        <f t="shared" ref="AG7:AG22" si="5">IF($C7="","",L7+AD7)</f>
        <v>#VALUE!</v>
      </c>
      <c r="AH7" s="127"/>
      <c r="AI7" s="127"/>
      <c r="AJ7" s="127"/>
      <c r="AK7" s="127"/>
      <c r="AL7" s="127"/>
      <c r="AM7" s="127"/>
      <c r="AN7" s="127"/>
      <c r="AO7" s="127"/>
      <c r="AP7" s="127"/>
      <c r="AQ7" s="127"/>
      <c r="AR7" s="127"/>
      <c r="AS7" s="127"/>
      <c r="AT7" s="127"/>
      <c r="AU7" s="127"/>
      <c r="AV7" s="127"/>
      <c r="AW7" s="127"/>
    </row>
    <row r="8" spans="1:49">
      <c r="A8" s="127"/>
      <c r="B8" s="67">
        <v>2008</v>
      </c>
      <c r="C8" s="51" cm="1">
        <f t="array" ref="C8">IF(B8&gt;current_year,"",INDEX(Faucets_h2o,B8-2006))</f>
        <v>0</v>
      </c>
      <c r="D8" s="127"/>
      <c r="E8" s="66">
        <v>2008</v>
      </c>
      <c r="F8" s="53">
        <f t="shared" si="0"/>
        <v>0</v>
      </c>
      <c r="G8" s="127"/>
      <c r="H8" s="66">
        <v>2008</v>
      </c>
      <c r="I8" s="53" t="e">
        <f>(C8*perc_hot_water_faucet_2008)*(Houses_with_elec_08/Houses_with_plumbing_08)*kwh_per_gal_hot_water_2008</f>
        <v>#VALUE!</v>
      </c>
      <c r="J8" s="127"/>
      <c r="K8" s="66">
        <v>2008</v>
      </c>
      <c r="L8" s="121">
        <f t="shared" si="1"/>
        <v>0</v>
      </c>
      <c r="M8" s="127"/>
      <c r="N8" s="66">
        <v>2008</v>
      </c>
      <c r="O8" s="123" t="e">
        <f>(C8*perc_hot_water_faucet_2008)*((Houses_with_plumbing_08-Houses_with_elec_08)/Houses_with_plumbing_08)*mcf_per_gal_hot_water_2008</f>
        <v>#VALUE!</v>
      </c>
      <c r="P8" s="127"/>
      <c r="Q8" s="70">
        <v>2008</v>
      </c>
      <c r="R8" s="78" t="e">
        <f t="shared" si="2"/>
        <v>#VALUE!</v>
      </c>
      <c r="S8" s="127"/>
      <c r="T8" s="70">
        <v>2008</v>
      </c>
      <c r="U8" s="78" t="e">
        <f t="shared" si="3"/>
        <v>#VALUE!</v>
      </c>
      <c r="V8" s="127"/>
      <c r="W8" s="70">
        <v>2008</v>
      </c>
      <c r="X8" s="121" t="e">
        <f t="shared" ref="X8:X19" si="6">SUM(I8*INDEX(Elec_res,W8-2006))*IF(W8&lt;current_year, INDEX(GDP,current_year-2007)/INDEX(GDP,W8-2007),1)</f>
        <v>#VALUE!</v>
      </c>
      <c r="Y8" s="127"/>
      <c r="Z8" s="1">
        <v>2008</v>
      </c>
      <c r="AA8" s="121" t="e">
        <f t="shared" ref="AA8:AA19" si="7">SUM(O8*INDEX(Gas_res,Z8-2006))*IF(Z8&lt;current_year, INDEX(GDP,current_year-2007)/INDEX(GDP,Z8-2007),1)</f>
        <v>#VALUE!</v>
      </c>
      <c r="AB8" s="127"/>
      <c r="AC8" s="1">
        <v>2008</v>
      </c>
      <c r="AD8" s="121" t="e">
        <f t="shared" si="4"/>
        <v>#VALUE!</v>
      </c>
      <c r="AE8" s="127"/>
      <c r="AF8" s="1">
        <v>2008</v>
      </c>
      <c r="AG8" s="121" t="e">
        <f t="shared" si="5"/>
        <v>#VALUE!</v>
      </c>
      <c r="AH8" s="127"/>
      <c r="AI8" s="127"/>
      <c r="AJ8" s="127"/>
      <c r="AK8" s="127"/>
      <c r="AL8" s="127"/>
      <c r="AM8" s="127"/>
      <c r="AN8" s="127"/>
      <c r="AO8" s="127"/>
      <c r="AP8" s="127"/>
      <c r="AQ8" s="127"/>
      <c r="AR8" s="127"/>
      <c r="AS8" s="127"/>
      <c r="AT8" s="127"/>
      <c r="AU8" s="127"/>
      <c r="AV8" s="127"/>
      <c r="AW8" s="127"/>
    </row>
    <row r="9" spans="1:49">
      <c r="A9" s="127"/>
      <c r="B9" s="66">
        <v>2009</v>
      </c>
      <c r="C9" s="51" cm="1">
        <f t="array" ref="C9">IF(B9&gt;current_year,"",INDEX(Faucets_h2o,B9-2006))</f>
        <v>0</v>
      </c>
      <c r="D9" s="127"/>
      <c r="E9" s="66">
        <v>2009</v>
      </c>
      <c r="F9" s="53">
        <f t="shared" si="0"/>
        <v>0</v>
      </c>
      <c r="G9" s="127"/>
      <c r="H9" s="66">
        <v>2009</v>
      </c>
      <c r="I9" s="53" t="e">
        <f>(C9*perc_hot_water_faucet_2009)*(Houses_with_elec_09/Houses_with_plumbing_09)*kwh_per_gal_hot_water_2009</f>
        <v>#VALUE!</v>
      </c>
      <c r="J9" s="127"/>
      <c r="K9" s="66">
        <v>2009</v>
      </c>
      <c r="L9" s="121">
        <f t="shared" si="1"/>
        <v>0</v>
      </c>
      <c r="M9" s="127"/>
      <c r="N9" s="66">
        <v>2009</v>
      </c>
      <c r="O9" s="123" t="e">
        <f>(C9*perc_hot_water_faucet_2009)*((Houses_with_plumbing_09-Houses_with_elec_09)/Houses_with_plumbing_09)*mcf_per_gal_hot_water_2009</f>
        <v>#VALUE!</v>
      </c>
      <c r="P9" s="127"/>
      <c r="Q9" s="70">
        <v>2009</v>
      </c>
      <c r="R9" s="78" t="e">
        <f t="shared" si="2"/>
        <v>#VALUE!</v>
      </c>
      <c r="S9" s="127"/>
      <c r="T9" s="70">
        <v>2009</v>
      </c>
      <c r="U9" s="78" t="e">
        <f t="shared" si="3"/>
        <v>#VALUE!</v>
      </c>
      <c r="V9" s="127"/>
      <c r="W9" s="70">
        <v>2009</v>
      </c>
      <c r="X9" s="121" t="e">
        <f t="shared" si="6"/>
        <v>#VALUE!</v>
      </c>
      <c r="Y9" s="127"/>
      <c r="Z9" s="1">
        <v>2009</v>
      </c>
      <c r="AA9" s="121" t="e">
        <f t="shared" si="7"/>
        <v>#VALUE!</v>
      </c>
      <c r="AB9" s="127"/>
      <c r="AC9" s="1">
        <v>2009</v>
      </c>
      <c r="AD9" s="121" t="e">
        <f t="shared" si="4"/>
        <v>#VALUE!</v>
      </c>
      <c r="AE9" s="127"/>
      <c r="AF9" s="1">
        <v>2009</v>
      </c>
      <c r="AG9" s="121" t="e">
        <f t="shared" si="5"/>
        <v>#VALUE!</v>
      </c>
      <c r="AH9" s="127"/>
      <c r="AI9" s="127"/>
      <c r="AJ9" s="127"/>
      <c r="AK9" s="127"/>
      <c r="AL9" s="127"/>
      <c r="AM9" s="127"/>
      <c r="AN9" s="127"/>
      <c r="AO9" s="127"/>
      <c r="AP9" s="127"/>
      <c r="AQ9" s="127"/>
      <c r="AR9" s="127"/>
      <c r="AS9" s="127"/>
      <c r="AT9" s="127"/>
      <c r="AU9" s="127"/>
      <c r="AV9" s="127"/>
      <c r="AW9" s="127"/>
    </row>
    <row r="10" spans="1:49">
      <c r="A10" s="127"/>
      <c r="B10" s="66">
        <v>2010</v>
      </c>
      <c r="C10" s="51" cm="1">
        <f t="array" ref="C10">IF(B10&gt;current_year,"",INDEX(Faucets_h2o,B10-2006))</f>
        <v>0</v>
      </c>
      <c r="D10" s="127"/>
      <c r="E10" s="66">
        <v>2010</v>
      </c>
      <c r="F10" s="53">
        <f t="shared" si="0"/>
        <v>0</v>
      </c>
      <c r="G10" s="127"/>
      <c r="H10" s="66">
        <v>2010</v>
      </c>
      <c r="I10" s="53" t="e">
        <f>(C10*perc_hot_water_faucet_2010)*(Houses_with_elec_10/Houses_with_plumbing_10)*kwh_per_gal_hot_water_2010</f>
        <v>#VALUE!</v>
      </c>
      <c r="J10" s="127"/>
      <c r="K10" s="66">
        <v>2010</v>
      </c>
      <c r="L10" s="121">
        <f t="shared" si="1"/>
        <v>0</v>
      </c>
      <c r="M10" s="127"/>
      <c r="N10" s="66">
        <v>2010</v>
      </c>
      <c r="O10" s="123" t="e">
        <f>(C10*perc_hot_water_faucet_2010)*((Houses_with_plumbing_10-Houses_with_elec_10)/Houses_with_plumbing_10)*mcf_per_gal_hot_water_2010</f>
        <v>#VALUE!</v>
      </c>
      <c r="P10" s="127"/>
      <c r="Q10" s="70">
        <v>2010</v>
      </c>
      <c r="R10" s="78" t="e">
        <f t="shared" si="2"/>
        <v>#VALUE!</v>
      </c>
      <c r="S10" s="127"/>
      <c r="T10" s="70">
        <v>2010</v>
      </c>
      <c r="U10" s="78" t="e">
        <f t="shared" si="3"/>
        <v>#VALUE!</v>
      </c>
      <c r="V10" s="127"/>
      <c r="W10" s="70">
        <v>2010</v>
      </c>
      <c r="X10" s="121" t="e">
        <f t="shared" si="6"/>
        <v>#VALUE!</v>
      </c>
      <c r="Y10" s="127"/>
      <c r="Z10" s="1">
        <v>2010</v>
      </c>
      <c r="AA10" s="121" t="e">
        <f t="shared" si="7"/>
        <v>#VALUE!</v>
      </c>
      <c r="AB10" s="127"/>
      <c r="AC10" s="1">
        <v>2010</v>
      </c>
      <c r="AD10" s="121" t="e">
        <f t="shared" si="4"/>
        <v>#VALUE!</v>
      </c>
      <c r="AE10" s="127"/>
      <c r="AF10" s="1">
        <v>2010</v>
      </c>
      <c r="AG10" s="121" t="e">
        <f t="shared" si="5"/>
        <v>#VALUE!</v>
      </c>
      <c r="AH10" s="127"/>
      <c r="AI10" s="127"/>
      <c r="AJ10" s="127"/>
      <c r="AK10" s="127"/>
      <c r="AL10" s="127"/>
      <c r="AM10" s="127"/>
      <c r="AN10" s="127"/>
      <c r="AO10" s="127"/>
      <c r="AP10" s="127"/>
      <c r="AQ10" s="127"/>
      <c r="AR10" s="127"/>
      <c r="AS10" s="127"/>
      <c r="AT10" s="127"/>
      <c r="AU10" s="127"/>
      <c r="AV10" s="127"/>
      <c r="AW10" s="127"/>
    </row>
    <row r="11" spans="1:49">
      <c r="A11" s="127"/>
      <c r="B11" s="66">
        <v>2011</v>
      </c>
      <c r="C11" s="51" cm="1">
        <f t="array" ref="C11">IF(B11&gt;current_year,"",INDEX(Faucets_h2o,B11-2006))</f>
        <v>0</v>
      </c>
      <c r="D11" s="127"/>
      <c r="E11" s="66">
        <v>2011</v>
      </c>
      <c r="F11" s="53">
        <f t="shared" si="0"/>
        <v>0</v>
      </c>
      <c r="G11" s="127"/>
      <c r="H11" s="66">
        <v>2011</v>
      </c>
      <c r="I11" s="53" t="e">
        <f>(C11*perc_hot_water_faucet_2011)*(Houses_with_elec_11/Houses_with_plumbing_11)*kwh_per_gal_hot_water_2011</f>
        <v>#VALUE!</v>
      </c>
      <c r="J11" s="127"/>
      <c r="K11" s="66">
        <v>2011</v>
      </c>
      <c r="L11" s="121">
        <f t="shared" si="1"/>
        <v>0</v>
      </c>
      <c r="M11" s="127"/>
      <c r="N11" s="66">
        <v>2011</v>
      </c>
      <c r="O11" s="123" t="e">
        <f>(C11*perc_hot_water_faucet_2011)*((Houses_with_plumbing_11-Houses_with_elec_11)/Houses_with_plumbing_11)*mcf_per_gal_hot_water_2011</f>
        <v>#VALUE!</v>
      </c>
      <c r="P11" s="127"/>
      <c r="Q11" s="70">
        <v>2011</v>
      </c>
      <c r="R11" s="78" t="e">
        <f t="shared" si="2"/>
        <v>#VALUE!</v>
      </c>
      <c r="S11" s="127"/>
      <c r="T11" s="70">
        <v>2011</v>
      </c>
      <c r="U11" s="78" t="e">
        <f t="shared" si="3"/>
        <v>#VALUE!</v>
      </c>
      <c r="V11" s="127"/>
      <c r="W11" s="70">
        <v>2011</v>
      </c>
      <c r="X11" s="121" t="e">
        <f t="shared" si="6"/>
        <v>#VALUE!</v>
      </c>
      <c r="Y11" s="127"/>
      <c r="Z11" s="1">
        <v>2011</v>
      </c>
      <c r="AA11" s="121" t="e">
        <f t="shared" si="7"/>
        <v>#VALUE!</v>
      </c>
      <c r="AB11" s="127"/>
      <c r="AC11" s="1">
        <v>2011</v>
      </c>
      <c r="AD11" s="121" t="e">
        <f t="shared" si="4"/>
        <v>#VALUE!</v>
      </c>
      <c r="AE11" s="127"/>
      <c r="AF11" s="1">
        <v>2011</v>
      </c>
      <c r="AG11" s="121" t="e">
        <f t="shared" si="5"/>
        <v>#VALUE!</v>
      </c>
      <c r="AH11" s="127"/>
      <c r="AI11" s="127"/>
      <c r="AJ11" s="127"/>
      <c r="AK11" s="127"/>
      <c r="AL11" s="127"/>
      <c r="AM11" s="127"/>
      <c r="AN11" s="127"/>
      <c r="AO11" s="127"/>
      <c r="AP11" s="127"/>
      <c r="AQ11" s="127"/>
      <c r="AR11" s="127"/>
      <c r="AS11" s="127"/>
      <c r="AT11" s="127"/>
      <c r="AU11" s="127"/>
      <c r="AV11" s="127"/>
      <c r="AW11" s="127"/>
    </row>
    <row r="12" spans="1:49">
      <c r="A12" s="127"/>
      <c r="B12" s="67">
        <v>2012</v>
      </c>
      <c r="C12" s="51" cm="1">
        <f t="array" ref="C12">IF(B12&gt;current_year,"",INDEX(Faucets_h2o,B12-2006))</f>
        <v>0</v>
      </c>
      <c r="D12" s="127"/>
      <c r="E12" s="66">
        <v>2012</v>
      </c>
      <c r="F12" s="53">
        <f t="shared" si="0"/>
        <v>0</v>
      </c>
      <c r="G12" s="127"/>
      <c r="H12" s="66">
        <v>2012</v>
      </c>
      <c r="I12" s="53" t="e">
        <f>(C12*perc_hot_water_faucet_2012)*(Houses_with_elec_12/Houses_with_plumbing_12)*kwh_per_gal_hot_water_2012</f>
        <v>#VALUE!</v>
      </c>
      <c r="J12" s="127"/>
      <c r="K12" s="66">
        <v>2012</v>
      </c>
      <c r="L12" s="121">
        <f t="shared" si="1"/>
        <v>0</v>
      </c>
      <c r="M12" s="127"/>
      <c r="N12" s="66">
        <v>2012</v>
      </c>
      <c r="O12" s="123" t="e">
        <f>(C12*perc_hot_water_faucet_2012)*((Houses_with_plumbing_12-Houses_with_elec_12)/Houses_with_plumbing_12)*mcf_per_gal_hot_water_2012</f>
        <v>#VALUE!</v>
      </c>
      <c r="P12" s="127"/>
      <c r="Q12" s="70">
        <v>2012</v>
      </c>
      <c r="R12" s="78" t="e">
        <f t="shared" si="2"/>
        <v>#VALUE!</v>
      </c>
      <c r="S12" s="127"/>
      <c r="T12" s="70">
        <v>2012</v>
      </c>
      <c r="U12" s="78" t="e">
        <f t="shared" si="3"/>
        <v>#VALUE!</v>
      </c>
      <c r="V12" s="127"/>
      <c r="W12" s="70">
        <v>2012</v>
      </c>
      <c r="X12" s="121" t="e">
        <f t="shared" si="6"/>
        <v>#VALUE!</v>
      </c>
      <c r="Y12" s="127"/>
      <c r="Z12" s="1">
        <v>2012</v>
      </c>
      <c r="AA12" s="121" t="e">
        <f t="shared" si="7"/>
        <v>#VALUE!</v>
      </c>
      <c r="AB12" s="127"/>
      <c r="AC12" s="1">
        <v>2012</v>
      </c>
      <c r="AD12" s="121" t="e">
        <f t="shared" si="4"/>
        <v>#VALUE!</v>
      </c>
      <c r="AE12" s="127"/>
      <c r="AF12" s="1">
        <v>2012</v>
      </c>
      <c r="AG12" s="121" t="e">
        <f t="shared" si="5"/>
        <v>#VALUE!</v>
      </c>
      <c r="AH12" s="127"/>
      <c r="AI12" s="127"/>
      <c r="AJ12" s="127"/>
      <c r="AK12" s="127"/>
      <c r="AL12" s="127"/>
      <c r="AM12" s="127"/>
      <c r="AN12" s="127"/>
      <c r="AO12" s="127"/>
      <c r="AP12" s="127"/>
      <c r="AQ12" s="127"/>
      <c r="AR12" s="127"/>
      <c r="AS12" s="127"/>
      <c r="AT12" s="127"/>
      <c r="AU12" s="127"/>
      <c r="AV12" s="127"/>
      <c r="AW12" s="127"/>
    </row>
    <row r="13" spans="1:49">
      <c r="A13" s="127"/>
      <c r="B13" s="67">
        <v>2013</v>
      </c>
      <c r="C13" s="51" cm="1">
        <f t="array" ref="C13">IF(B13&gt;current_year,"",INDEX(Faucets_h2o,B13-2006))</f>
        <v>0</v>
      </c>
      <c r="D13" s="127"/>
      <c r="E13" s="67">
        <v>2013</v>
      </c>
      <c r="F13" s="53">
        <f t="shared" si="0"/>
        <v>0</v>
      </c>
      <c r="G13" s="127"/>
      <c r="H13" s="67">
        <v>2013</v>
      </c>
      <c r="I13" s="53" t="e">
        <f>(C13*perc_hot_water_faucet_2013)*(Houses_with_elec_13/Houses_with_plumbing_13)*kwh_per_gal_hot_water_2013</f>
        <v>#VALUE!</v>
      </c>
      <c r="J13" s="127"/>
      <c r="K13" s="67">
        <v>2013</v>
      </c>
      <c r="L13" s="121">
        <f t="shared" si="1"/>
        <v>0</v>
      </c>
      <c r="M13" s="127"/>
      <c r="N13" s="67">
        <v>2013</v>
      </c>
      <c r="O13" s="123" t="e">
        <f>(C13*perc_hot_water_faucet_2013)*((Houses_with_plumbing_13-Houses_with_elec_13)/Houses_with_plumbing_13)*mcf_per_gal_hot_water_2013</f>
        <v>#VALUE!</v>
      </c>
      <c r="P13" s="127"/>
      <c r="Q13" s="67">
        <v>2013</v>
      </c>
      <c r="R13" s="78" t="e">
        <f t="shared" si="2"/>
        <v>#VALUE!</v>
      </c>
      <c r="S13" s="127"/>
      <c r="T13" s="67">
        <v>2013</v>
      </c>
      <c r="U13" s="78" t="e">
        <f t="shared" si="3"/>
        <v>#VALUE!</v>
      </c>
      <c r="V13" s="127"/>
      <c r="W13" s="67">
        <v>2013</v>
      </c>
      <c r="X13" s="121" t="e">
        <f t="shared" si="6"/>
        <v>#VALUE!</v>
      </c>
      <c r="Y13" s="127"/>
      <c r="Z13" s="120">
        <v>2013</v>
      </c>
      <c r="AA13" s="121" t="e">
        <f t="shared" si="7"/>
        <v>#VALUE!</v>
      </c>
      <c r="AB13" s="127"/>
      <c r="AC13" s="120">
        <v>2013</v>
      </c>
      <c r="AD13" s="121" t="e">
        <f t="shared" si="4"/>
        <v>#VALUE!</v>
      </c>
      <c r="AE13" s="127"/>
      <c r="AF13" s="120">
        <v>2013</v>
      </c>
      <c r="AG13" s="121" t="e">
        <f t="shared" si="5"/>
        <v>#VALUE!</v>
      </c>
      <c r="AH13" s="127"/>
      <c r="AI13" s="127"/>
      <c r="AJ13" s="127"/>
      <c r="AK13" s="127"/>
      <c r="AL13" s="127"/>
      <c r="AM13" s="127"/>
      <c r="AN13" s="127"/>
      <c r="AO13" s="127"/>
      <c r="AP13" s="127"/>
      <c r="AQ13" s="127"/>
      <c r="AR13" s="127"/>
      <c r="AS13" s="127"/>
      <c r="AT13" s="127"/>
      <c r="AU13" s="127"/>
      <c r="AV13" s="127"/>
      <c r="AW13" s="127"/>
    </row>
    <row r="14" spans="1:49">
      <c r="A14" s="127"/>
      <c r="B14" s="67">
        <v>2014</v>
      </c>
      <c r="C14" s="51" cm="1">
        <f t="array" ref="C14">IF(B14&gt;current_year,"",INDEX(Faucets_h2o,B14-2006))</f>
        <v>0</v>
      </c>
      <c r="D14" s="127"/>
      <c r="E14" s="67">
        <v>2014</v>
      </c>
      <c r="F14" s="53">
        <f t="shared" si="0"/>
        <v>0</v>
      </c>
      <c r="G14" s="127"/>
      <c r="H14" s="67">
        <v>2014</v>
      </c>
      <c r="I14" s="53" t="e">
        <f>(C14*perc_hot_water_faucet_2014)*(Houses_with_elec_14/Houses_with_plumbing_14)*kwh_per_gal_hot_water_2014</f>
        <v>#VALUE!</v>
      </c>
      <c r="J14" s="127"/>
      <c r="K14" s="67">
        <v>2014</v>
      </c>
      <c r="L14" s="121">
        <f t="shared" si="1"/>
        <v>0</v>
      </c>
      <c r="M14" s="127"/>
      <c r="N14" s="67">
        <v>2014</v>
      </c>
      <c r="O14" s="123" t="e">
        <f>(C14*perc_hot_water_faucet_2014)*((Houses_with_plumbing_14-Houses_with_elec_14)/Houses_with_plumbing_14)*mcf_per_gal_hot_water_2014</f>
        <v>#VALUE!</v>
      </c>
      <c r="P14" s="127"/>
      <c r="Q14" s="67">
        <v>2014</v>
      </c>
      <c r="R14" s="78" t="e">
        <f t="shared" si="2"/>
        <v>#VALUE!</v>
      </c>
      <c r="S14" s="127"/>
      <c r="T14" s="67">
        <v>2014</v>
      </c>
      <c r="U14" s="78" t="e">
        <f t="shared" si="3"/>
        <v>#VALUE!</v>
      </c>
      <c r="V14" s="127"/>
      <c r="W14" s="67">
        <v>2014</v>
      </c>
      <c r="X14" s="121" t="e">
        <f t="shared" si="6"/>
        <v>#VALUE!</v>
      </c>
      <c r="Y14" s="127"/>
      <c r="Z14" s="120">
        <v>2014</v>
      </c>
      <c r="AA14" s="121" t="e">
        <f t="shared" si="7"/>
        <v>#VALUE!</v>
      </c>
      <c r="AB14" s="127"/>
      <c r="AC14" s="120">
        <v>2014</v>
      </c>
      <c r="AD14" s="121" t="e">
        <f t="shared" si="4"/>
        <v>#VALUE!</v>
      </c>
      <c r="AE14" s="127"/>
      <c r="AF14" s="120">
        <v>2014</v>
      </c>
      <c r="AG14" s="121" t="e">
        <f t="shared" si="5"/>
        <v>#VALUE!</v>
      </c>
      <c r="AH14" s="127"/>
      <c r="AI14" s="127"/>
      <c r="AJ14" s="127"/>
      <c r="AK14" s="127"/>
      <c r="AL14" s="127"/>
      <c r="AM14" s="127"/>
      <c r="AN14" s="127"/>
      <c r="AO14" s="127"/>
      <c r="AP14" s="127"/>
      <c r="AQ14" s="127"/>
      <c r="AR14" s="127"/>
      <c r="AS14" s="127"/>
      <c r="AT14" s="127"/>
      <c r="AU14" s="127"/>
      <c r="AV14" s="127"/>
      <c r="AW14" s="127"/>
    </row>
    <row r="15" spans="1:49">
      <c r="A15" s="127"/>
      <c r="B15" s="67">
        <v>2015</v>
      </c>
      <c r="C15" s="51" cm="1">
        <f t="array" ref="C15">IF(B15&gt;current_year,"",INDEX(Faucets_h2o,B15-2006))</f>
        <v>0</v>
      </c>
      <c r="D15" s="127"/>
      <c r="E15" s="67">
        <v>2015</v>
      </c>
      <c r="F15" s="53">
        <f t="shared" si="0"/>
        <v>0</v>
      </c>
      <c r="G15" s="127"/>
      <c r="H15" s="67">
        <v>2015</v>
      </c>
      <c r="I15" s="53" t="e">
        <f>(C15*perc_hot_water_faucet_2015)*(Houses_with_elec_15/Houses_with_plumbing_15)*kwh_per_gal_hot_water_2015</f>
        <v>#VALUE!</v>
      </c>
      <c r="J15" s="127"/>
      <c r="K15" s="67">
        <v>2015</v>
      </c>
      <c r="L15" s="121">
        <f t="shared" si="1"/>
        <v>0</v>
      </c>
      <c r="M15" s="127"/>
      <c r="N15" s="67">
        <v>2015</v>
      </c>
      <c r="O15" s="123" t="e">
        <f>(C15*perc_hot_water_faucet_2015)*((Houses_with_plumbing_15-Houses_with_elec_15)/Houses_with_plumbing_15)*mcf_per_gal_hot_water_2015</f>
        <v>#VALUE!</v>
      </c>
      <c r="P15" s="127"/>
      <c r="Q15" s="67">
        <v>2015</v>
      </c>
      <c r="R15" s="78" t="e">
        <f t="shared" si="2"/>
        <v>#VALUE!</v>
      </c>
      <c r="S15" s="127"/>
      <c r="T15" s="67">
        <v>2015</v>
      </c>
      <c r="U15" s="78" t="e">
        <f t="shared" si="3"/>
        <v>#VALUE!</v>
      </c>
      <c r="V15" s="127"/>
      <c r="W15" s="67">
        <v>2015</v>
      </c>
      <c r="X15" s="121" t="e">
        <f t="shared" si="6"/>
        <v>#VALUE!</v>
      </c>
      <c r="Y15" s="127"/>
      <c r="Z15" s="120">
        <v>2015</v>
      </c>
      <c r="AA15" s="121" t="e">
        <f t="shared" si="7"/>
        <v>#VALUE!</v>
      </c>
      <c r="AB15" s="127"/>
      <c r="AC15" s="120">
        <v>2015</v>
      </c>
      <c r="AD15" s="121" t="e">
        <f t="shared" si="4"/>
        <v>#VALUE!</v>
      </c>
      <c r="AE15" s="127"/>
      <c r="AF15" s="120">
        <v>2015</v>
      </c>
      <c r="AG15" s="121" t="e">
        <f t="shared" si="5"/>
        <v>#VALUE!</v>
      </c>
      <c r="AH15" s="127"/>
      <c r="AI15" s="127"/>
      <c r="AJ15" s="127"/>
      <c r="AK15" s="127"/>
      <c r="AL15" s="127"/>
      <c r="AM15" s="127"/>
      <c r="AN15" s="127"/>
      <c r="AO15" s="127"/>
      <c r="AP15" s="127"/>
      <c r="AQ15" s="127"/>
      <c r="AR15" s="127"/>
      <c r="AS15" s="127"/>
      <c r="AT15" s="127"/>
      <c r="AU15" s="127"/>
      <c r="AV15" s="127"/>
      <c r="AW15" s="127"/>
    </row>
    <row r="16" spans="1:49">
      <c r="A16" s="127"/>
      <c r="B16" s="67">
        <v>2016</v>
      </c>
      <c r="C16" s="51" cm="1">
        <f t="array" ref="C16">IF(B16&gt;current_year,"",INDEX(Faucets_h2o,B16-2006))</f>
        <v>0</v>
      </c>
      <c r="D16" s="127"/>
      <c r="E16" s="67">
        <v>2016</v>
      </c>
      <c r="F16" s="53">
        <f t="shared" si="0"/>
        <v>0</v>
      </c>
      <c r="G16" s="127"/>
      <c r="H16" s="67">
        <v>2016</v>
      </c>
      <c r="I16" s="53" t="e">
        <f>(C16*perc_hot_water_faucet_2016)*(Houses_with_elec_16/Houses_with_plumbing_16)*kwh_per_gal_hot_water_2016</f>
        <v>#VALUE!</v>
      </c>
      <c r="J16" s="127"/>
      <c r="K16" s="67">
        <v>2016</v>
      </c>
      <c r="L16" s="121">
        <f t="shared" si="1"/>
        <v>0</v>
      </c>
      <c r="M16" s="127"/>
      <c r="N16" s="67">
        <v>2016</v>
      </c>
      <c r="O16" s="123" t="e">
        <f>(C16*perc_hot_water_faucet_2016)*((Houses_with_plumbing_16-Houses_with_elec_16)/Houses_with_plumbing_16)*mcf_per_gal_hot_water_2016</f>
        <v>#VALUE!</v>
      </c>
      <c r="P16" s="127"/>
      <c r="Q16" s="67">
        <v>2016</v>
      </c>
      <c r="R16" s="78" t="e">
        <f t="shared" si="2"/>
        <v>#VALUE!</v>
      </c>
      <c r="S16" s="127"/>
      <c r="T16" s="67">
        <v>2016</v>
      </c>
      <c r="U16" s="78" t="e">
        <f t="shared" si="3"/>
        <v>#VALUE!</v>
      </c>
      <c r="V16" s="127"/>
      <c r="W16" s="67">
        <v>2016</v>
      </c>
      <c r="X16" s="121" t="e">
        <f t="shared" si="6"/>
        <v>#VALUE!</v>
      </c>
      <c r="Y16" s="127"/>
      <c r="Z16" s="120">
        <v>2016</v>
      </c>
      <c r="AA16" s="121" t="e">
        <f t="shared" si="7"/>
        <v>#VALUE!</v>
      </c>
      <c r="AB16" s="127"/>
      <c r="AC16" s="120">
        <v>2016</v>
      </c>
      <c r="AD16" s="121" t="e">
        <f t="shared" si="4"/>
        <v>#VALUE!</v>
      </c>
      <c r="AE16" s="127"/>
      <c r="AF16" s="120">
        <v>2016</v>
      </c>
      <c r="AG16" s="121" t="e">
        <f t="shared" si="5"/>
        <v>#VALUE!</v>
      </c>
      <c r="AH16" s="127"/>
      <c r="AI16" s="127"/>
      <c r="AJ16" s="127"/>
      <c r="AK16" s="127"/>
      <c r="AL16" s="127"/>
      <c r="AM16" s="127"/>
      <c r="AN16" s="127"/>
      <c r="AO16" s="127"/>
      <c r="AP16" s="127"/>
      <c r="AQ16" s="127"/>
      <c r="AR16" s="127"/>
      <c r="AS16" s="127"/>
      <c r="AT16" s="127"/>
      <c r="AU16" s="127"/>
      <c r="AV16" s="127"/>
      <c r="AW16" s="127"/>
    </row>
    <row r="17" spans="1:49">
      <c r="A17" s="127"/>
      <c r="B17" s="67">
        <v>2017</v>
      </c>
      <c r="C17" s="51" cm="1">
        <f t="array" ref="C17">IF(B17&gt;current_year,"",INDEX(Faucets_h2o,B17-2006))</f>
        <v>0</v>
      </c>
      <c r="D17" s="127"/>
      <c r="E17" s="67">
        <v>2017</v>
      </c>
      <c r="F17" s="53">
        <f t="shared" si="0"/>
        <v>0</v>
      </c>
      <c r="G17" s="127"/>
      <c r="H17" s="67">
        <v>2017</v>
      </c>
      <c r="I17" s="53" t="e">
        <f>(C17*perc_hot_water_faucet_2017)*(Houses_with_elec_17/Houses_with_plumbing_17)*kwh_per_gal_hot_water_2017</f>
        <v>#VALUE!</v>
      </c>
      <c r="J17" s="127"/>
      <c r="K17" s="67">
        <v>2017</v>
      </c>
      <c r="L17" s="121">
        <f t="shared" si="1"/>
        <v>0</v>
      </c>
      <c r="M17" s="127"/>
      <c r="N17" s="67">
        <v>2017</v>
      </c>
      <c r="O17" s="123" t="e">
        <f>(C17*perc_hot_water_faucet_2017)*((Houses_with_plumbing_17-Houses_with_elec_17)/Houses_with_plumbing_17)*mcf_per_gal_hot_water_2017</f>
        <v>#VALUE!</v>
      </c>
      <c r="P17" s="127"/>
      <c r="Q17" s="67">
        <v>2017</v>
      </c>
      <c r="R17" s="78" t="e">
        <f t="shared" si="2"/>
        <v>#VALUE!</v>
      </c>
      <c r="S17" s="127"/>
      <c r="T17" s="67">
        <v>2017</v>
      </c>
      <c r="U17" s="78" t="e">
        <f t="shared" si="3"/>
        <v>#VALUE!</v>
      </c>
      <c r="V17" s="127"/>
      <c r="W17" s="67">
        <v>2017</v>
      </c>
      <c r="X17" s="121" t="e">
        <f t="shared" si="6"/>
        <v>#VALUE!</v>
      </c>
      <c r="Y17" s="127"/>
      <c r="Z17" s="120">
        <v>2017</v>
      </c>
      <c r="AA17" s="121" t="e">
        <f t="shared" si="7"/>
        <v>#VALUE!</v>
      </c>
      <c r="AB17" s="127"/>
      <c r="AC17" s="120">
        <v>2017</v>
      </c>
      <c r="AD17" s="121" t="e">
        <f t="shared" si="4"/>
        <v>#VALUE!</v>
      </c>
      <c r="AE17" s="127"/>
      <c r="AF17" s="120">
        <v>2017</v>
      </c>
      <c r="AG17" s="121" t="e">
        <f t="shared" si="5"/>
        <v>#VALUE!</v>
      </c>
      <c r="AH17" s="127"/>
      <c r="AI17" s="127"/>
      <c r="AJ17" s="127"/>
      <c r="AK17" s="127"/>
      <c r="AL17" s="127"/>
      <c r="AM17" s="127"/>
      <c r="AN17" s="127"/>
      <c r="AO17" s="127"/>
      <c r="AP17" s="127"/>
      <c r="AQ17" s="127"/>
      <c r="AR17" s="127"/>
      <c r="AS17" s="127"/>
      <c r="AT17" s="127"/>
      <c r="AU17" s="127"/>
      <c r="AV17" s="127"/>
      <c r="AW17" s="127"/>
    </row>
    <row r="18" spans="1:49">
      <c r="A18" s="127"/>
      <c r="B18" s="67">
        <v>2018</v>
      </c>
      <c r="C18" s="51" cm="1">
        <f t="array" ref="C18">IF(B18&gt;current_year,"",INDEX(Faucets_h2o,B18-2006))</f>
        <v>0</v>
      </c>
      <c r="D18" s="127"/>
      <c r="E18" s="67">
        <v>2018</v>
      </c>
      <c r="F18" s="53">
        <f t="shared" ref="F18:F30" si="8">IF(C18="","",C18*(kwh_per_gal_drnk_water+kwh_per_gal_waste_water))</f>
        <v>0</v>
      </c>
      <c r="G18" s="127"/>
      <c r="H18" s="67">
        <v>2018</v>
      </c>
      <c r="I18" s="53" t="e">
        <f>IF($C18="","",(C18*perc_hot_water_faucet_2018)*(Houses_with_elec_18/Houses_with_plumbing_18)*kwh_per_gal_hot_water_2018)</f>
        <v>#VALUE!</v>
      </c>
      <c r="J18" s="127"/>
      <c r="K18" s="67">
        <v>2018</v>
      </c>
      <c r="L18" s="121">
        <f t="shared" si="1"/>
        <v>0</v>
      </c>
      <c r="M18" s="127"/>
      <c r="N18" s="67">
        <v>2018</v>
      </c>
      <c r="O18" s="123" t="e">
        <f>IF($C18="","",(C18*perc_hot_water_faucet_2018)*((Houses_with_plumbing_18-Houses_with_elec_18)/Houses_with_plumbing_18)*mcf_per_gal_hot_water_2018)</f>
        <v>#VALUE!</v>
      </c>
      <c r="P18" s="127"/>
      <c r="Q18" s="67">
        <v>2018</v>
      </c>
      <c r="R18" s="78" t="e">
        <f t="shared" ref="R18:R30" si="9">IF($C18="","",F18+I18+(O18*kwh_per_therm*therms_per_mcf))</f>
        <v>#VALUE!</v>
      </c>
      <c r="S18" s="127"/>
      <c r="T18" s="67">
        <v>2018</v>
      </c>
      <c r="U18" s="78" t="e">
        <f t="shared" ref="U18:U30" si="10">IF($C18="","",((I18+F18)*tons_co2_per_kwh)+(O18*tons_co2_per_therm*therms_per_mcf))</f>
        <v>#VALUE!</v>
      </c>
      <c r="V18" s="127"/>
      <c r="W18" s="67">
        <v>2018</v>
      </c>
      <c r="X18" s="121" t="e">
        <f t="shared" si="6"/>
        <v>#VALUE!</v>
      </c>
      <c r="Y18" s="127"/>
      <c r="Z18" s="120">
        <v>2018</v>
      </c>
      <c r="AA18" s="121" t="e">
        <f t="shared" si="7"/>
        <v>#VALUE!</v>
      </c>
      <c r="AB18" s="127"/>
      <c r="AC18" s="120">
        <v>2018</v>
      </c>
      <c r="AD18" s="121" t="e">
        <f>IF($C18="","",SUM(X18+AA18))</f>
        <v>#VALUE!</v>
      </c>
      <c r="AE18" s="127"/>
      <c r="AF18" s="120">
        <v>2018</v>
      </c>
      <c r="AG18" s="121" t="e">
        <f t="shared" si="5"/>
        <v>#VALUE!</v>
      </c>
      <c r="AH18" s="127"/>
      <c r="AI18" s="127"/>
      <c r="AJ18" s="127"/>
      <c r="AK18" s="127"/>
      <c r="AL18" s="127"/>
      <c r="AM18" s="127"/>
      <c r="AN18" s="127"/>
      <c r="AO18" s="127"/>
      <c r="AP18" s="127"/>
      <c r="AQ18" s="127"/>
      <c r="AR18" s="127"/>
      <c r="AS18" s="127"/>
      <c r="AT18" s="127"/>
      <c r="AU18" s="127"/>
      <c r="AV18" s="127"/>
      <c r="AW18" s="127"/>
    </row>
    <row r="19" spans="1:49">
      <c r="A19" s="127"/>
      <c r="B19" s="67">
        <v>2019</v>
      </c>
      <c r="C19" s="51" cm="1">
        <f t="array" ref="C19">IF(B19&gt;current_year,"",INDEX(Faucets_h2o,B19-2006))</f>
        <v>0</v>
      </c>
      <c r="D19" s="127"/>
      <c r="E19" s="67">
        <v>2019</v>
      </c>
      <c r="F19" s="53">
        <f t="shared" si="8"/>
        <v>0</v>
      </c>
      <c r="G19" s="127"/>
      <c r="H19" s="67">
        <v>2019</v>
      </c>
      <c r="I19" s="53" t="e">
        <f>IF($C19="","",(C19*perc_hot_water_faucet_2019)*(Houses_with_elec_19/Houses_with_plumbing_19)*kwh_per_gal_hot_water_2019)</f>
        <v>#VALUE!</v>
      </c>
      <c r="J19" s="127"/>
      <c r="K19" s="67">
        <v>2019</v>
      </c>
      <c r="L19" s="121">
        <f t="shared" si="1"/>
        <v>0</v>
      </c>
      <c r="M19" s="127"/>
      <c r="N19" s="67">
        <v>2019</v>
      </c>
      <c r="O19" s="123" t="e">
        <f>IF($C19="","",(C19*perc_hot_water_faucet_2019)*((Houses_with_plumbing_19-Houses_with_elec_19)/Houses_with_plumbing_19)*mcf_per_gal_hot_water_2019)</f>
        <v>#VALUE!</v>
      </c>
      <c r="P19" s="127"/>
      <c r="Q19" s="67">
        <v>2019</v>
      </c>
      <c r="R19" s="78" t="e">
        <f t="shared" si="9"/>
        <v>#VALUE!</v>
      </c>
      <c r="S19" s="127"/>
      <c r="T19" s="67">
        <v>2019</v>
      </c>
      <c r="U19" s="78" t="e">
        <f t="shared" si="10"/>
        <v>#VALUE!</v>
      </c>
      <c r="V19" s="127"/>
      <c r="W19" s="67">
        <v>2019</v>
      </c>
      <c r="X19" s="121" t="e">
        <f t="shared" si="6"/>
        <v>#VALUE!</v>
      </c>
      <c r="Y19" s="127"/>
      <c r="Z19" s="120">
        <v>2019</v>
      </c>
      <c r="AA19" s="121" t="e">
        <f t="shared" si="7"/>
        <v>#VALUE!</v>
      </c>
      <c r="AB19" s="127"/>
      <c r="AC19" s="120">
        <v>2019</v>
      </c>
      <c r="AD19" s="143" t="e">
        <f t="shared" ref="AD19:AD30" si="11">IF($C19="","",SUM(X19+AA19))</f>
        <v>#VALUE!</v>
      </c>
      <c r="AE19" s="127"/>
      <c r="AF19" s="120">
        <v>2019</v>
      </c>
      <c r="AG19" s="121" t="e">
        <f t="shared" si="5"/>
        <v>#VALUE!</v>
      </c>
      <c r="AH19" s="127"/>
      <c r="AI19" s="127"/>
      <c r="AJ19" s="127"/>
      <c r="AK19" s="127"/>
      <c r="AL19" s="127"/>
      <c r="AM19" s="127"/>
      <c r="AN19" s="127"/>
      <c r="AO19" s="127"/>
      <c r="AP19" s="127"/>
      <c r="AQ19" s="127"/>
      <c r="AR19" s="127"/>
      <c r="AS19" s="127"/>
      <c r="AT19" s="127"/>
      <c r="AU19" s="127"/>
      <c r="AV19" s="127"/>
      <c r="AW19" s="127"/>
    </row>
    <row r="20" spans="1:49">
      <c r="A20" s="127"/>
      <c r="B20" s="67">
        <v>2020</v>
      </c>
      <c r="C20" s="51" cm="1">
        <f t="array" ref="C20">IF(B20&gt;current_year,"",INDEX(Faucets_h2o,B20-2006))</f>
        <v>0</v>
      </c>
      <c r="D20" s="127"/>
      <c r="E20" s="67">
        <v>2020</v>
      </c>
      <c r="F20" s="53">
        <f t="shared" si="8"/>
        <v>0</v>
      </c>
      <c r="G20" s="127"/>
      <c r="H20" s="67">
        <v>2020</v>
      </c>
      <c r="I20" s="53" t="e">
        <f>IF($C20="","",(C20*perc_hot_water_faucet_2020)*(Houses_with_elec_20/Houses_with_plumbing_20)*kwh_per_gal_hot_water_2020)</f>
        <v>#VALUE!</v>
      </c>
      <c r="J20" s="127"/>
      <c r="K20" s="67">
        <v>2020</v>
      </c>
      <c r="L20" s="121">
        <f t="shared" si="1"/>
        <v>0</v>
      </c>
      <c r="M20" s="127"/>
      <c r="N20" s="67">
        <v>2020</v>
      </c>
      <c r="O20" s="123" t="e">
        <f>IF($C20="","",(C20*perc_hot_water_faucet_2020)*((Houses_with_plumbing_20-Houses_with_elec_20)/Houses_with_plumbing_20)*mcf_per_gal_hot_water_2020)</f>
        <v>#VALUE!</v>
      </c>
      <c r="P20" s="127"/>
      <c r="Q20" s="67">
        <v>2020</v>
      </c>
      <c r="R20" s="78" t="e">
        <f t="shared" si="9"/>
        <v>#VALUE!</v>
      </c>
      <c r="S20" s="127"/>
      <c r="T20" s="67">
        <v>2020</v>
      </c>
      <c r="U20" s="78" t="e">
        <f t="shared" si="10"/>
        <v>#VALUE!</v>
      </c>
      <c r="V20" s="127"/>
      <c r="W20" s="67">
        <v>2020</v>
      </c>
      <c r="X20" s="121" t="e">
        <f t="shared" ref="X20:X30" si="12">IF(C20="","",SUM(I20*INDEX(Elec_res,W20-2006))*IF(W20&lt;current_year, INDEX(GDP,current_year-2007)/INDEX(GDP,W20-2007),1))</f>
        <v>#VALUE!</v>
      </c>
      <c r="Y20" s="127"/>
      <c r="Z20" s="120">
        <v>2020</v>
      </c>
      <c r="AA20" s="121" t="e">
        <f t="shared" ref="AA20:AA30" si="13">IF(F20="","",SUM(O20*INDEX(Gas_res,Z20-2006))*IF(Z20&lt;current_year, INDEX(GDP,current_year-2007)/INDEX(GDP,Z20-2007),1))</f>
        <v>#VALUE!</v>
      </c>
      <c r="AB20" s="127"/>
      <c r="AC20" s="120">
        <v>2020</v>
      </c>
      <c r="AD20" s="143" t="e">
        <f t="shared" si="11"/>
        <v>#VALUE!</v>
      </c>
      <c r="AE20" s="127"/>
      <c r="AF20" s="120">
        <v>2020</v>
      </c>
      <c r="AG20" s="121" t="e">
        <f t="shared" si="5"/>
        <v>#VALUE!</v>
      </c>
      <c r="AH20" s="127"/>
      <c r="AI20" s="127"/>
      <c r="AJ20" s="127"/>
      <c r="AK20" s="127"/>
      <c r="AL20" s="127"/>
      <c r="AM20" s="127"/>
      <c r="AN20" s="127"/>
      <c r="AO20" s="127"/>
      <c r="AP20" s="127"/>
      <c r="AQ20" s="127"/>
      <c r="AR20" s="127"/>
      <c r="AS20" s="127"/>
      <c r="AT20" s="127"/>
      <c r="AU20" s="127"/>
      <c r="AV20" s="127"/>
      <c r="AW20" s="127"/>
    </row>
    <row r="21" spans="1:49">
      <c r="A21" s="127"/>
      <c r="B21" s="67">
        <v>2021</v>
      </c>
      <c r="C21" s="51" cm="1">
        <f t="array" ref="C21">IF(B21&gt;current_year,"",INDEX(Faucets_h2o,B21-2006))</f>
        <v>0</v>
      </c>
      <c r="D21" s="127"/>
      <c r="E21" s="67">
        <v>2021</v>
      </c>
      <c r="F21" s="53">
        <f t="shared" si="8"/>
        <v>0</v>
      </c>
      <c r="G21" s="127"/>
      <c r="H21" s="67">
        <v>2021</v>
      </c>
      <c r="I21" s="53" t="e">
        <f>IF($C21="","",(C21*perc_hot_water_faucet_2021)*(Houses_with_elec_21/Houses_with_plumbing_21)*kwh_per_gal_hot_water_2021)</f>
        <v>#VALUE!</v>
      </c>
      <c r="J21" s="127"/>
      <c r="K21" s="67">
        <v>2021</v>
      </c>
      <c r="L21" s="121">
        <f t="shared" si="1"/>
        <v>0</v>
      </c>
      <c r="M21" s="127"/>
      <c r="N21" s="67">
        <v>2021</v>
      </c>
      <c r="O21" s="123" t="e">
        <f>IF($C21="","",(C21*perc_hot_water_faucet_2021)*((Houses_with_plumbing_21-Houses_with_elec_21)/Houses_with_plumbing_21)*mcf_per_gal_hot_water_2021)</f>
        <v>#VALUE!</v>
      </c>
      <c r="P21" s="127"/>
      <c r="Q21" s="67">
        <v>2021</v>
      </c>
      <c r="R21" s="78" t="e">
        <f t="shared" si="9"/>
        <v>#VALUE!</v>
      </c>
      <c r="S21" s="127"/>
      <c r="T21" s="67">
        <v>2021</v>
      </c>
      <c r="U21" s="78" t="e">
        <f t="shared" si="10"/>
        <v>#VALUE!</v>
      </c>
      <c r="V21" s="127"/>
      <c r="W21" s="67">
        <v>2021</v>
      </c>
      <c r="X21" s="121" t="e">
        <f t="shared" si="12"/>
        <v>#VALUE!</v>
      </c>
      <c r="Y21" s="127"/>
      <c r="Z21" s="120">
        <v>2021</v>
      </c>
      <c r="AA21" s="121" t="e">
        <f t="shared" si="13"/>
        <v>#VALUE!</v>
      </c>
      <c r="AB21" s="127"/>
      <c r="AC21" s="120">
        <v>2021</v>
      </c>
      <c r="AD21" s="143" t="e">
        <f t="shared" si="11"/>
        <v>#VALUE!</v>
      </c>
      <c r="AE21" s="127"/>
      <c r="AF21" s="120">
        <v>2021</v>
      </c>
      <c r="AG21" s="121" t="e">
        <f t="shared" si="5"/>
        <v>#VALUE!</v>
      </c>
      <c r="AH21" s="127"/>
      <c r="AI21" s="127"/>
      <c r="AJ21" s="127"/>
      <c r="AK21" s="127"/>
      <c r="AL21" s="127"/>
      <c r="AM21" s="127"/>
      <c r="AN21" s="127"/>
      <c r="AO21" s="127"/>
      <c r="AP21" s="127"/>
      <c r="AQ21" s="127"/>
      <c r="AR21" s="127"/>
      <c r="AS21" s="127"/>
      <c r="AT21" s="127"/>
      <c r="AU21" s="127"/>
      <c r="AV21" s="127"/>
      <c r="AW21" s="127"/>
    </row>
    <row r="22" spans="1:49">
      <c r="A22" s="127"/>
      <c r="B22" s="67">
        <v>2022</v>
      </c>
      <c r="C22" s="51" cm="1">
        <f t="array" ref="C22">IF(B22&gt;current_year,"",INDEX(Faucets_h2o,B22-2006))</f>
        <v>0</v>
      </c>
      <c r="D22" s="127"/>
      <c r="E22" s="67">
        <v>2022</v>
      </c>
      <c r="F22" s="53">
        <f t="shared" si="8"/>
        <v>0</v>
      </c>
      <c r="G22" s="127"/>
      <c r="H22" s="67">
        <v>2022</v>
      </c>
      <c r="I22" s="53" t="e">
        <f>IF($C22="","",(C22*perc_hot_water_faucet_2022)*(Houses_with_elec_22/Houses_with_plumbing_22)*kwh_per_gal_hot_water_2022)</f>
        <v>#VALUE!</v>
      </c>
      <c r="J22" s="127"/>
      <c r="K22" s="67">
        <v>2022</v>
      </c>
      <c r="L22" s="121">
        <f t="shared" si="1"/>
        <v>0</v>
      </c>
      <c r="M22" s="127"/>
      <c r="N22" s="67">
        <v>2022</v>
      </c>
      <c r="O22" s="123" t="e">
        <f>IF($C22="","",(C22*perc_hot_water_faucet_2022)*((Houses_with_plumbing_22-Houses_with_elec_22)/Houses_with_plumbing_22)*mcf_per_gal_hot_water_2022)</f>
        <v>#VALUE!</v>
      </c>
      <c r="P22" s="127"/>
      <c r="Q22" s="67">
        <v>2022</v>
      </c>
      <c r="R22" s="78" t="e">
        <f t="shared" si="9"/>
        <v>#VALUE!</v>
      </c>
      <c r="S22" s="127"/>
      <c r="T22" s="67">
        <v>2022</v>
      </c>
      <c r="U22" s="78" t="e">
        <f t="shared" si="10"/>
        <v>#VALUE!</v>
      </c>
      <c r="V22" s="127"/>
      <c r="W22" s="67">
        <v>2022</v>
      </c>
      <c r="X22" s="121" t="e">
        <f t="shared" si="12"/>
        <v>#VALUE!</v>
      </c>
      <c r="Y22" s="127"/>
      <c r="Z22" s="120">
        <v>2022</v>
      </c>
      <c r="AA22" s="121" t="e">
        <f t="shared" si="13"/>
        <v>#VALUE!</v>
      </c>
      <c r="AB22" s="127"/>
      <c r="AC22" s="120">
        <v>2022</v>
      </c>
      <c r="AD22" s="143" t="e">
        <f t="shared" si="11"/>
        <v>#VALUE!</v>
      </c>
      <c r="AE22" s="127"/>
      <c r="AF22" s="120">
        <v>2022</v>
      </c>
      <c r="AG22" s="121" t="e">
        <f t="shared" si="5"/>
        <v>#VALUE!</v>
      </c>
      <c r="AH22" s="127"/>
      <c r="AI22" s="127"/>
      <c r="AJ22" s="127"/>
      <c r="AK22" s="127"/>
      <c r="AL22" s="127"/>
      <c r="AM22" s="127"/>
      <c r="AN22" s="127"/>
      <c r="AO22" s="127"/>
      <c r="AP22" s="127"/>
      <c r="AQ22" s="127"/>
      <c r="AR22" s="127"/>
      <c r="AS22" s="127"/>
      <c r="AT22" s="127"/>
      <c r="AU22" s="127"/>
      <c r="AV22" s="127"/>
      <c r="AW22" s="127"/>
    </row>
    <row r="23" spans="1:49">
      <c r="A23" s="127"/>
      <c r="B23" s="67">
        <v>2023</v>
      </c>
      <c r="C23" s="51" cm="1">
        <f t="array" ref="C23">IF(B23&gt;current_year,"",INDEX(Faucets_h2o,B23-2006))</f>
        <v>0</v>
      </c>
      <c r="D23" s="127"/>
      <c r="E23" s="67">
        <v>2023</v>
      </c>
      <c r="F23" s="53">
        <f t="shared" si="8"/>
        <v>0</v>
      </c>
      <c r="G23" s="127"/>
      <c r="H23" s="67">
        <v>2023</v>
      </c>
      <c r="I23" s="53" t="e">
        <f>IF($C23="","",(C23*perc_hot_water_faucet_2023)*(Houses_with_elec_23/Houses_with_plumbing_23)*kwh_per_gal_hot_water_2023)</f>
        <v>#VALUE!</v>
      </c>
      <c r="J23" s="127"/>
      <c r="K23" s="67">
        <v>2023</v>
      </c>
      <c r="L23" s="121">
        <f t="shared" si="1"/>
        <v>0</v>
      </c>
      <c r="M23" s="127"/>
      <c r="N23" s="67">
        <v>2023</v>
      </c>
      <c r="O23" s="123" t="e">
        <f>IF($C23="","",(C23*perc_hot_water_faucet_2023)*((Houses_with_plumbing_23-Houses_with_elec_23)/Houses_with_plumbing_23)*mcf_per_gal_hot_water_2023)</f>
        <v>#VALUE!</v>
      </c>
      <c r="P23" s="127"/>
      <c r="Q23" s="67">
        <v>2023</v>
      </c>
      <c r="R23" s="78" t="e">
        <f t="shared" si="9"/>
        <v>#VALUE!</v>
      </c>
      <c r="S23" s="127"/>
      <c r="T23" s="67">
        <v>2023</v>
      </c>
      <c r="U23" s="78" t="e">
        <f t="shared" si="10"/>
        <v>#VALUE!</v>
      </c>
      <c r="V23" s="127"/>
      <c r="W23" s="67">
        <v>2023</v>
      </c>
      <c r="X23" s="121" t="e">
        <f t="shared" si="12"/>
        <v>#VALUE!</v>
      </c>
      <c r="Y23" s="127"/>
      <c r="Z23" s="120">
        <v>2023</v>
      </c>
      <c r="AA23" s="121" t="e">
        <f t="shared" si="13"/>
        <v>#VALUE!</v>
      </c>
      <c r="AB23" s="127"/>
      <c r="AC23" s="120">
        <v>2023</v>
      </c>
      <c r="AD23" s="143" t="e">
        <f t="shared" si="11"/>
        <v>#VALUE!</v>
      </c>
      <c r="AE23" s="127"/>
      <c r="AF23" s="120">
        <v>2023</v>
      </c>
      <c r="AG23" s="121" t="e">
        <f>IF($C23="","",L23+AD23)</f>
        <v>#VALUE!</v>
      </c>
      <c r="AH23" s="127"/>
      <c r="AI23" s="127"/>
      <c r="AJ23" s="127"/>
      <c r="AK23" s="127"/>
      <c r="AL23" s="127"/>
      <c r="AM23" s="127"/>
      <c r="AN23" s="127"/>
      <c r="AO23" s="127"/>
      <c r="AP23" s="127"/>
      <c r="AQ23" s="127"/>
      <c r="AR23" s="127"/>
      <c r="AS23" s="127"/>
      <c r="AT23" s="127"/>
      <c r="AU23" s="127"/>
      <c r="AV23" s="127"/>
      <c r="AW23" s="127"/>
    </row>
    <row r="24" spans="1:49">
      <c r="A24" s="127"/>
      <c r="B24" s="67">
        <v>2024</v>
      </c>
      <c r="C24" s="51" cm="1">
        <f t="array" ref="C24">IF(B24&gt;current_year,"",INDEX(Faucets_h2o,B24-2006))</f>
        <v>0</v>
      </c>
      <c r="D24" s="127"/>
      <c r="E24" s="67">
        <v>2024</v>
      </c>
      <c r="F24" s="53">
        <f t="shared" si="8"/>
        <v>0</v>
      </c>
      <c r="G24" s="127"/>
      <c r="H24" s="67">
        <v>2024</v>
      </c>
      <c r="I24" s="53" t="e">
        <f>IF($C24="","",(C24*perc_hot_water_faucet_2024)*(Houses_with_elec_24/Houses_with_plumbing_24)*kwh_per_gal_hot_water_2024)</f>
        <v>#VALUE!</v>
      </c>
      <c r="J24" s="127"/>
      <c r="K24" s="67">
        <v>2024</v>
      </c>
      <c r="L24" s="121">
        <f t="shared" si="1"/>
        <v>0</v>
      </c>
      <c r="M24" s="127"/>
      <c r="N24" s="67">
        <v>2024</v>
      </c>
      <c r="O24" s="123" t="e">
        <f>IF($C24="","",(C24*perc_hot_water_faucet_2024)*((Houses_with_plumbing_24-Houses_with_elec_24)/Houses_with_plumbing_24)*mcf_per_gal_hot_water_2024)</f>
        <v>#VALUE!</v>
      </c>
      <c r="P24" s="127"/>
      <c r="Q24" s="67">
        <v>2024</v>
      </c>
      <c r="R24" s="78" t="e">
        <f t="shared" si="9"/>
        <v>#VALUE!</v>
      </c>
      <c r="S24" s="127"/>
      <c r="T24" s="67">
        <v>2024</v>
      </c>
      <c r="U24" s="78" t="e">
        <f t="shared" si="10"/>
        <v>#VALUE!</v>
      </c>
      <c r="V24" s="127"/>
      <c r="W24" s="67">
        <v>2024</v>
      </c>
      <c r="X24" s="121" t="e">
        <f t="shared" si="12"/>
        <v>#VALUE!</v>
      </c>
      <c r="Y24" s="127"/>
      <c r="Z24" s="120">
        <v>2024</v>
      </c>
      <c r="AA24" s="121" t="e">
        <f t="shared" si="13"/>
        <v>#VALUE!</v>
      </c>
      <c r="AB24" s="127"/>
      <c r="AC24" s="120">
        <v>2024</v>
      </c>
      <c r="AD24" s="143" t="e">
        <f t="shared" si="11"/>
        <v>#VALUE!</v>
      </c>
      <c r="AE24" s="127"/>
      <c r="AF24" s="120">
        <v>2024</v>
      </c>
      <c r="AG24" s="121" t="e">
        <f t="shared" ref="AG24:AG30" si="14">IF($C24="","",L24+AD24)</f>
        <v>#VALUE!</v>
      </c>
      <c r="AH24" s="127"/>
      <c r="AI24" s="127"/>
      <c r="AJ24" s="127"/>
      <c r="AK24" s="127"/>
      <c r="AL24" s="127"/>
      <c r="AM24" s="127"/>
      <c r="AN24" s="127"/>
      <c r="AO24" s="127"/>
      <c r="AP24" s="127"/>
      <c r="AQ24" s="127"/>
      <c r="AR24" s="127"/>
      <c r="AS24" s="127"/>
      <c r="AT24" s="127"/>
      <c r="AU24" s="127"/>
      <c r="AV24" s="127"/>
      <c r="AW24" s="127"/>
    </row>
    <row r="25" spans="1:49">
      <c r="A25" s="127"/>
      <c r="B25" s="67">
        <v>2025</v>
      </c>
      <c r="C25" s="51" t="str" cm="1">
        <f t="array" ref="C25">IF(B25&gt;current_year,"",INDEX(Faucets_h2o,B25-2006))</f>
        <v/>
      </c>
      <c r="D25" s="127"/>
      <c r="E25" s="67">
        <v>2025</v>
      </c>
      <c r="F25" s="53" t="str">
        <f t="shared" si="8"/>
        <v/>
      </c>
      <c r="G25" s="127"/>
      <c r="H25" s="67">
        <v>2025</v>
      </c>
      <c r="I25" s="53" t="str">
        <f>IF($C25="","",(C25*perc_hot_water_faucet_2025)*(Houses_with_elec_25/Houses_with_plumbing_25)*kwh_per_gal_hot_water_2025)</f>
        <v/>
      </c>
      <c r="J25" s="127"/>
      <c r="K25" s="67">
        <v>2025</v>
      </c>
      <c r="L25" s="121" t="str">
        <f t="shared" si="1"/>
        <v/>
      </c>
      <c r="M25" s="127"/>
      <c r="N25" s="67">
        <v>2025</v>
      </c>
      <c r="O25" s="123" t="str">
        <f>IF($C25="","",(C25*perc_hot_water_faucet_2025)*((Houses_with_plumbing_25-Houses_with_elec_25)/Houses_with_plumbing_25)*mcf_per_gal_hot_water_2025)</f>
        <v/>
      </c>
      <c r="P25" s="127"/>
      <c r="Q25" s="67">
        <v>2025</v>
      </c>
      <c r="R25" s="78" t="str">
        <f t="shared" si="9"/>
        <v/>
      </c>
      <c r="S25" s="127"/>
      <c r="T25" s="67">
        <v>2025</v>
      </c>
      <c r="U25" s="78" t="str">
        <f t="shared" si="10"/>
        <v/>
      </c>
      <c r="V25" s="127"/>
      <c r="W25" s="67">
        <v>2025</v>
      </c>
      <c r="X25" s="121" t="str">
        <f t="shared" si="12"/>
        <v/>
      </c>
      <c r="Y25" s="127"/>
      <c r="Z25" s="120">
        <v>2025</v>
      </c>
      <c r="AA25" s="121" t="str">
        <f t="shared" si="13"/>
        <v/>
      </c>
      <c r="AB25" s="127"/>
      <c r="AC25" s="120">
        <v>2025</v>
      </c>
      <c r="AD25" s="143" t="str">
        <f t="shared" si="11"/>
        <v/>
      </c>
      <c r="AE25" s="127"/>
      <c r="AF25" s="120">
        <v>2025</v>
      </c>
      <c r="AG25" s="121" t="str">
        <f t="shared" si="14"/>
        <v/>
      </c>
      <c r="AH25" s="127"/>
      <c r="AI25" s="127"/>
      <c r="AJ25" s="127"/>
      <c r="AK25" s="127"/>
      <c r="AL25" s="127"/>
      <c r="AM25" s="127"/>
      <c r="AN25" s="127"/>
      <c r="AO25" s="127"/>
      <c r="AP25" s="127"/>
      <c r="AQ25" s="127"/>
      <c r="AR25" s="127"/>
      <c r="AS25" s="127"/>
      <c r="AT25" s="127"/>
      <c r="AU25" s="127"/>
      <c r="AV25" s="127"/>
      <c r="AW25" s="127"/>
    </row>
    <row r="26" spans="1:49">
      <c r="A26" s="127"/>
      <c r="B26" s="67">
        <v>2026</v>
      </c>
      <c r="C26" s="51" t="str" cm="1">
        <f t="array" ref="C26">IF(B26&gt;current_year,"",INDEX(Faucets_h2o,B26-2006))</f>
        <v/>
      </c>
      <c r="D26" s="127"/>
      <c r="E26" s="67">
        <v>2026</v>
      </c>
      <c r="F26" s="53" t="str">
        <f t="shared" si="8"/>
        <v/>
      </c>
      <c r="G26" s="127"/>
      <c r="H26" s="67">
        <v>2026</v>
      </c>
      <c r="I26" s="53" t="str">
        <f>IF($C26="","",(C26*perc_hot_water_faucet_2026)*(Houses_with_elec_26/Houses_with_plumbing_26)*kwh_per_gal_hot_water_2026)</f>
        <v/>
      </c>
      <c r="J26" s="127"/>
      <c r="K26" s="67">
        <v>2026</v>
      </c>
      <c r="L26" s="121" t="str">
        <f t="shared" si="1"/>
        <v/>
      </c>
      <c r="M26" s="127"/>
      <c r="N26" s="67">
        <v>2026</v>
      </c>
      <c r="O26" s="123" t="str">
        <f>IF($C26="","",(C26*perc_hot_water_faucet_2026)*((Houses_with_plumbing_26-Houses_with_elec_26)/Houses_with_plumbing_26)*mcf_per_gal_hot_water_2026)</f>
        <v/>
      </c>
      <c r="P26" s="127"/>
      <c r="Q26" s="67">
        <v>2026</v>
      </c>
      <c r="R26" s="78" t="str">
        <f t="shared" si="9"/>
        <v/>
      </c>
      <c r="S26" s="127"/>
      <c r="T26" s="67">
        <v>2026</v>
      </c>
      <c r="U26" s="78" t="str">
        <f t="shared" si="10"/>
        <v/>
      </c>
      <c r="V26" s="127"/>
      <c r="W26" s="67">
        <v>2026</v>
      </c>
      <c r="X26" s="121" t="str">
        <f t="shared" si="12"/>
        <v/>
      </c>
      <c r="Y26" s="127"/>
      <c r="Z26" s="120">
        <v>2026</v>
      </c>
      <c r="AA26" s="121" t="str">
        <f t="shared" si="13"/>
        <v/>
      </c>
      <c r="AB26" s="127"/>
      <c r="AC26" s="120">
        <v>2026</v>
      </c>
      <c r="AD26" s="143" t="str">
        <f t="shared" si="11"/>
        <v/>
      </c>
      <c r="AE26" s="127"/>
      <c r="AF26" s="120">
        <v>2026</v>
      </c>
      <c r="AG26" s="121" t="str">
        <f t="shared" si="14"/>
        <v/>
      </c>
      <c r="AH26" s="127"/>
      <c r="AI26" s="127"/>
      <c r="AJ26" s="127"/>
      <c r="AK26" s="127"/>
      <c r="AL26" s="127"/>
      <c r="AM26" s="127"/>
      <c r="AN26" s="127"/>
      <c r="AO26" s="127"/>
      <c r="AP26" s="127"/>
      <c r="AQ26" s="127"/>
      <c r="AR26" s="127"/>
      <c r="AS26" s="127"/>
      <c r="AT26" s="127"/>
      <c r="AU26" s="127"/>
      <c r="AV26" s="127"/>
      <c r="AW26" s="127"/>
    </row>
    <row r="27" spans="1:49">
      <c r="A27" s="127"/>
      <c r="B27" s="67">
        <v>2027</v>
      </c>
      <c r="C27" s="51" t="str" cm="1">
        <f t="array" ref="C27">IF(B27&gt;current_year,"",INDEX(Faucets_h2o,B27-2006))</f>
        <v/>
      </c>
      <c r="D27" s="127"/>
      <c r="E27" s="67">
        <v>2027</v>
      </c>
      <c r="F27" s="53" t="str">
        <f t="shared" si="8"/>
        <v/>
      </c>
      <c r="G27" s="127"/>
      <c r="H27" s="67">
        <v>2027</v>
      </c>
      <c r="I27" s="53" t="str">
        <f>IF($C27="","",(C27*perc_hot_water_faucet_2027)*(Houses_with_elec_27/Houses_with_plumbing_27)*kwh_per_gal_hot_water_2027)</f>
        <v/>
      </c>
      <c r="J27" s="127"/>
      <c r="K27" s="67">
        <v>2027</v>
      </c>
      <c r="L27" s="121" t="str">
        <f t="shared" si="1"/>
        <v/>
      </c>
      <c r="M27" s="127"/>
      <c r="N27" s="67">
        <v>2027</v>
      </c>
      <c r="O27" s="123" t="str">
        <f>IF($C27="","",(C27*perc_hot_water_faucet_2027)*((Houses_with_plumbing_27-Houses_with_elec_27)/Houses_with_plumbing_27)*mcf_per_gal_hot_water_2027)</f>
        <v/>
      </c>
      <c r="P27" s="127"/>
      <c r="Q27" s="67">
        <v>2027</v>
      </c>
      <c r="R27" s="78" t="str">
        <f t="shared" si="9"/>
        <v/>
      </c>
      <c r="S27" s="127"/>
      <c r="T27" s="67">
        <v>2027</v>
      </c>
      <c r="U27" s="78" t="str">
        <f t="shared" si="10"/>
        <v/>
      </c>
      <c r="V27" s="127"/>
      <c r="W27" s="67">
        <v>2027</v>
      </c>
      <c r="X27" s="121" t="str">
        <f t="shared" si="12"/>
        <v/>
      </c>
      <c r="Y27" s="127"/>
      <c r="Z27" s="120">
        <v>2027</v>
      </c>
      <c r="AA27" s="121" t="str">
        <f t="shared" si="13"/>
        <v/>
      </c>
      <c r="AB27" s="127"/>
      <c r="AC27" s="120">
        <v>2027</v>
      </c>
      <c r="AD27" s="143" t="str">
        <f t="shared" si="11"/>
        <v/>
      </c>
      <c r="AE27" s="127"/>
      <c r="AF27" s="120">
        <v>2027</v>
      </c>
      <c r="AG27" s="121" t="str">
        <f t="shared" si="14"/>
        <v/>
      </c>
      <c r="AH27" s="127"/>
      <c r="AI27" s="127"/>
      <c r="AJ27" s="127"/>
      <c r="AK27" s="127"/>
      <c r="AL27" s="127"/>
      <c r="AM27" s="127"/>
      <c r="AN27" s="127"/>
      <c r="AO27" s="127"/>
      <c r="AP27" s="127"/>
      <c r="AQ27" s="127"/>
      <c r="AR27" s="127"/>
      <c r="AS27" s="127"/>
      <c r="AT27" s="127"/>
      <c r="AU27" s="127"/>
      <c r="AV27" s="127"/>
      <c r="AW27" s="127"/>
    </row>
    <row r="28" spans="1:49">
      <c r="A28" s="127"/>
      <c r="B28" s="67">
        <v>2028</v>
      </c>
      <c r="C28" s="51" t="str" cm="1">
        <f t="array" ref="C28">IF(B28&gt;current_year,"",INDEX(Faucets_h2o,B28-2006))</f>
        <v/>
      </c>
      <c r="D28" s="127"/>
      <c r="E28" s="67">
        <v>2028</v>
      </c>
      <c r="F28" s="53" t="str">
        <f t="shared" si="8"/>
        <v/>
      </c>
      <c r="G28" s="127"/>
      <c r="H28" s="67">
        <v>2028</v>
      </c>
      <c r="I28" s="53" t="str">
        <f>IF($C28="","",(C28*perc_hot_water_faucet_2028)*(Houses_with_elec_28/Houses_with_plumbing_28)*kwh_per_gal_hot_water_2028)</f>
        <v/>
      </c>
      <c r="J28" s="127"/>
      <c r="K28" s="67">
        <v>2028</v>
      </c>
      <c r="L28" s="121" t="str">
        <f t="shared" si="1"/>
        <v/>
      </c>
      <c r="M28" s="127"/>
      <c r="N28" s="67">
        <v>2028</v>
      </c>
      <c r="O28" s="123" t="str">
        <f>IF($C28="","",(C28*perc_hot_water_faucet_2028)*((Houses_with_plumbing_28-Houses_with_elec_28)/Houses_with_plumbing_28)*mcf_per_gal_hot_water_2028)</f>
        <v/>
      </c>
      <c r="P28" s="127"/>
      <c r="Q28" s="67">
        <v>2028</v>
      </c>
      <c r="R28" s="78" t="str">
        <f t="shared" si="9"/>
        <v/>
      </c>
      <c r="S28" s="127"/>
      <c r="T28" s="67">
        <v>2028</v>
      </c>
      <c r="U28" s="78" t="str">
        <f t="shared" si="10"/>
        <v/>
      </c>
      <c r="V28" s="127"/>
      <c r="W28" s="67">
        <v>2028</v>
      </c>
      <c r="X28" s="121" t="str">
        <f t="shared" si="12"/>
        <v/>
      </c>
      <c r="Y28" s="127"/>
      <c r="Z28" s="120">
        <v>2028</v>
      </c>
      <c r="AA28" s="121" t="str">
        <f t="shared" si="13"/>
        <v/>
      </c>
      <c r="AB28" s="127"/>
      <c r="AC28" s="120">
        <v>2028</v>
      </c>
      <c r="AD28" s="143" t="str">
        <f t="shared" si="11"/>
        <v/>
      </c>
      <c r="AE28" s="127"/>
      <c r="AF28" s="120">
        <v>2028</v>
      </c>
      <c r="AG28" s="121" t="str">
        <f t="shared" si="14"/>
        <v/>
      </c>
      <c r="AH28" s="127"/>
      <c r="AI28" s="127"/>
      <c r="AJ28" s="127"/>
      <c r="AK28" s="127"/>
      <c r="AL28" s="127"/>
      <c r="AM28" s="127"/>
      <c r="AN28" s="127"/>
      <c r="AO28" s="127"/>
      <c r="AP28" s="127"/>
      <c r="AQ28" s="127"/>
      <c r="AR28" s="127"/>
      <c r="AS28" s="127"/>
      <c r="AT28" s="127"/>
      <c r="AU28" s="127"/>
      <c r="AV28" s="127"/>
      <c r="AW28" s="127"/>
    </row>
    <row r="29" spans="1:49">
      <c r="A29" s="127"/>
      <c r="B29" s="67">
        <v>2029</v>
      </c>
      <c r="C29" s="51" t="str" cm="1">
        <f t="array" ref="C29">IF(B29&gt;current_year,"",INDEX(Faucets_h2o,B29-2006))</f>
        <v/>
      </c>
      <c r="D29" s="127"/>
      <c r="E29" s="67">
        <v>2029</v>
      </c>
      <c r="F29" s="53" t="str">
        <f t="shared" si="8"/>
        <v/>
      </c>
      <c r="G29" s="127"/>
      <c r="H29" s="67">
        <v>2029</v>
      </c>
      <c r="I29" s="53" t="str">
        <f>IF($C29="","",(C29*perc_hot_water_faucet_2029)*(Houses_with_elec_29/Houses_with_plumbing_29)*kwh_per_gal_hot_water_2029)</f>
        <v/>
      </c>
      <c r="J29" s="127"/>
      <c r="K29" s="67">
        <v>2029</v>
      </c>
      <c r="L29" s="121" t="str">
        <f t="shared" si="1"/>
        <v/>
      </c>
      <c r="M29" s="127"/>
      <c r="N29" s="67">
        <v>2029</v>
      </c>
      <c r="O29" s="123" t="str">
        <f>IF($C29="","",(C29*perc_hot_water_faucet_2029)*((Houses_with_plumbing_29-Houses_with_elec_29)/Houses_with_plumbing_29)*mcf_per_gal_hot_water_2029)</f>
        <v/>
      </c>
      <c r="P29" s="127"/>
      <c r="Q29" s="67">
        <v>2029</v>
      </c>
      <c r="R29" s="78" t="str">
        <f t="shared" si="9"/>
        <v/>
      </c>
      <c r="S29" s="127"/>
      <c r="T29" s="67">
        <v>2029</v>
      </c>
      <c r="U29" s="78" t="str">
        <f t="shared" si="10"/>
        <v/>
      </c>
      <c r="V29" s="127"/>
      <c r="W29" s="67">
        <v>2029</v>
      </c>
      <c r="X29" s="121" t="str">
        <f t="shared" si="12"/>
        <v/>
      </c>
      <c r="Y29" s="127"/>
      <c r="Z29" s="120">
        <v>2029</v>
      </c>
      <c r="AA29" s="121" t="str">
        <f t="shared" si="13"/>
        <v/>
      </c>
      <c r="AB29" s="127"/>
      <c r="AC29" s="120">
        <v>2029</v>
      </c>
      <c r="AD29" s="143" t="str">
        <f t="shared" si="11"/>
        <v/>
      </c>
      <c r="AE29" s="127"/>
      <c r="AF29" s="120">
        <v>2029</v>
      </c>
      <c r="AG29" s="121" t="str">
        <f t="shared" si="14"/>
        <v/>
      </c>
      <c r="AH29" s="127"/>
      <c r="AI29" s="127"/>
      <c r="AJ29" s="127"/>
      <c r="AK29" s="127"/>
      <c r="AL29" s="127"/>
      <c r="AM29" s="127"/>
      <c r="AN29" s="127"/>
      <c r="AO29" s="127"/>
      <c r="AP29" s="127"/>
      <c r="AQ29" s="127"/>
      <c r="AR29" s="127"/>
      <c r="AS29" s="127"/>
      <c r="AT29" s="127"/>
      <c r="AU29" s="127"/>
      <c r="AV29" s="127"/>
      <c r="AW29" s="127"/>
    </row>
    <row r="30" spans="1:49" ht="13.5" thickBot="1">
      <c r="A30" s="127"/>
      <c r="B30" s="67">
        <v>2030</v>
      </c>
      <c r="C30" s="51" t="str" cm="1">
        <f t="array" ref="C30">IF(B30&gt;current_year,"",INDEX(Faucets_h2o,B30-2006))</f>
        <v/>
      </c>
      <c r="D30" s="127"/>
      <c r="E30" s="67">
        <v>2030</v>
      </c>
      <c r="F30" s="125" t="str">
        <f t="shared" si="8"/>
        <v/>
      </c>
      <c r="G30" s="127"/>
      <c r="H30" s="67">
        <v>2030</v>
      </c>
      <c r="I30" s="125" t="str">
        <f>IF($C30="","",(C30*perc_hot_water_faucet_2030)*(Houses_with_elec_30/Houses_with_plumbing_30)*kwh_per_gal_hot_water_2030)</f>
        <v/>
      </c>
      <c r="J30" s="127"/>
      <c r="K30" s="67">
        <v>2030</v>
      </c>
      <c r="L30" s="121" t="str">
        <f t="shared" si="1"/>
        <v/>
      </c>
      <c r="M30" s="127"/>
      <c r="N30" s="67">
        <v>2030</v>
      </c>
      <c r="O30" s="124" t="str">
        <f>IF($C30="","",(C30*perc_hot_water_faucet_2030)*((Houses_with_plumbing_30-Houses_with_elec_30)/Houses_with_plumbing_30)*mcf_per_gal_hot_water_2030)</f>
        <v/>
      </c>
      <c r="P30" s="127"/>
      <c r="Q30" s="67">
        <v>2030</v>
      </c>
      <c r="R30" s="79" t="str">
        <f t="shared" si="9"/>
        <v/>
      </c>
      <c r="S30" s="127"/>
      <c r="T30" s="67">
        <v>2030</v>
      </c>
      <c r="U30" s="79" t="str">
        <f t="shared" si="10"/>
        <v/>
      </c>
      <c r="V30" s="127"/>
      <c r="W30" s="67">
        <v>2030</v>
      </c>
      <c r="X30" s="121" t="str">
        <f t="shared" si="12"/>
        <v/>
      </c>
      <c r="Y30" s="127"/>
      <c r="Z30" s="120">
        <v>2030</v>
      </c>
      <c r="AA30" s="121" t="str">
        <f t="shared" si="13"/>
        <v/>
      </c>
      <c r="AB30" s="127"/>
      <c r="AC30" s="120">
        <v>2030</v>
      </c>
      <c r="AD30" s="144" t="str">
        <f t="shared" si="11"/>
        <v/>
      </c>
      <c r="AE30" s="127"/>
      <c r="AF30" s="120">
        <v>2030</v>
      </c>
      <c r="AG30" s="121" t="str">
        <f t="shared" si="14"/>
        <v/>
      </c>
      <c r="AH30" s="127"/>
      <c r="AI30" s="127"/>
      <c r="AJ30" s="127"/>
      <c r="AK30" s="127"/>
      <c r="AL30" s="127"/>
      <c r="AM30" s="127"/>
      <c r="AN30" s="127"/>
      <c r="AO30" s="127"/>
      <c r="AP30" s="127"/>
      <c r="AQ30" s="127"/>
      <c r="AR30" s="127"/>
      <c r="AS30" s="127"/>
      <c r="AT30" s="127"/>
      <c r="AU30" s="127"/>
      <c r="AV30" s="127"/>
      <c r="AW30" s="127"/>
    </row>
    <row r="31" spans="1:49">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c r="AU31" s="127"/>
      <c r="AV31" s="127"/>
      <c r="AW31" s="127"/>
    </row>
    <row r="32" spans="1:49">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7"/>
      <c r="AR32" s="127"/>
      <c r="AS32" s="127"/>
      <c r="AT32" s="127"/>
      <c r="AU32" s="127"/>
      <c r="AV32" s="127"/>
      <c r="AW32" s="127"/>
    </row>
    <row r="33" spans="1:49">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c r="AV33" s="127"/>
      <c r="AW33" s="127"/>
    </row>
    <row r="34" spans="1:49">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c r="AV34" s="127"/>
      <c r="AW34" s="127"/>
    </row>
    <row r="35" spans="1:49">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c r="AU35" s="127"/>
      <c r="AV35" s="127"/>
      <c r="AW35" s="127"/>
    </row>
    <row r="36" spans="1:49">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c r="AU36" s="127"/>
      <c r="AV36" s="127"/>
      <c r="AW36" s="127"/>
    </row>
    <row r="37" spans="1:49">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c r="AQ37" s="127"/>
      <c r="AR37" s="127"/>
      <c r="AS37" s="127"/>
      <c r="AT37" s="127"/>
      <c r="AU37" s="127"/>
      <c r="AV37" s="127"/>
      <c r="AW37" s="127"/>
    </row>
    <row r="38" spans="1:49">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row>
    <row r="39" spans="1:49">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7"/>
      <c r="AR39" s="127"/>
      <c r="AS39" s="127"/>
      <c r="AT39" s="127"/>
      <c r="AU39" s="127"/>
      <c r="AV39" s="127"/>
      <c r="AW39" s="127"/>
    </row>
    <row r="40" spans="1:49">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c r="AV40" s="127"/>
      <c r="AW40" s="127"/>
    </row>
    <row r="41" spans="1:49">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c r="AQ41" s="127"/>
      <c r="AR41" s="127"/>
      <c r="AS41" s="127"/>
      <c r="AT41" s="127"/>
      <c r="AU41" s="127"/>
      <c r="AV41" s="127"/>
      <c r="AW41" s="127"/>
    </row>
    <row r="42" spans="1:49">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row>
    <row r="43" spans="1:49">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c r="AV43" s="127"/>
      <c r="AW43" s="127"/>
    </row>
    <row r="44" spans="1:49">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127"/>
      <c r="AR44" s="127"/>
      <c r="AS44" s="127"/>
      <c r="AT44" s="127"/>
      <c r="AU44" s="127"/>
      <c r="AV44" s="127"/>
      <c r="AW44" s="127"/>
    </row>
    <row r="45" spans="1:49">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27"/>
      <c r="AU45" s="127"/>
      <c r="AV45" s="127"/>
      <c r="AW45" s="127"/>
    </row>
    <row r="46" spans="1:49">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c r="AU46" s="127"/>
      <c r="AV46" s="127"/>
      <c r="AW46" s="127"/>
    </row>
    <row r="47" spans="1:49">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c r="AU47" s="127"/>
      <c r="AV47" s="127"/>
      <c r="AW47" s="127"/>
    </row>
    <row r="48" spans="1:49">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27"/>
      <c r="AU48" s="127"/>
      <c r="AV48" s="127"/>
      <c r="AW48" s="127"/>
    </row>
    <row r="49" spans="1:49">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c r="AU49" s="127"/>
      <c r="AV49" s="127"/>
      <c r="AW49" s="127"/>
    </row>
    <row r="50" spans="1:49">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row>
    <row r="51" spans="1:49">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row>
    <row r="52" spans="1:49">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c r="AQ52" s="127"/>
      <c r="AR52" s="127"/>
      <c r="AS52" s="127"/>
      <c r="AT52" s="127"/>
      <c r="AU52" s="127"/>
      <c r="AV52" s="127"/>
      <c r="AW52" s="127"/>
    </row>
    <row r="53" spans="1:49">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27"/>
      <c r="AU53" s="127"/>
      <c r="AV53" s="127"/>
      <c r="AW53" s="127"/>
    </row>
    <row r="54" spans="1:49" ht="13.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row>
    <row r="55" spans="1:49">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7"/>
      <c r="AQ55" s="127"/>
      <c r="AR55" s="127"/>
      <c r="AS55" s="127"/>
      <c r="AT55" s="127"/>
      <c r="AU55" s="127"/>
      <c r="AV55" s="127"/>
      <c r="AW55" s="127"/>
    </row>
    <row r="56" spans="1:49">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c r="AQ56" s="127"/>
      <c r="AR56" s="127"/>
      <c r="AS56" s="127"/>
      <c r="AT56" s="127"/>
      <c r="AU56" s="127"/>
      <c r="AV56" s="127"/>
      <c r="AW56" s="127"/>
    </row>
    <row r="57" spans="1:49">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row>
    <row r="58" spans="1:49">
      <c r="A58" s="127"/>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7"/>
      <c r="AN58" s="127"/>
      <c r="AO58" s="127"/>
      <c r="AP58" s="127"/>
      <c r="AQ58" s="127"/>
      <c r="AR58" s="127"/>
      <c r="AS58" s="127"/>
      <c r="AT58" s="127"/>
      <c r="AU58" s="127"/>
      <c r="AV58" s="127"/>
      <c r="AW58" s="127"/>
    </row>
    <row r="59" spans="1:49">
      <c r="A59" s="127"/>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row>
    <row r="60" spans="1:49">
      <c r="A60" s="127"/>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AM60" s="127"/>
      <c r="AN60" s="127"/>
      <c r="AO60" s="127"/>
      <c r="AP60" s="127"/>
      <c r="AQ60" s="127"/>
      <c r="AR60" s="127"/>
      <c r="AS60" s="127"/>
      <c r="AT60" s="127"/>
      <c r="AU60" s="127"/>
      <c r="AV60" s="127"/>
      <c r="AW60" s="127"/>
    </row>
    <row r="61" spans="1:49">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M61" s="127"/>
      <c r="AN61" s="127"/>
      <c r="AO61" s="127"/>
      <c r="AP61" s="127"/>
      <c r="AQ61" s="127"/>
      <c r="AR61" s="127"/>
      <c r="AS61" s="127"/>
      <c r="AT61" s="127"/>
      <c r="AU61" s="127"/>
      <c r="AV61" s="127"/>
      <c r="AW61" s="127"/>
    </row>
    <row r="62" spans="1:49">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7"/>
      <c r="AL62" s="127"/>
      <c r="AM62" s="127"/>
      <c r="AN62" s="127"/>
      <c r="AO62" s="127"/>
      <c r="AP62" s="127"/>
      <c r="AQ62" s="127"/>
      <c r="AR62" s="127"/>
      <c r="AS62" s="127"/>
      <c r="AT62" s="127"/>
      <c r="AU62" s="127"/>
      <c r="AV62" s="127"/>
      <c r="AW62" s="127"/>
    </row>
    <row r="63" spans="1:49">
      <c r="A63" s="127"/>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7"/>
      <c r="AL63" s="127"/>
      <c r="AM63" s="127"/>
      <c r="AN63" s="127"/>
      <c r="AO63" s="127"/>
      <c r="AP63" s="127"/>
      <c r="AQ63" s="127"/>
      <c r="AR63" s="127"/>
      <c r="AS63" s="127"/>
      <c r="AT63" s="127"/>
      <c r="AU63" s="127"/>
      <c r="AV63" s="127"/>
      <c r="AW63" s="127"/>
    </row>
    <row r="64" spans="1:49">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7"/>
      <c r="AP64" s="127"/>
      <c r="AQ64" s="127"/>
      <c r="AR64" s="127"/>
      <c r="AS64" s="127"/>
      <c r="AT64" s="127"/>
      <c r="AU64" s="127"/>
      <c r="AV64" s="127"/>
      <c r="AW64" s="127"/>
    </row>
    <row r="65" spans="1:49">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row>
    <row r="66" spans="1:49">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7"/>
      <c r="AN66" s="127"/>
      <c r="AO66" s="127"/>
      <c r="AP66" s="127"/>
      <c r="AQ66" s="127"/>
      <c r="AR66" s="127"/>
      <c r="AS66" s="127"/>
      <c r="AT66" s="127"/>
      <c r="AU66" s="127"/>
      <c r="AV66" s="127"/>
      <c r="AW66" s="127"/>
    </row>
    <row r="67" spans="1:49">
      <c r="A67" s="127"/>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row>
    <row r="68" spans="1:49">
      <c r="A68" s="127"/>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c r="AH68" s="127"/>
      <c r="AI68" s="127"/>
      <c r="AJ68" s="127"/>
      <c r="AK68" s="127"/>
      <c r="AL68" s="127"/>
      <c r="AM68" s="127"/>
      <c r="AN68" s="127"/>
      <c r="AO68" s="127"/>
      <c r="AP68" s="127"/>
      <c r="AQ68" s="127"/>
      <c r="AR68" s="127"/>
      <c r="AS68" s="127"/>
      <c r="AT68" s="127"/>
      <c r="AU68" s="127"/>
      <c r="AV68" s="127"/>
      <c r="AW68" s="127"/>
    </row>
    <row r="69" spans="1:49">
      <c r="A69" s="127"/>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7"/>
      <c r="AN69" s="127"/>
      <c r="AO69" s="127"/>
      <c r="AP69" s="127"/>
      <c r="AQ69" s="127"/>
      <c r="AR69" s="127"/>
      <c r="AS69" s="127"/>
      <c r="AT69" s="127"/>
      <c r="AU69" s="127"/>
      <c r="AV69" s="127"/>
      <c r="AW69" s="127"/>
    </row>
    <row r="70" spans="1:49">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c r="AV70" s="127"/>
      <c r="AW70" s="127"/>
    </row>
    <row r="71" spans="1:49">
      <c r="A71" s="127"/>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7"/>
      <c r="AL71" s="127"/>
      <c r="AM71" s="127"/>
      <c r="AN71" s="127"/>
      <c r="AO71" s="127"/>
      <c r="AP71" s="127"/>
      <c r="AQ71" s="127"/>
      <c r="AR71" s="127"/>
      <c r="AS71" s="127"/>
      <c r="AT71" s="127"/>
      <c r="AU71" s="127"/>
      <c r="AV71" s="127"/>
      <c r="AW71" s="127"/>
    </row>
    <row r="72" spans="1:49">
      <c r="A72" s="127"/>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row>
    <row r="73" spans="1:49">
      <c r="A73" s="127"/>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row>
    <row r="74" spans="1:49">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row>
    <row r="75" spans="1:49">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row>
    <row r="76" spans="1:49">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row>
    <row r="77" spans="1:49">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row>
    <row r="78" spans="1:49">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c r="AV78" s="127"/>
      <c r="AW78" s="127"/>
    </row>
    <row r="79" spans="1:49">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row>
    <row r="80" spans="1:49">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row>
    <row r="81" spans="1:49">
      <c r="A81" s="127"/>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127"/>
      <c r="AQ81" s="127"/>
      <c r="AR81" s="127"/>
      <c r="AS81" s="127"/>
      <c r="AT81" s="127"/>
      <c r="AU81" s="127"/>
      <c r="AV81" s="127"/>
      <c r="AW81" s="127"/>
    </row>
    <row r="82" spans="1:49">
      <c r="A82" s="127"/>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127"/>
      <c r="AM82" s="127"/>
      <c r="AN82" s="127"/>
      <c r="AO82" s="127"/>
      <c r="AP82" s="127"/>
      <c r="AQ82" s="127"/>
      <c r="AR82" s="127"/>
      <c r="AS82" s="127"/>
      <c r="AT82" s="127"/>
      <c r="AU82" s="127"/>
      <c r="AV82" s="127"/>
      <c r="AW82" s="127"/>
    </row>
    <row r="83" spans="1:49">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127"/>
      <c r="AM83" s="127"/>
      <c r="AN83" s="127"/>
      <c r="AO83" s="127"/>
      <c r="AP83" s="127"/>
      <c r="AQ83" s="127"/>
      <c r="AR83" s="127"/>
      <c r="AS83" s="127"/>
      <c r="AT83" s="127"/>
      <c r="AU83" s="127"/>
      <c r="AV83" s="127"/>
      <c r="AW83" s="127"/>
    </row>
    <row r="84" spans="1:49">
      <c r="A84" s="127"/>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row>
    <row r="85" spans="1:49">
      <c r="A85" s="127"/>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7"/>
      <c r="AL85" s="127"/>
      <c r="AM85" s="127"/>
      <c r="AN85" s="127"/>
      <c r="AO85" s="127"/>
      <c r="AP85" s="127"/>
      <c r="AQ85" s="127"/>
      <c r="AR85" s="127"/>
      <c r="AS85" s="127"/>
      <c r="AT85" s="127"/>
      <c r="AU85" s="127"/>
      <c r="AV85" s="127"/>
      <c r="AW85" s="127"/>
    </row>
    <row r="86" spans="1:49">
      <c r="A86" s="127"/>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row>
    <row r="87" spans="1:49">
      <c r="A87" s="127"/>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row>
    <row r="88" spans="1:49">
      <c r="A88" s="127"/>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c r="AP88" s="127"/>
      <c r="AQ88" s="127"/>
      <c r="AR88" s="127"/>
      <c r="AS88" s="127"/>
      <c r="AT88" s="127"/>
      <c r="AU88" s="127"/>
      <c r="AV88" s="127"/>
      <c r="AW88" s="127"/>
    </row>
    <row r="89" spans="1:49">
      <c r="A89" s="127"/>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7"/>
      <c r="AL89" s="127"/>
      <c r="AM89" s="127"/>
      <c r="AN89" s="127"/>
      <c r="AO89" s="127"/>
      <c r="AP89" s="127"/>
      <c r="AQ89" s="127"/>
      <c r="AR89" s="127"/>
      <c r="AS89" s="127"/>
      <c r="AT89" s="127"/>
      <c r="AU89" s="127"/>
      <c r="AV89" s="127"/>
      <c r="AW89" s="127"/>
    </row>
    <row r="90" spans="1:49">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row>
    <row r="91" spans="1:49">
      <c r="A91" s="127"/>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7"/>
      <c r="AL91" s="127"/>
      <c r="AM91" s="127"/>
      <c r="AN91" s="127"/>
      <c r="AO91" s="127"/>
      <c r="AP91" s="127"/>
      <c r="AQ91" s="127"/>
      <c r="AR91" s="127"/>
      <c r="AS91" s="127"/>
      <c r="AT91" s="127"/>
      <c r="AU91" s="127"/>
      <c r="AV91" s="127"/>
      <c r="AW91" s="127"/>
    </row>
    <row r="92" spans="1:49">
      <c r="A92" s="127"/>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row>
    <row r="93" spans="1:49">
      <c r="A93" s="127"/>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c r="AV93" s="127"/>
      <c r="AW93" s="127"/>
    </row>
    <row r="94" spans="1:49">
      <c r="A94" s="127"/>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c r="AV94" s="127"/>
      <c r="AW94" s="127"/>
    </row>
    <row r="95" spans="1:49">
      <c r="A95" s="127"/>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c r="AV95" s="127"/>
      <c r="AW95" s="127"/>
    </row>
    <row r="96" spans="1:49">
      <c r="A96" s="127"/>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7"/>
      <c r="AI96" s="127"/>
      <c r="AJ96" s="127"/>
      <c r="AK96" s="127"/>
      <c r="AL96" s="127"/>
      <c r="AM96" s="127"/>
      <c r="AN96" s="127"/>
      <c r="AO96" s="127"/>
      <c r="AP96" s="127"/>
      <c r="AQ96" s="127"/>
      <c r="AR96" s="127"/>
      <c r="AS96" s="127"/>
      <c r="AT96" s="127"/>
      <c r="AU96" s="127"/>
      <c r="AV96" s="127"/>
      <c r="AW96" s="127"/>
    </row>
    <row r="97" spans="1:49">
      <c r="A97" s="127"/>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127"/>
      <c r="AV97" s="127"/>
      <c r="AW97" s="127"/>
    </row>
    <row r="98" spans="1:49">
      <c r="A98" s="127"/>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row>
    <row r="99" spans="1:49">
      <c r="A99" s="127"/>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127"/>
      <c r="AU99" s="127"/>
      <c r="AV99" s="127"/>
      <c r="AW99" s="127"/>
    </row>
    <row r="100" spans="1:49">
      <c r="A100" s="127"/>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row>
  </sheetData>
  <phoneticPr fontId="43"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7" tint="0.39997558519241921"/>
  </sheetPr>
  <dimension ref="A1:AT100"/>
  <sheetViews>
    <sheetView workbookViewId="0">
      <selection activeCell="B39" sqref="B39"/>
    </sheetView>
  </sheetViews>
  <sheetFormatPr defaultColWidth="8.85546875" defaultRowHeight="12.75"/>
  <cols>
    <col min="2" max="2" width="5.140625" bestFit="1" customWidth="1"/>
    <col min="3" max="3" width="25.85546875" customWidth="1"/>
    <col min="4" max="4" width="4" customWidth="1"/>
    <col min="5" max="5" width="5.140625" bestFit="1" customWidth="1"/>
    <col min="6" max="6" width="25.85546875" customWidth="1"/>
    <col min="7" max="7" width="4.140625" customWidth="1"/>
    <col min="8" max="8" width="5.140625" bestFit="1" customWidth="1"/>
    <col min="9" max="9" width="25.85546875" customWidth="1"/>
    <col min="10" max="10" width="4.140625" customWidth="1"/>
    <col min="11" max="11" width="5.140625" bestFit="1" customWidth="1"/>
    <col min="12" max="12" width="25.85546875" customWidth="1"/>
    <col min="13" max="13" width="3.85546875" customWidth="1"/>
    <col min="14" max="14" width="5.140625" bestFit="1" customWidth="1"/>
    <col min="15" max="15" width="25.85546875" customWidth="1"/>
    <col min="16" max="16" width="3.140625" customWidth="1"/>
    <col min="17" max="17" width="5.140625" bestFit="1" customWidth="1"/>
    <col min="18" max="18" width="25.85546875" customWidth="1"/>
    <col min="19" max="19" width="3.140625" customWidth="1"/>
    <col min="20" max="20" width="5.140625" bestFit="1" customWidth="1"/>
    <col min="21" max="21" width="25.85546875" customWidth="1"/>
    <col min="22" max="22" width="3.140625" customWidth="1"/>
    <col min="23" max="23" width="5.140625" bestFit="1" customWidth="1"/>
    <col min="24" max="24" width="25.85546875" customWidth="1"/>
    <col min="25" max="25" width="3.140625" customWidth="1"/>
    <col min="26" max="26" width="5.140625" bestFit="1" customWidth="1"/>
    <col min="27" max="27" width="25.85546875" customWidth="1"/>
    <col min="28" max="28" width="3.85546875" customWidth="1"/>
    <col min="29" max="29" width="5.140625" bestFit="1" customWidth="1"/>
    <col min="30" max="30" width="25.85546875" customWidth="1"/>
    <col min="31" max="31" width="3.140625" customWidth="1"/>
    <col min="32" max="32" width="5.140625" bestFit="1" customWidth="1"/>
    <col min="33" max="33" width="25.85546875" customWidth="1"/>
  </cols>
  <sheetData>
    <row r="1" spans="1:46">
      <c r="A1" s="127"/>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row>
    <row r="2" spans="1:46">
      <c r="A2" s="127"/>
      <c r="B2" s="18"/>
      <c r="C2" s="68" t="s">
        <v>195</v>
      </c>
      <c r="D2" s="127"/>
      <c r="E2" s="18"/>
      <c r="F2" s="68" t="s">
        <v>236</v>
      </c>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row>
    <row r="3" spans="1:46">
      <c r="A3" s="127"/>
      <c r="B3" s="18"/>
      <c r="C3" s="18"/>
      <c r="D3" s="127"/>
      <c r="E3" s="18"/>
      <c r="F3" s="18"/>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row>
    <row r="4" spans="1:46" s="4" customFormat="1" ht="51.75" thickBot="1">
      <c r="A4" s="128"/>
      <c r="B4" s="112"/>
      <c r="C4" s="112"/>
      <c r="D4" s="129"/>
      <c r="E4" s="112"/>
      <c r="F4" s="71" t="s">
        <v>237</v>
      </c>
      <c r="G4" s="128"/>
      <c r="H4" s="112"/>
      <c r="I4" s="61" t="s">
        <v>241</v>
      </c>
      <c r="J4" s="129"/>
      <c r="K4" s="112"/>
      <c r="L4" s="61" t="s">
        <v>239</v>
      </c>
      <c r="M4" s="128"/>
      <c r="N4" s="112"/>
      <c r="O4" s="71" t="s">
        <v>242</v>
      </c>
      <c r="P4" s="128"/>
      <c r="Q4" s="112"/>
      <c r="R4" s="61" t="s">
        <v>243</v>
      </c>
      <c r="S4" s="128"/>
      <c r="T4" s="61"/>
      <c r="U4" s="61" t="s">
        <v>244</v>
      </c>
      <c r="V4" s="128"/>
      <c r="W4" s="112"/>
      <c r="X4" s="61" t="s">
        <v>245</v>
      </c>
      <c r="Y4" s="128"/>
      <c r="Z4" s="112"/>
      <c r="AA4" s="61" t="s">
        <v>246</v>
      </c>
      <c r="AB4" s="128"/>
      <c r="AC4" s="112"/>
      <c r="AD4" s="61" t="s">
        <v>247</v>
      </c>
      <c r="AE4" s="127"/>
      <c r="AF4" s="112"/>
      <c r="AG4" s="61" t="s">
        <v>248</v>
      </c>
      <c r="AH4" s="128"/>
      <c r="AI4" s="128"/>
      <c r="AJ4" s="128"/>
      <c r="AK4" s="128"/>
      <c r="AL4" s="128"/>
      <c r="AM4" s="128"/>
      <c r="AN4" s="128"/>
      <c r="AO4" s="128"/>
      <c r="AP4" s="128"/>
      <c r="AQ4" s="128"/>
      <c r="AR4" s="128"/>
      <c r="AS4" s="128"/>
      <c r="AT4" s="128"/>
    </row>
    <row r="5" spans="1:46" s="4" customFormat="1" ht="64.5" thickBot="1">
      <c r="A5" s="128"/>
      <c r="B5" s="61"/>
      <c r="C5" s="71" t="s">
        <v>249</v>
      </c>
      <c r="D5" s="130"/>
      <c r="E5" s="112"/>
      <c r="F5" s="50" t="s">
        <v>210</v>
      </c>
      <c r="G5" s="128"/>
      <c r="H5" s="112"/>
      <c r="I5" s="50" t="s">
        <v>210</v>
      </c>
      <c r="J5" s="129"/>
      <c r="K5" s="126"/>
      <c r="L5" s="50" t="str">
        <f>"USD ($" &amp;current_year &amp; ")"</f>
        <v>USD ($2024)</v>
      </c>
      <c r="M5" s="128"/>
      <c r="N5" s="112"/>
      <c r="O5" s="133" t="s">
        <v>211</v>
      </c>
      <c r="P5" s="128"/>
      <c r="Q5" s="126"/>
      <c r="R5" s="50" t="s">
        <v>212</v>
      </c>
      <c r="S5" s="128"/>
      <c r="T5" s="126"/>
      <c r="U5" s="50" t="s">
        <v>213</v>
      </c>
      <c r="V5" s="128"/>
      <c r="W5" s="126"/>
      <c r="X5" s="50" t="str">
        <f>"USD ($" &amp;current_year &amp; ")"</f>
        <v>USD ($2024)</v>
      </c>
      <c r="Y5" s="128"/>
      <c r="Z5" s="126"/>
      <c r="AA5" s="50" t="str">
        <f>"USD ($" &amp;current_year &amp; ")"</f>
        <v>USD ($2024)</v>
      </c>
      <c r="AB5" s="128"/>
      <c r="AC5" s="126"/>
      <c r="AD5" s="50" t="str">
        <f>"USD ($" &amp;current_year &amp; ")"</f>
        <v>USD ($2024)</v>
      </c>
      <c r="AE5" s="128"/>
      <c r="AF5" s="126"/>
      <c r="AG5" s="50" t="str">
        <f>"USD ($" &amp;current_year &amp; ")"</f>
        <v>USD ($2024)</v>
      </c>
      <c r="AH5" s="128"/>
      <c r="AI5" s="128"/>
      <c r="AJ5" s="128"/>
      <c r="AK5" s="128"/>
      <c r="AL5" s="128"/>
      <c r="AM5" s="128"/>
      <c r="AN5" s="128"/>
      <c r="AO5" s="128"/>
      <c r="AP5" s="128"/>
      <c r="AQ5" s="128"/>
      <c r="AR5" s="128"/>
      <c r="AS5" s="128"/>
      <c r="AT5" s="128"/>
    </row>
    <row r="6" spans="1:46">
      <c r="A6" s="127"/>
      <c r="B6" s="120" t="s">
        <v>11</v>
      </c>
      <c r="C6" s="50" t="s">
        <v>251</v>
      </c>
      <c r="D6" s="127"/>
      <c r="E6" s="120" t="s">
        <v>11</v>
      </c>
      <c r="F6" s="52" t="s">
        <v>251</v>
      </c>
      <c r="G6" s="127"/>
      <c r="H6" s="120" t="s">
        <v>11</v>
      </c>
      <c r="I6" s="52" t="s">
        <v>252</v>
      </c>
      <c r="J6" s="129"/>
      <c r="K6" s="120" t="s">
        <v>11</v>
      </c>
      <c r="L6" s="75" t="s">
        <v>251</v>
      </c>
      <c r="M6" s="127"/>
      <c r="N6" s="120" t="s">
        <v>11</v>
      </c>
      <c r="O6" s="134" t="s">
        <v>252</v>
      </c>
      <c r="P6" s="127"/>
      <c r="Q6" s="120" t="s">
        <v>11</v>
      </c>
      <c r="R6" s="75" t="s">
        <v>251</v>
      </c>
      <c r="S6" s="127"/>
      <c r="T6" s="120" t="s">
        <v>11</v>
      </c>
      <c r="U6" s="75" t="s">
        <v>251</v>
      </c>
      <c r="V6" s="127"/>
      <c r="W6" s="120" t="s">
        <v>11</v>
      </c>
      <c r="X6" s="75" t="s">
        <v>251</v>
      </c>
      <c r="Y6" s="127"/>
      <c r="Z6" s="120" t="s">
        <v>11</v>
      </c>
      <c r="AA6" s="75" t="s">
        <v>251</v>
      </c>
      <c r="AB6" s="127"/>
      <c r="AC6" s="120" t="s">
        <v>11</v>
      </c>
      <c r="AD6" s="75" t="s">
        <v>251</v>
      </c>
      <c r="AE6" s="127"/>
      <c r="AF6" s="67" t="s">
        <v>11</v>
      </c>
      <c r="AG6" s="75" t="s">
        <v>251</v>
      </c>
      <c r="AH6" s="127"/>
      <c r="AI6" s="127"/>
      <c r="AJ6" s="127"/>
      <c r="AK6" s="127"/>
      <c r="AL6" s="127"/>
      <c r="AM6" s="127"/>
      <c r="AN6" s="127"/>
      <c r="AO6" s="127"/>
      <c r="AP6" s="127"/>
      <c r="AQ6" s="127"/>
      <c r="AR6" s="127"/>
      <c r="AS6" s="127"/>
      <c r="AT6" s="127"/>
    </row>
    <row r="7" spans="1:46">
      <c r="A7" s="127"/>
      <c r="B7" s="120">
        <v>2007</v>
      </c>
      <c r="C7" s="73" cm="1">
        <f t="array" ref="C7">IF(B7&gt;current_year,"",INDEX(Faucet_Aerators_h2o,B7-2006))</f>
        <v>0</v>
      </c>
      <c r="D7" s="127"/>
      <c r="E7" s="120">
        <v>2007</v>
      </c>
      <c r="F7" s="53">
        <f t="shared" ref="F7:F17" si="0">C7*(kwh_per_gal_drnk_water+kwh_per_gal_waste_water)</f>
        <v>0</v>
      </c>
      <c r="G7" s="127"/>
      <c r="H7" s="120">
        <v>2007</v>
      </c>
      <c r="I7" s="53" t="e">
        <f>(C7*perc_hot_water_faucet_2007)*(Houses_with_elec_07/Houses_with_plumbing_07)*kwh_per_gal_hot_water_2007</f>
        <v>#VALUE!</v>
      </c>
      <c r="J7" s="129"/>
      <c r="K7" s="1">
        <v>2007</v>
      </c>
      <c r="L7" s="121">
        <f t="shared" ref="L7:L30" si="1">IF(C7="","",SUM(C7*10^-3*INDEX(water_res,W7-2006)*IF(K7&lt;current_year,INDEX(GDP,current_year-2006)/INDEX(GDP,W7-2006),1)))</f>
        <v>0</v>
      </c>
      <c r="M7" s="127"/>
      <c r="N7" s="120">
        <v>2007</v>
      </c>
      <c r="O7" s="123" t="e">
        <f>(C7*perc_hot_water_faucet_2007)*((Houses_with_plumbing_07-Houses_with_elec_07)/Houses_with_plumbing_07)*mcf_per_gal_hot_water_2007</f>
        <v>#VALUE!</v>
      </c>
      <c r="P7" s="127"/>
      <c r="Q7" s="1">
        <v>2007</v>
      </c>
      <c r="R7" s="78" t="e">
        <f t="shared" ref="R7:R17" si="2">F7+I7+(O7*kwh_per_therm*therms_per_mcf)</f>
        <v>#VALUE!</v>
      </c>
      <c r="S7" s="127"/>
      <c r="T7" s="1">
        <v>2007</v>
      </c>
      <c r="U7" s="78" t="e">
        <f t="shared" ref="U7:U17" si="3">((I7+F7)*tons_co2_per_kwh)+(O7*tons_co2_per_therm*therms_per_mcf)</f>
        <v>#VALUE!</v>
      </c>
      <c r="V7" s="127"/>
      <c r="W7" s="1">
        <v>2007</v>
      </c>
      <c r="X7" s="121" t="e">
        <f>SUM(I7*cost_per_kwh_07)</f>
        <v>#VALUE!</v>
      </c>
      <c r="Y7" s="127"/>
      <c r="Z7" s="1">
        <v>2007</v>
      </c>
      <c r="AA7" s="121">
        <v>0</v>
      </c>
      <c r="AB7" s="127"/>
      <c r="AC7" s="1">
        <v>2007</v>
      </c>
      <c r="AD7" s="121" t="e">
        <f t="shared" ref="AD7:AD17" si="4">SUM(X7+AA7)</f>
        <v>#VALUE!</v>
      </c>
      <c r="AE7" s="127"/>
      <c r="AF7" s="1">
        <v>2007</v>
      </c>
      <c r="AG7" s="121" t="e">
        <f t="shared" ref="AG7:AG22" si="5">IF($C7="","",L7+AD7)</f>
        <v>#VALUE!</v>
      </c>
      <c r="AH7" s="127"/>
      <c r="AI7" s="127"/>
      <c r="AJ7" s="127"/>
      <c r="AK7" s="127"/>
      <c r="AL7" s="127"/>
      <c r="AM7" s="127"/>
      <c r="AN7" s="127"/>
      <c r="AO7" s="127"/>
      <c r="AP7" s="127"/>
      <c r="AQ7" s="127"/>
      <c r="AR7" s="127"/>
      <c r="AS7" s="127"/>
      <c r="AT7" s="127"/>
    </row>
    <row r="8" spans="1:46">
      <c r="A8" s="127"/>
      <c r="B8" s="120">
        <v>2008</v>
      </c>
      <c r="C8" s="73" cm="1">
        <f t="array" ref="C8">IF(B8&gt;current_year,"",INDEX(Faucet_Aerators_h2o,B8-2006))</f>
        <v>0</v>
      </c>
      <c r="D8" s="127"/>
      <c r="E8" s="117">
        <v>2008</v>
      </c>
      <c r="F8" s="53">
        <f t="shared" si="0"/>
        <v>0</v>
      </c>
      <c r="G8" s="127"/>
      <c r="H8" s="117">
        <v>2008</v>
      </c>
      <c r="I8" s="53" t="e">
        <f>(C8*perc_hot_water_faucet_2008)*(Houses_with_elec_08/Houses_with_plumbing_08)*kwh_per_gal_hot_water_2008</f>
        <v>#VALUE!</v>
      </c>
      <c r="J8" s="129"/>
      <c r="K8" s="1">
        <v>2008</v>
      </c>
      <c r="L8" s="121">
        <f t="shared" si="1"/>
        <v>0</v>
      </c>
      <c r="M8" s="127"/>
      <c r="N8" s="117">
        <v>2008</v>
      </c>
      <c r="O8" s="123" t="e">
        <f>(C8*perc_hot_water_faucet_2008)*((Houses_with_plumbing_08-Houses_with_elec_08)/Houses_with_plumbing_08)*mcf_per_gal_hot_water_2008</f>
        <v>#VALUE!</v>
      </c>
      <c r="P8" s="127"/>
      <c r="Q8" s="1">
        <v>2008</v>
      </c>
      <c r="R8" s="78" t="e">
        <f t="shared" si="2"/>
        <v>#VALUE!</v>
      </c>
      <c r="S8" s="127"/>
      <c r="T8" s="1">
        <v>2008</v>
      </c>
      <c r="U8" s="78" t="e">
        <f t="shared" si="3"/>
        <v>#VALUE!</v>
      </c>
      <c r="V8" s="127"/>
      <c r="W8" s="1">
        <v>2008</v>
      </c>
      <c r="X8" s="121" t="e">
        <f t="shared" ref="X8:X19" si="6">SUM(I8*INDEX(Elec_res,W8-2006))*IF(W8&lt;current_year, INDEX(GDP,current_year-2007)/INDEX(GDP,W8-2007),1)</f>
        <v>#VALUE!</v>
      </c>
      <c r="Y8" s="127"/>
      <c r="Z8" s="1">
        <v>2008</v>
      </c>
      <c r="AA8" s="121" t="e">
        <f t="shared" ref="AA8:AA19" si="7">SUM(O8*INDEX(Gas_res,Z8-2006))*IF(Z8&lt;current_year, INDEX(GDP,current_year-2007)/INDEX(GDP,Z8-2007),1)</f>
        <v>#VALUE!</v>
      </c>
      <c r="AB8" s="127"/>
      <c r="AC8" s="1">
        <v>2008</v>
      </c>
      <c r="AD8" s="121" t="e">
        <f t="shared" si="4"/>
        <v>#VALUE!</v>
      </c>
      <c r="AE8" s="127"/>
      <c r="AF8" s="1">
        <v>2008</v>
      </c>
      <c r="AG8" s="121" t="e">
        <f t="shared" si="5"/>
        <v>#VALUE!</v>
      </c>
      <c r="AH8" s="127"/>
      <c r="AI8" s="127"/>
      <c r="AJ8" s="127"/>
      <c r="AK8" s="127"/>
      <c r="AL8" s="127"/>
      <c r="AM8" s="127"/>
      <c r="AN8" s="127"/>
      <c r="AO8" s="127"/>
      <c r="AP8" s="127"/>
      <c r="AQ8" s="127"/>
      <c r="AR8" s="127"/>
      <c r="AS8" s="127"/>
      <c r="AT8" s="127"/>
    </row>
    <row r="9" spans="1:46">
      <c r="A9" s="127"/>
      <c r="B9" s="117">
        <v>2009</v>
      </c>
      <c r="C9" s="73" cm="1">
        <f t="array" ref="C9">IF(B9&gt;current_year,"",INDEX(Faucet_Aerators_h2o,B9-2006))</f>
        <v>0</v>
      </c>
      <c r="D9" s="127"/>
      <c r="E9" s="117">
        <v>2009</v>
      </c>
      <c r="F9" s="53">
        <f t="shared" si="0"/>
        <v>0</v>
      </c>
      <c r="G9" s="127"/>
      <c r="H9" s="117">
        <v>2009</v>
      </c>
      <c r="I9" s="53" t="e">
        <f>(C9*perc_hot_water_faucet_2009)*(Houses_with_elec_09/Houses_with_plumbing_09)*kwh_per_gal_hot_water_2009</f>
        <v>#VALUE!</v>
      </c>
      <c r="J9" s="129"/>
      <c r="K9" s="1">
        <v>2009</v>
      </c>
      <c r="L9" s="121">
        <f t="shared" si="1"/>
        <v>0</v>
      </c>
      <c r="M9" s="127"/>
      <c r="N9" s="117">
        <v>2009</v>
      </c>
      <c r="O9" s="123" t="e">
        <f>(C9*perc_hot_water_faucet_2009)*((Houses_with_plumbing_09-Houses_with_elec_09)/Houses_with_plumbing_09)*mcf_per_gal_hot_water_2009</f>
        <v>#VALUE!</v>
      </c>
      <c r="P9" s="127"/>
      <c r="Q9" s="1">
        <v>2009</v>
      </c>
      <c r="R9" s="78" t="e">
        <f t="shared" si="2"/>
        <v>#VALUE!</v>
      </c>
      <c r="S9" s="127"/>
      <c r="T9" s="1">
        <v>2009</v>
      </c>
      <c r="U9" s="78" t="e">
        <f t="shared" si="3"/>
        <v>#VALUE!</v>
      </c>
      <c r="V9" s="127"/>
      <c r="W9" s="1">
        <v>2009</v>
      </c>
      <c r="X9" s="121" t="e">
        <f t="shared" si="6"/>
        <v>#VALUE!</v>
      </c>
      <c r="Y9" s="127"/>
      <c r="Z9" s="1">
        <v>2009</v>
      </c>
      <c r="AA9" s="121" t="e">
        <f t="shared" si="7"/>
        <v>#VALUE!</v>
      </c>
      <c r="AB9" s="127"/>
      <c r="AC9" s="1">
        <v>2009</v>
      </c>
      <c r="AD9" s="121" t="e">
        <f t="shared" si="4"/>
        <v>#VALUE!</v>
      </c>
      <c r="AE9" s="127"/>
      <c r="AF9" s="1">
        <v>2009</v>
      </c>
      <c r="AG9" s="121" t="e">
        <f t="shared" si="5"/>
        <v>#VALUE!</v>
      </c>
      <c r="AH9" s="127"/>
      <c r="AI9" s="127"/>
      <c r="AJ9" s="127"/>
      <c r="AK9" s="127"/>
      <c r="AL9" s="127"/>
      <c r="AM9" s="127"/>
      <c r="AN9" s="127"/>
      <c r="AO9" s="127"/>
      <c r="AP9" s="127"/>
      <c r="AQ9" s="127"/>
      <c r="AR9" s="127"/>
      <c r="AS9" s="127"/>
      <c r="AT9" s="127"/>
    </row>
    <row r="10" spans="1:46">
      <c r="A10" s="127"/>
      <c r="B10" s="117">
        <v>2010</v>
      </c>
      <c r="C10" s="73" cm="1">
        <f t="array" ref="C10">IF(B10&gt;current_year,"",INDEX(Faucet_Aerators_h2o,B10-2006))</f>
        <v>0</v>
      </c>
      <c r="D10" s="127"/>
      <c r="E10" s="117">
        <v>2010</v>
      </c>
      <c r="F10" s="53">
        <f t="shared" si="0"/>
        <v>0</v>
      </c>
      <c r="G10" s="127"/>
      <c r="H10" s="117">
        <v>2010</v>
      </c>
      <c r="I10" s="53" t="e">
        <f>(C10*perc_hot_water_faucet_2010)*(Houses_with_elec_10/Houses_with_plumbing_10)*kwh_per_gal_hot_water_2010</f>
        <v>#VALUE!</v>
      </c>
      <c r="J10" s="129"/>
      <c r="K10" s="1">
        <v>2010</v>
      </c>
      <c r="L10" s="121">
        <f t="shared" si="1"/>
        <v>0</v>
      </c>
      <c r="M10" s="127"/>
      <c r="N10" s="117">
        <v>2010</v>
      </c>
      <c r="O10" s="123" t="e">
        <f>(C10*perc_hot_water_faucet_2010)*((Houses_with_plumbing_10-Houses_with_elec_10)/Houses_with_plumbing_10)*mcf_per_gal_hot_water_2010</f>
        <v>#VALUE!</v>
      </c>
      <c r="P10" s="127"/>
      <c r="Q10" s="1">
        <v>2010</v>
      </c>
      <c r="R10" s="78" t="e">
        <f t="shared" si="2"/>
        <v>#VALUE!</v>
      </c>
      <c r="S10" s="127"/>
      <c r="T10" s="1">
        <v>2010</v>
      </c>
      <c r="U10" s="78" t="e">
        <f t="shared" si="3"/>
        <v>#VALUE!</v>
      </c>
      <c r="V10" s="127"/>
      <c r="W10" s="1">
        <v>2010</v>
      </c>
      <c r="X10" s="121" t="e">
        <f t="shared" si="6"/>
        <v>#VALUE!</v>
      </c>
      <c r="Y10" s="127"/>
      <c r="Z10" s="1">
        <v>2010</v>
      </c>
      <c r="AA10" s="121" t="e">
        <f t="shared" si="7"/>
        <v>#VALUE!</v>
      </c>
      <c r="AB10" s="127"/>
      <c r="AC10" s="1">
        <v>2010</v>
      </c>
      <c r="AD10" s="121" t="e">
        <f t="shared" si="4"/>
        <v>#VALUE!</v>
      </c>
      <c r="AE10" s="127"/>
      <c r="AF10" s="1">
        <v>2010</v>
      </c>
      <c r="AG10" s="121" t="e">
        <f t="shared" si="5"/>
        <v>#VALUE!</v>
      </c>
      <c r="AH10" s="127"/>
      <c r="AI10" s="127"/>
      <c r="AJ10" s="127"/>
      <c r="AK10" s="127"/>
      <c r="AL10" s="127"/>
      <c r="AM10" s="127"/>
      <c r="AN10" s="127"/>
      <c r="AO10" s="127"/>
      <c r="AP10" s="127"/>
      <c r="AQ10" s="127"/>
      <c r="AR10" s="127"/>
      <c r="AS10" s="127"/>
      <c r="AT10" s="127"/>
    </row>
    <row r="11" spans="1:46">
      <c r="A11" s="127"/>
      <c r="B11" s="117">
        <v>2011</v>
      </c>
      <c r="C11" s="73" cm="1">
        <f t="array" ref="C11">IF(B11&gt;current_year,"",INDEX(Faucet_Aerators_h2o,B11-2006))</f>
        <v>0</v>
      </c>
      <c r="D11" s="127"/>
      <c r="E11" s="117">
        <v>2011</v>
      </c>
      <c r="F11" s="53">
        <f t="shared" si="0"/>
        <v>0</v>
      </c>
      <c r="G11" s="127"/>
      <c r="H11" s="117">
        <v>2011</v>
      </c>
      <c r="I11" s="53" t="e">
        <f>(C11*perc_hot_water_faucet_2011)*(Houses_with_elec_11/Houses_with_plumbing_11)*kwh_per_gal_hot_water_2011</f>
        <v>#VALUE!</v>
      </c>
      <c r="J11" s="129"/>
      <c r="K11" s="1">
        <v>2011</v>
      </c>
      <c r="L11" s="121">
        <f t="shared" si="1"/>
        <v>0</v>
      </c>
      <c r="M11" s="127"/>
      <c r="N11" s="117">
        <v>2011</v>
      </c>
      <c r="O11" s="123" t="e">
        <f>(C11*perc_hot_water_faucet_2011)*((Houses_with_plumbing_11-Houses_with_elec_11)/Houses_with_plumbing_11)*mcf_per_gal_hot_water_2011</f>
        <v>#VALUE!</v>
      </c>
      <c r="P11" s="127"/>
      <c r="Q11" s="1">
        <v>2011</v>
      </c>
      <c r="R11" s="78" t="e">
        <f t="shared" si="2"/>
        <v>#VALUE!</v>
      </c>
      <c r="S11" s="127"/>
      <c r="T11" s="1">
        <v>2011</v>
      </c>
      <c r="U11" s="78" t="e">
        <f t="shared" si="3"/>
        <v>#VALUE!</v>
      </c>
      <c r="V11" s="127"/>
      <c r="W11" s="1">
        <v>2011</v>
      </c>
      <c r="X11" s="121" t="e">
        <f t="shared" si="6"/>
        <v>#VALUE!</v>
      </c>
      <c r="Y11" s="127"/>
      <c r="Z11" s="1">
        <v>2011</v>
      </c>
      <c r="AA11" s="121" t="e">
        <f t="shared" si="7"/>
        <v>#VALUE!</v>
      </c>
      <c r="AB11" s="127"/>
      <c r="AC11" s="1">
        <v>2011</v>
      </c>
      <c r="AD11" s="121" t="e">
        <f t="shared" si="4"/>
        <v>#VALUE!</v>
      </c>
      <c r="AE11" s="127"/>
      <c r="AF11" s="1">
        <v>2011</v>
      </c>
      <c r="AG11" s="121" t="e">
        <f t="shared" si="5"/>
        <v>#VALUE!</v>
      </c>
      <c r="AH11" s="127"/>
      <c r="AI11" s="127"/>
      <c r="AJ11" s="127"/>
      <c r="AK11" s="127"/>
      <c r="AL11" s="127"/>
      <c r="AM11" s="127"/>
      <c r="AN11" s="127"/>
      <c r="AO11" s="127"/>
      <c r="AP11" s="127"/>
      <c r="AQ11" s="127"/>
      <c r="AR11" s="127"/>
      <c r="AS11" s="127"/>
      <c r="AT11" s="127"/>
    </row>
    <row r="12" spans="1:46">
      <c r="A12" s="127"/>
      <c r="B12" s="120">
        <v>2012</v>
      </c>
      <c r="C12" s="73" cm="1">
        <f t="array" ref="C12">IF(B12&gt;current_year,"",INDEX(Faucet_Aerators_h2o,B12-2006))</f>
        <v>0</v>
      </c>
      <c r="D12" s="127"/>
      <c r="E12" s="117">
        <v>2012</v>
      </c>
      <c r="F12" s="53">
        <f t="shared" si="0"/>
        <v>0</v>
      </c>
      <c r="G12" s="127"/>
      <c r="H12" s="117">
        <v>2012</v>
      </c>
      <c r="I12" s="53" t="e">
        <f>(C12*perc_hot_water_faucet_2012)*(Houses_with_elec_12/Houses_with_plumbing_12)*kwh_per_gal_hot_water_2012</f>
        <v>#VALUE!</v>
      </c>
      <c r="J12" s="129"/>
      <c r="K12" s="1">
        <v>2012</v>
      </c>
      <c r="L12" s="121">
        <f t="shared" si="1"/>
        <v>0</v>
      </c>
      <c r="M12" s="127"/>
      <c r="N12" s="117">
        <v>2012</v>
      </c>
      <c r="O12" s="123" t="e">
        <f>(C12*perc_hot_water_faucet_2012)*((Houses_with_plumbing_12-Houses_with_elec_12)/Houses_with_plumbing_12)*mcf_per_gal_hot_water_2012</f>
        <v>#VALUE!</v>
      </c>
      <c r="P12" s="127"/>
      <c r="Q12" s="1">
        <v>2012</v>
      </c>
      <c r="R12" s="78" t="e">
        <f t="shared" si="2"/>
        <v>#VALUE!</v>
      </c>
      <c r="S12" s="127"/>
      <c r="T12" s="1">
        <v>2012</v>
      </c>
      <c r="U12" s="78" t="e">
        <f t="shared" si="3"/>
        <v>#VALUE!</v>
      </c>
      <c r="V12" s="127"/>
      <c r="W12" s="1">
        <v>2012</v>
      </c>
      <c r="X12" s="121" t="e">
        <f t="shared" si="6"/>
        <v>#VALUE!</v>
      </c>
      <c r="Y12" s="127"/>
      <c r="Z12" s="1">
        <v>2012</v>
      </c>
      <c r="AA12" s="121" t="e">
        <f t="shared" si="7"/>
        <v>#VALUE!</v>
      </c>
      <c r="AB12" s="127"/>
      <c r="AC12" s="1">
        <v>2012</v>
      </c>
      <c r="AD12" s="121" t="e">
        <f t="shared" si="4"/>
        <v>#VALUE!</v>
      </c>
      <c r="AE12" s="127"/>
      <c r="AF12" s="1">
        <v>2012</v>
      </c>
      <c r="AG12" s="121" t="e">
        <f t="shared" si="5"/>
        <v>#VALUE!</v>
      </c>
      <c r="AH12" s="127"/>
      <c r="AI12" s="127"/>
      <c r="AJ12" s="127"/>
      <c r="AK12" s="127"/>
      <c r="AL12" s="127"/>
      <c r="AM12" s="127"/>
      <c r="AN12" s="127"/>
      <c r="AO12" s="127"/>
      <c r="AP12" s="127"/>
      <c r="AQ12" s="127"/>
      <c r="AR12" s="127"/>
      <c r="AS12" s="127"/>
      <c r="AT12" s="127"/>
    </row>
    <row r="13" spans="1:46">
      <c r="A13" s="127"/>
      <c r="B13" s="120">
        <v>2013</v>
      </c>
      <c r="C13" s="73" cm="1">
        <f t="array" ref="C13">IF(B13&gt;current_year,"",INDEX(Faucet_Aerators_h2o,B13-2006))</f>
        <v>0</v>
      </c>
      <c r="D13" s="127"/>
      <c r="E13" s="120">
        <v>2013</v>
      </c>
      <c r="F13" s="53">
        <f t="shared" si="0"/>
        <v>0</v>
      </c>
      <c r="G13" s="127"/>
      <c r="H13" s="120">
        <v>2013</v>
      </c>
      <c r="I13" s="53" t="e">
        <f>(C13*perc_hot_water_faucet_2013)*(Houses_with_elec_13/Houses_with_plumbing_13)*kwh_per_gal_hot_water_2013</f>
        <v>#VALUE!</v>
      </c>
      <c r="J13" s="129"/>
      <c r="K13" s="120">
        <v>2013</v>
      </c>
      <c r="L13" s="121">
        <f t="shared" si="1"/>
        <v>0</v>
      </c>
      <c r="M13" s="127"/>
      <c r="N13" s="120">
        <v>2013</v>
      </c>
      <c r="O13" s="123" t="e">
        <f>(C13*perc_hot_water_faucet_2013)*((Houses_with_plumbing_13-Houses_with_elec_13)/Houses_with_plumbing_13)*mcf_per_gal_hot_water_2013</f>
        <v>#VALUE!</v>
      </c>
      <c r="P13" s="127"/>
      <c r="Q13" s="120">
        <v>2013</v>
      </c>
      <c r="R13" s="78" t="e">
        <f t="shared" si="2"/>
        <v>#VALUE!</v>
      </c>
      <c r="S13" s="127"/>
      <c r="T13" s="120">
        <v>2013</v>
      </c>
      <c r="U13" s="78" t="e">
        <f t="shared" si="3"/>
        <v>#VALUE!</v>
      </c>
      <c r="V13" s="127"/>
      <c r="W13" s="120">
        <v>2013</v>
      </c>
      <c r="X13" s="121" t="e">
        <f t="shared" si="6"/>
        <v>#VALUE!</v>
      </c>
      <c r="Y13" s="127"/>
      <c r="Z13" s="120">
        <v>2013</v>
      </c>
      <c r="AA13" s="121" t="e">
        <f t="shared" si="7"/>
        <v>#VALUE!</v>
      </c>
      <c r="AB13" s="127"/>
      <c r="AC13" s="120">
        <v>2013</v>
      </c>
      <c r="AD13" s="121" t="e">
        <f t="shared" si="4"/>
        <v>#VALUE!</v>
      </c>
      <c r="AE13" s="127"/>
      <c r="AF13" s="120">
        <v>2013</v>
      </c>
      <c r="AG13" s="121" t="e">
        <f t="shared" si="5"/>
        <v>#VALUE!</v>
      </c>
      <c r="AH13" s="127"/>
      <c r="AI13" s="127"/>
      <c r="AJ13" s="127"/>
      <c r="AK13" s="127"/>
      <c r="AL13" s="127"/>
      <c r="AM13" s="127"/>
      <c r="AN13" s="127"/>
      <c r="AO13" s="127"/>
      <c r="AP13" s="127"/>
      <c r="AQ13" s="127"/>
      <c r="AR13" s="127"/>
      <c r="AS13" s="127"/>
      <c r="AT13" s="127"/>
    </row>
    <row r="14" spans="1:46">
      <c r="A14" s="127"/>
      <c r="B14" s="120">
        <v>2014</v>
      </c>
      <c r="C14" s="73" cm="1">
        <f t="array" ref="C14">IF(B14&gt;current_year,"",INDEX(Faucet_Aerators_h2o,B14-2006))</f>
        <v>0</v>
      </c>
      <c r="D14" s="127"/>
      <c r="E14" s="120">
        <v>2014</v>
      </c>
      <c r="F14" s="53">
        <f t="shared" si="0"/>
        <v>0</v>
      </c>
      <c r="G14" s="127"/>
      <c r="H14" s="120">
        <v>2014</v>
      </c>
      <c r="I14" s="53" t="e">
        <f>(C14*perc_hot_water_faucet_2014)*(Houses_with_elec_14/Houses_with_plumbing_14)*kwh_per_gal_hot_water_2014</f>
        <v>#VALUE!</v>
      </c>
      <c r="J14" s="129"/>
      <c r="K14" s="120">
        <v>2014</v>
      </c>
      <c r="L14" s="121">
        <f t="shared" si="1"/>
        <v>0</v>
      </c>
      <c r="M14" s="127"/>
      <c r="N14" s="120">
        <v>2014</v>
      </c>
      <c r="O14" s="123" t="e">
        <f>(C14*perc_hot_water_faucet_2014)*((Houses_with_plumbing_14-Houses_with_elec_14)/Houses_with_plumbing_14)*mcf_per_gal_hot_water_2014</f>
        <v>#VALUE!</v>
      </c>
      <c r="P14" s="127"/>
      <c r="Q14" s="120">
        <v>2014</v>
      </c>
      <c r="R14" s="78" t="e">
        <f t="shared" si="2"/>
        <v>#VALUE!</v>
      </c>
      <c r="S14" s="127"/>
      <c r="T14" s="120">
        <v>2014</v>
      </c>
      <c r="U14" s="78" t="e">
        <f t="shared" si="3"/>
        <v>#VALUE!</v>
      </c>
      <c r="V14" s="127"/>
      <c r="W14" s="120">
        <v>2014</v>
      </c>
      <c r="X14" s="121" t="e">
        <f t="shared" si="6"/>
        <v>#VALUE!</v>
      </c>
      <c r="Y14" s="127"/>
      <c r="Z14" s="120">
        <v>2014</v>
      </c>
      <c r="AA14" s="121" t="e">
        <f t="shared" si="7"/>
        <v>#VALUE!</v>
      </c>
      <c r="AB14" s="127"/>
      <c r="AC14" s="120">
        <v>2014</v>
      </c>
      <c r="AD14" s="121" t="e">
        <f t="shared" si="4"/>
        <v>#VALUE!</v>
      </c>
      <c r="AE14" s="127"/>
      <c r="AF14" s="120">
        <v>2014</v>
      </c>
      <c r="AG14" s="121" t="e">
        <f t="shared" si="5"/>
        <v>#VALUE!</v>
      </c>
      <c r="AH14" s="127"/>
      <c r="AI14" s="127"/>
      <c r="AJ14" s="127"/>
      <c r="AK14" s="127"/>
      <c r="AL14" s="127"/>
      <c r="AM14" s="127"/>
      <c r="AN14" s="127"/>
      <c r="AO14" s="127"/>
      <c r="AP14" s="127"/>
      <c r="AQ14" s="127"/>
      <c r="AR14" s="127"/>
      <c r="AS14" s="127"/>
      <c r="AT14" s="127"/>
    </row>
    <row r="15" spans="1:46">
      <c r="A15" s="127"/>
      <c r="B15" s="120">
        <v>2015</v>
      </c>
      <c r="C15" s="73" cm="1">
        <f t="array" ref="C15">IF(B15&gt;current_year,"",INDEX(Faucet_Aerators_h2o,B15-2006))</f>
        <v>0</v>
      </c>
      <c r="D15" s="127"/>
      <c r="E15" s="120">
        <v>2015</v>
      </c>
      <c r="F15" s="53">
        <f t="shared" si="0"/>
        <v>0</v>
      </c>
      <c r="G15" s="127"/>
      <c r="H15" s="120">
        <v>2015</v>
      </c>
      <c r="I15" s="53" t="e">
        <f>(C15*perc_hot_water_faucet_2015)*(Houses_with_elec_15/Houses_with_plumbing_15)*kwh_per_gal_hot_water_2015</f>
        <v>#VALUE!</v>
      </c>
      <c r="J15" s="129"/>
      <c r="K15" s="120">
        <v>2015</v>
      </c>
      <c r="L15" s="121">
        <f t="shared" si="1"/>
        <v>0</v>
      </c>
      <c r="M15" s="127"/>
      <c r="N15" s="120">
        <v>2015</v>
      </c>
      <c r="O15" s="123" t="e">
        <f>(C15*perc_hot_water_faucet_2015)*((Houses_with_plumbing_15-Houses_with_elec_15)/Houses_with_plumbing_15)*mcf_per_gal_hot_water_2015</f>
        <v>#VALUE!</v>
      </c>
      <c r="P15" s="127"/>
      <c r="Q15" s="120">
        <v>2015</v>
      </c>
      <c r="R15" s="78" t="e">
        <f t="shared" si="2"/>
        <v>#VALUE!</v>
      </c>
      <c r="S15" s="127"/>
      <c r="T15" s="120">
        <v>2015</v>
      </c>
      <c r="U15" s="78" t="e">
        <f t="shared" si="3"/>
        <v>#VALUE!</v>
      </c>
      <c r="V15" s="127"/>
      <c r="W15" s="120">
        <v>2015</v>
      </c>
      <c r="X15" s="121" t="e">
        <f t="shared" si="6"/>
        <v>#VALUE!</v>
      </c>
      <c r="Y15" s="127"/>
      <c r="Z15" s="120">
        <v>2015</v>
      </c>
      <c r="AA15" s="121" t="e">
        <f t="shared" si="7"/>
        <v>#VALUE!</v>
      </c>
      <c r="AB15" s="127"/>
      <c r="AC15" s="120">
        <v>2015</v>
      </c>
      <c r="AD15" s="121" t="e">
        <f t="shared" si="4"/>
        <v>#VALUE!</v>
      </c>
      <c r="AE15" s="127"/>
      <c r="AF15" s="120">
        <v>2015</v>
      </c>
      <c r="AG15" s="121" t="e">
        <f t="shared" si="5"/>
        <v>#VALUE!</v>
      </c>
      <c r="AH15" s="127"/>
      <c r="AI15" s="127"/>
      <c r="AJ15" s="127"/>
      <c r="AK15" s="127"/>
      <c r="AL15" s="127"/>
      <c r="AM15" s="127"/>
      <c r="AN15" s="127"/>
      <c r="AO15" s="127"/>
      <c r="AP15" s="127"/>
      <c r="AQ15" s="127"/>
      <c r="AR15" s="127"/>
      <c r="AS15" s="127"/>
      <c r="AT15" s="127"/>
    </row>
    <row r="16" spans="1:46">
      <c r="A16" s="127"/>
      <c r="B16" s="120">
        <v>2016</v>
      </c>
      <c r="C16" s="73" cm="1">
        <f t="array" ref="C16">IF(B16&gt;current_year,"",INDEX(Faucet_Aerators_h2o,B16-2006))</f>
        <v>0</v>
      </c>
      <c r="D16" s="127"/>
      <c r="E16" s="120">
        <v>2016</v>
      </c>
      <c r="F16" s="53">
        <f t="shared" si="0"/>
        <v>0</v>
      </c>
      <c r="G16" s="127"/>
      <c r="H16" s="120">
        <v>2016</v>
      </c>
      <c r="I16" s="53" t="e">
        <f>(C16*perc_hot_water_faucet_2016)*(Houses_with_elec_16/Houses_with_plumbing_16)*kwh_per_gal_hot_water_2016</f>
        <v>#VALUE!</v>
      </c>
      <c r="J16" s="129"/>
      <c r="K16" s="120">
        <v>2016</v>
      </c>
      <c r="L16" s="121">
        <f t="shared" si="1"/>
        <v>0</v>
      </c>
      <c r="M16" s="127"/>
      <c r="N16" s="120">
        <v>2016</v>
      </c>
      <c r="O16" s="123" t="e">
        <f>(C16*perc_hot_water_faucet_2016)*((Houses_with_plumbing_16-Houses_with_elec_16)/Houses_with_plumbing_16)*mcf_per_gal_hot_water_2016</f>
        <v>#VALUE!</v>
      </c>
      <c r="P16" s="127"/>
      <c r="Q16" s="120">
        <v>2016</v>
      </c>
      <c r="R16" s="78" t="e">
        <f t="shared" si="2"/>
        <v>#VALUE!</v>
      </c>
      <c r="S16" s="127"/>
      <c r="T16" s="120">
        <v>2016</v>
      </c>
      <c r="U16" s="78" t="e">
        <f t="shared" si="3"/>
        <v>#VALUE!</v>
      </c>
      <c r="V16" s="127"/>
      <c r="W16" s="120">
        <v>2016</v>
      </c>
      <c r="X16" s="121" t="e">
        <f t="shared" si="6"/>
        <v>#VALUE!</v>
      </c>
      <c r="Y16" s="127"/>
      <c r="Z16" s="120">
        <v>2016</v>
      </c>
      <c r="AA16" s="121" t="e">
        <f t="shared" si="7"/>
        <v>#VALUE!</v>
      </c>
      <c r="AB16" s="127"/>
      <c r="AC16" s="120">
        <v>2016</v>
      </c>
      <c r="AD16" s="121" t="e">
        <f t="shared" si="4"/>
        <v>#VALUE!</v>
      </c>
      <c r="AE16" s="127"/>
      <c r="AF16" s="120">
        <v>2016</v>
      </c>
      <c r="AG16" s="121" t="e">
        <f t="shared" si="5"/>
        <v>#VALUE!</v>
      </c>
      <c r="AH16" s="127"/>
      <c r="AI16" s="127"/>
      <c r="AJ16" s="127"/>
      <c r="AK16" s="127"/>
      <c r="AL16" s="127"/>
      <c r="AM16" s="127"/>
      <c r="AN16" s="127"/>
      <c r="AO16" s="127"/>
      <c r="AP16" s="127"/>
      <c r="AQ16" s="127"/>
      <c r="AR16" s="127"/>
      <c r="AS16" s="127"/>
      <c r="AT16" s="127"/>
    </row>
    <row r="17" spans="1:46">
      <c r="A17" s="127"/>
      <c r="B17" s="120">
        <v>2017</v>
      </c>
      <c r="C17" s="73" cm="1">
        <f t="array" ref="C17">IF(B17&gt;current_year,"",INDEX(Faucet_Aerators_h2o,B17-2006))</f>
        <v>0</v>
      </c>
      <c r="D17" s="127"/>
      <c r="E17" s="120">
        <v>2017</v>
      </c>
      <c r="F17" s="53">
        <f t="shared" si="0"/>
        <v>0</v>
      </c>
      <c r="G17" s="127"/>
      <c r="H17" s="120">
        <v>2017</v>
      </c>
      <c r="I17" s="53" t="e">
        <f>(C17*perc_hot_water_faucet_2017)*(Houses_with_elec_17/Houses_with_plumbing_17)*kwh_per_gal_hot_water_2017</f>
        <v>#VALUE!</v>
      </c>
      <c r="J17" s="129"/>
      <c r="K17" s="120">
        <v>2017</v>
      </c>
      <c r="L17" s="121">
        <f t="shared" si="1"/>
        <v>0</v>
      </c>
      <c r="M17" s="127"/>
      <c r="N17" s="120">
        <v>2017</v>
      </c>
      <c r="O17" s="123" t="e">
        <f>(C17*perc_hot_water_faucet_2017)*((Houses_with_plumbing_17-Houses_with_elec_17)/Houses_with_plumbing_17)*mcf_per_gal_hot_water_2017</f>
        <v>#VALUE!</v>
      </c>
      <c r="P17" s="127"/>
      <c r="Q17" s="120">
        <v>2017</v>
      </c>
      <c r="R17" s="78" t="e">
        <f t="shared" si="2"/>
        <v>#VALUE!</v>
      </c>
      <c r="S17" s="127"/>
      <c r="T17" s="120">
        <v>2017</v>
      </c>
      <c r="U17" s="78" t="e">
        <f t="shared" si="3"/>
        <v>#VALUE!</v>
      </c>
      <c r="V17" s="127"/>
      <c r="W17" s="120">
        <v>2017</v>
      </c>
      <c r="X17" s="121" t="e">
        <f t="shared" si="6"/>
        <v>#VALUE!</v>
      </c>
      <c r="Y17" s="127"/>
      <c r="Z17" s="120">
        <v>2017</v>
      </c>
      <c r="AA17" s="121" t="e">
        <f t="shared" si="7"/>
        <v>#VALUE!</v>
      </c>
      <c r="AB17" s="127"/>
      <c r="AC17" s="120">
        <v>2017</v>
      </c>
      <c r="AD17" s="121" t="e">
        <f t="shared" si="4"/>
        <v>#VALUE!</v>
      </c>
      <c r="AE17" s="127"/>
      <c r="AF17" s="120">
        <v>2017</v>
      </c>
      <c r="AG17" s="121" t="e">
        <f t="shared" si="5"/>
        <v>#VALUE!</v>
      </c>
      <c r="AH17" s="127"/>
      <c r="AI17" s="127"/>
      <c r="AJ17" s="127"/>
      <c r="AK17" s="127"/>
      <c r="AL17" s="127"/>
      <c r="AM17" s="127"/>
      <c r="AN17" s="127"/>
      <c r="AO17" s="127"/>
      <c r="AP17" s="127"/>
      <c r="AQ17" s="127"/>
      <c r="AR17" s="127"/>
      <c r="AS17" s="127"/>
      <c r="AT17" s="127"/>
    </row>
    <row r="18" spans="1:46">
      <c r="A18" s="127"/>
      <c r="B18" s="120">
        <v>2018</v>
      </c>
      <c r="C18" s="73" cm="1">
        <f t="array" ref="C18">IF(B18&gt;current_year,"",INDEX(Faucet_Aerators_h2o,B18-2006))</f>
        <v>0</v>
      </c>
      <c r="D18" s="129"/>
      <c r="E18" s="120">
        <v>2018</v>
      </c>
      <c r="F18" s="53">
        <f t="shared" ref="F18:F30" si="8">IF(C18="","",C18*(kwh_per_gal_drnk_water+kwh_per_gal_waste_water))</f>
        <v>0</v>
      </c>
      <c r="G18" s="127"/>
      <c r="H18" s="120">
        <v>2018</v>
      </c>
      <c r="I18" s="53" t="e">
        <f>IF($C18="","",(C18*perc_hot_water_faucet_2018)*(Houses_with_elec_18/Houses_with_plumbing_18)*kwh_per_gal_hot_water_2018)</f>
        <v>#VALUE!</v>
      </c>
      <c r="J18" s="127"/>
      <c r="K18" s="120">
        <v>2018</v>
      </c>
      <c r="L18" s="121">
        <f t="shared" si="1"/>
        <v>0</v>
      </c>
      <c r="M18" s="127"/>
      <c r="N18" s="120">
        <v>2018</v>
      </c>
      <c r="O18" s="123" t="e">
        <f>IF($C18="","",(C18*perc_hot_water_faucet_2018)*((Houses_with_plumbing_18-Houses_with_elec_18)/Houses_with_plumbing_18)*mcf_per_gal_hot_water_2018)</f>
        <v>#VALUE!</v>
      </c>
      <c r="P18" s="127"/>
      <c r="Q18" s="120">
        <v>2018</v>
      </c>
      <c r="R18" s="78" t="e">
        <f t="shared" ref="R18:R30" si="9">IF($C18="","",F18+I18+(O18*kwh_per_therm*therms_per_mcf))</f>
        <v>#VALUE!</v>
      </c>
      <c r="S18" s="129"/>
      <c r="T18" s="120">
        <v>2018</v>
      </c>
      <c r="U18" s="78" t="e">
        <f t="shared" ref="U18:U30" si="10">IF($C18="","",((I18+F18)*tons_co2_per_kwh)+(O18*tons_co2_per_therm*therms_per_mcf))</f>
        <v>#VALUE!</v>
      </c>
      <c r="V18" s="127"/>
      <c r="W18" s="120">
        <v>2018</v>
      </c>
      <c r="X18" s="121" t="e">
        <f t="shared" si="6"/>
        <v>#VALUE!</v>
      </c>
      <c r="Y18" s="127"/>
      <c r="Z18" s="120">
        <v>2018</v>
      </c>
      <c r="AA18" s="121" t="e">
        <f t="shared" si="7"/>
        <v>#VALUE!</v>
      </c>
      <c r="AB18" s="127"/>
      <c r="AC18" s="120">
        <v>2018</v>
      </c>
      <c r="AD18" s="121" t="e">
        <f>IF($C18="","",SUM(X18+AA18))</f>
        <v>#VALUE!</v>
      </c>
      <c r="AE18" s="127"/>
      <c r="AF18" s="120">
        <v>2018</v>
      </c>
      <c r="AG18" s="121" t="e">
        <f t="shared" si="5"/>
        <v>#VALUE!</v>
      </c>
      <c r="AH18" s="127"/>
      <c r="AI18" s="127"/>
      <c r="AJ18" s="127"/>
      <c r="AK18" s="127"/>
      <c r="AL18" s="127"/>
      <c r="AM18" s="127"/>
      <c r="AN18" s="127"/>
      <c r="AO18" s="127"/>
      <c r="AP18" s="127"/>
      <c r="AQ18" s="127"/>
      <c r="AR18" s="127"/>
      <c r="AS18" s="127"/>
      <c r="AT18" s="127"/>
    </row>
    <row r="19" spans="1:46">
      <c r="A19" s="127"/>
      <c r="B19" s="120">
        <v>2019</v>
      </c>
      <c r="C19" s="73" cm="1">
        <f t="array" ref="C19">IF(B19&gt;current_year,"",INDEX(Faucet_Aerators_h2o,B19-2006))</f>
        <v>0</v>
      </c>
      <c r="D19" s="129"/>
      <c r="E19" s="120">
        <v>2019</v>
      </c>
      <c r="F19" s="141">
        <f t="shared" si="8"/>
        <v>0</v>
      </c>
      <c r="G19" s="127"/>
      <c r="H19" s="120">
        <v>2019</v>
      </c>
      <c r="I19" s="53" t="e">
        <f>IF($C19="","",(C19*perc_hot_water_faucet_2019)*(Houses_with_elec_19/Houses_with_plumbing_19)*kwh_per_gal_hot_water_2019)</f>
        <v>#VALUE!</v>
      </c>
      <c r="J19" s="127"/>
      <c r="K19" s="120">
        <v>2019</v>
      </c>
      <c r="L19" s="121">
        <f t="shared" si="1"/>
        <v>0</v>
      </c>
      <c r="M19" s="127"/>
      <c r="N19" s="120">
        <v>2019</v>
      </c>
      <c r="O19" s="123" t="e">
        <f>IF($C19="","",(C19*perc_hot_water_faucet_2019)*((Houses_with_plumbing_19-Houses_with_elec_19)/Houses_with_plumbing_19)*mcf_per_gal_hot_water_2019)</f>
        <v>#VALUE!</v>
      </c>
      <c r="P19" s="127"/>
      <c r="Q19" s="120">
        <v>2019</v>
      </c>
      <c r="R19" s="141" t="e">
        <f t="shared" si="9"/>
        <v>#VALUE!</v>
      </c>
      <c r="S19" s="127"/>
      <c r="T19" s="120">
        <v>2019</v>
      </c>
      <c r="U19" s="141" t="e">
        <f t="shared" si="10"/>
        <v>#VALUE!</v>
      </c>
      <c r="V19" s="127"/>
      <c r="W19" s="120">
        <v>2019</v>
      </c>
      <c r="X19" s="121" t="e">
        <f t="shared" si="6"/>
        <v>#VALUE!</v>
      </c>
      <c r="Y19" s="127"/>
      <c r="Z19" s="120">
        <v>2019</v>
      </c>
      <c r="AA19" s="121" t="e">
        <f t="shared" si="7"/>
        <v>#VALUE!</v>
      </c>
      <c r="AB19" s="127"/>
      <c r="AC19" s="120">
        <v>2019</v>
      </c>
      <c r="AD19" s="143" t="e">
        <f t="shared" ref="AD19:AD30" si="11">IF($C19="","",SUM(X19+AA19))</f>
        <v>#VALUE!</v>
      </c>
      <c r="AE19" s="127"/>
      <c r="AF19" s="120">
        <v>2019</v>
      </c>
      <c r="AG19" s="121" t="e">
        <f t="shared" si="5"/>
        <v>#VALUE!</v>
      </c>
      <c r="AH19" s="127"/>
      <c r="AI19" s="127"/>
      <c r="AJ19" s="127"/>
      <c r="AK19" s="127"/>
      <c r="AL19" s="127"/>
      <c r="AM19" s="127"/>
      <c r="AN19" s="127"/>
      <c r="AO19" s="127"/>
      <c r="AP19" s="127"/>
      <c r="AQ19" s="127"/>
      <c r="AR19" s="127"/>
      <c r="AS19" s="127"/>
      <c r="AT19" s="127"/>
    </row>
    <row r="20" spans="1:46">
      <c r="A20" s="127"/>
      <c r="B20" s="120">
        <v>2020</v>
      </c>
      <c r="C20" s="73" cm="1">
        <f t="array" ref="C20">IF(B20&gt;current_year,"",INDEX(Faucet_Aerators_h2o,B20-2006))</f>
        <v>0</v>
      </c>
      <c r="D20" s="127"/>
      <c r="E20" s="120">
        <v>2020</v>
      </c>
      <c r="F20" s="141">
        <f t="shared" si="8"/>
        <v>0</v>
      </c>
      <c r="G20" s="127"/>
      <c r="H20" s="120">
        <v>2020</v>
      </c>
      <c r="I20" s="53" t="e">
        <f>IF($C20="","",(C20*perc_hot_water_faucet_2020)*(Houses_with_elec_20/Houses_with_plumbing_20)*kwh_per_gal_hot_water_2020)</f>
        <v>#VALUE!</v>
      </c>
      <c r="J20" s="127"/>
      <c r="K20" s="120">
        <v>2020</v>
      </c>
      <c r="L20" s="121">
        <f t="shared" si="1"/>
        <v>0</v>
      </c>
      <c r="M20" s="127"/>
      <c r="N20" s="120">
        <v>2020</v>
      </c>
      <c r="O20" s="123" t="e">
        <f>IF($C20="","",(C20*perc_hot_water_faucet_2020)*((Houses_with_plumbing_20-Houses_with_elec_20)/Houses_with_plumbing_20)*mcf_per_gal_hot_water_2020)</f>
        <v>#VALUE!</v>
      </c>
      <c r="P20" s="127"/>
      <c r="Q20" s="120">
        <v>2020</v>
      </c>
      <c r="R20" s="141" t="e">
        <f t="shared" si="9"/>
        <v>#VALUE!</v>
      </c>
      <c r="S20" s="127"/>
      <c r="T20" s="120">
        <v>2020</v>
      </c>
      <c r="U20" s="141" t="e">
        <f t="shared" si="10"/>
        <v>#VALUE!</v>
      </c>
      <c r="V20" s="127"/>
      <c r="W20" s="120">
        <v>2020</v>
      </c>
      <c r="X20" s="121" t="e">
        <f t="shared" ref="X20:X30" si="12">IF(C20="","",SUM(I20*INDEX(Elec_res,W20-2006))*IF(W20&lt;current_year, INDEX(GDP,current_year-2007)/INDEX(GDP,W20-2007),1))</f>
        <v>#VALUE!</v>
      </c>
      <c r="Y20" s="127"/>
      <c r="Z20" s="120">
        <v>2020</v>
      </c>
      <c r="AA20" s="121" t="e">
        <f t="shared" ref="AA20:AA30" si="13">IF(F20="","",SUM(O20*INDEX(Gas_res,Z20-2006))*IF(Z20&lt;current_year, INDEX(GDP,current_year-2007)/INDEX(GDP,Z20-2007),1))</f>
        <v>#VALUE!</v>
      </c>
      <c r="AB20" s="127"/>
      <c r="AC20" s="120">
        <v>2020</v>
      </c>
      <c r="AD20" s="143" t="e">
        <f t="shared" si="11"/>
        <v>#VALUE!</v>
      </c>
      <c r="AE20" s="127"/>
      <c r="AF20" s="120">
        <v>2020</v>
      </c>
      <c r="AG20" s="121" t="e">
        <f t="shared" si="5"/>
        <v>#VALUE!</v>
      </c>
      <c r="AH20" s="127"/>
      <c r="AI20" s="127"/>
      <c r="AJ20" s="127"/>
      <c r="AK20" s="127"/>
      <c r="AL20" s="127"/>
      <c r="AM20" s="127"/>
      <c r="AN20" s="127"/>
      <c r="AO20" s="127"/>
      <c r="AP20" s="127"/>
      <c r="AQ20" s="127"/>
      <c r="AR20" s="127"/>
      <c r="AS20" s="127"/>
      <c r="AT20" s="127"/>
    </row>
    <row r="21" spans="1:46">
      <c r="A21" s="127"/>
      <c r="B21" s="120">
        <v>2021</v>
      </c>
      <c r="C21" s="73" cm="1">
        <f t="array" ref="C21">IF(B21&gt;current_year,"",INDEX(Faucet_Aerators_h2o,B21-2006))</f>
        <v>0</v>
      </c>
      <c r="D21" s="131"/>
      <c r="E21" s="120">
        <v>2021</v>
      </c>
      <c r="F21" s="141">
        <f t="shared" si="8"/>
        <v>0</v>
      </c>
      <c r="G21" s="127"/>
      <c r="H21" s="120">
        <v>2021</v>
      </c>
      <c r="I21" s="53" t="e">
        <f>IF($C21="","",(C21*perc_hot_water_faucet_2021)*(Houses_with_elec_21/Houses_with_plumbing_21)*kwh_per_gal_hot_water_2021)</f>
        <v>#VALUE!</v>
      </c>
      <c r="J21" s="132"/>
      <c r="K21" s="120">
        <v>2021</v>
      </c>
      <c r="L21" s="121">
        <f t="shared" si="1"/>
        <v>0</v>
      </c>
      <c r="M21" s="127"/>
      <c r="N21" s="120">
        <v>2021</v>
      </c>
      <c r="O21" s="123" t="e">
        <f>IF($C21="","",(C21*perc_hot_water_faucet_2021)*((Houses_with_plumbing_21-Houses_with_elec_21)/Houses_with_plumbing_21)*mcf_per_gal_hot_water_2021)</f>
        <v>#VALUE!</v>
      </c>
      <c r="P21" s="127"/>
      <c r="Q21" s="120">
        <v>2021</v>
      </c>
      <c r="R21" s="141" t="e">
        <f t="shared" si="9"/>
        <v>#VALUE!</v>
      </c>
      <c r="S21" s="127"/>
      <c r="T21" s="120">
        <v>2021</v>
      </c>
      <c r="U21" s="141" t="e">
        <f t="shared" si="10"/>
        <v>#VALUE!</v>
      </c>
      <c r="V21" s="127"/>
      <c r="W21" s="120">
        <v>2021</v>
      </c>
      <c r="X21" s="121" t="e">
        <f t="shared" si="12"/>
        <v>#VALUE!</v>
      </c>
      <c r="Y21" s="127"/>
      <c r="Z21" s="120">
        <v>2021</v>
      </c>
      <c r="AA21" s="121" t="e">
        <f t="shared" si="13"/>
        <v>#VALUE!</v>
      </c>
      <c r="AB21" s="127"/>
      <c r="AC21" s="120">
        <v>2021</v>
      </c>
      <c r="AD21" s="143" t="e">
        <f t="shared" si="11"/>
        <v>#VALUE!</v>
      </c>
      <c r="AE21" s="127"/>
      <c r="AF21" s="120">
        <v>2021</v>
      </c>
      <c r="AG21" s="121" t="e">
        <f t="shared" si="5"/>
        <v>#VALUE!</v>
      </c>
      <c r="AH21" s="127"/>
      <c r="AI21" s="127"/>
      <c r="AJ21" s="127"/>
      <c r="AK21" s="127"/>
      <c r="AL21" s="127"/>
      <c r="AM21" s="127"/>
      <c r="AN21" s="127"/>
      <c r="AO21" s="127"/>
      <c r="AP21" s="127"/>
      <c r="AQ21" s="127"/>
      <c r="AR21" s="127"/>
      <c r="AS21" s="127"/>
      <c r="AT21" s="127"/>
    </row>
    <row r="22" spans="1:46">
      <c r="A22" s="127"/>
      <c r="B22" s="120">
        <v>2022</v>
      </c>
      <c r="C22" s="73" cm="1">
        <f t="array" ref="C22">IF(B22&gt;current_year,"",INDEX(Faucet_Aerators_h2o,B22-2006))</f>
        <v>0</v>
      </c>
      <c r="D22" s="127"/>
      <c r="E22" s="120">
        <v>2022</v>
      </c>
      <c r="F22" s="141">
        <f t="shared" si="8"/>
        <v>0</v>
      </c>
      <c r="G22" s="127"/>
      <c r="H22" s="120">
        <v>2022</v>
      </c>
      <c r="I22" s="53" t="e">
        <f>IF($C22="","",(C22*perc_hot_water_faucet_2022)*(Houses_with_elec_22/Houses_with_plumbing_22)*kwh_per_gal_hot_water_2022)</f>
        <v>#VALUE!</v>
      </c>
      <c r="J22" s="127"/>
      <c r="K22" s="120">
        <v>2022</v>
      </c>
      <c r="L22" s="121">
        <f t="shared" si="1"/>
        <v>0</v>
      </c>
      <c r="M22" s="127"/>
      <c r="N22" s="120">
        <v>2022</v>
      </c>
      <c r="O22" s="123" t="e">
        <f>IF($C22="","",(C22*perc_hot_water_faucet_2022)*((Houses_with_plumbing_22-Houses_with_elec_22)/Houses_with_plumbing_22)*mcf_per_gal_hot_water_2022)</f>
        <v>#VALUE!</v>
      </c>
      <c r="P22" s="127"/>
      <c r="Q22" s="120">
        <v>2022</v>
      </c>
      <c r="R22" s="141" t="e">
        <f t="shared" si="9"/>
        <v>#VALUE!</v>
      </c>
      <c r="S22" s="127"/>
      <c r="T22" s="120">
        <v>2022</v>
      </c>
      <c r="U22" s="141" t="e">
        <f t="shared" si="10"/>
        <v>#VALUE!</v>
      </c>
      <c r="V22" s="127"/>
      <c r="W22" s="120">
        <v>2022</v>
      </c>
      <c r="X22" s="121" t="e">
        <f t="shared" si="12"/>
        <v>#VALUE!</v>
      </c>
      <c r="Y22" s="127"/>
      <c r="Z22" s="120">
        <v>2022</v>
      </c>
      <c r="AA22" s="121" t="e">
        <f t="shared" si="13"/>
        <v>#VALUE!</v>
      </c>
      <c r="AB22" s="127"/>
      <c r="AC22" s="120">
        <v>2022</v>
      </c>
      <c r="AD22" s="143" t="e">
        <f t="shared" si="11"/>
        <v>#VALUE!</v>
      </c>
      <c r="AE22" s="127"/>
      <c r="AF22" s="120">
        <v>2022</v>
      </c>
      <c r="AG22" s="121" t="e">
        <f t="shared" si="5"/>
        <v>#VALUE!</v>
      </c>
      <c r="AH22" s="127"/>
      <c r="AI22" s="127"/>
      <c r="AJ22" s="127"/>
      <c r="AK22" s="127"/>
      <c r="AL22" s="127"/>
      <c r="AM22" s="127"/>
      <c r="AN22" s="127"/>
      <c r="AO22" s="127"/>
      <c r="AP22" s="127"/>
      <c r="AQ22" s="127"/>
      <c r="AR22" s="127"/>
      <c r="AS22" s="127"/>
      <c r="AT22" s="127"/>
    </row>
    <row r="23" spans="1:46">
      <c r="A23" s="127"/>
      <c r="B23" s="120">
        <v>2023</v>
      </c>
      <c r="C23" s="73" cm="1">
        <f t="array" ref="C23">IF(B23&gt;current_year,"",INDEX(Faucet_Aerators_h2o,B23-2006))</f>
        <v>0</v>
      </c>
      <c r="D23" s="127"/>
      <c r="E23" s="120">
        <v>2023</v>
      </c>
      <c r="F23" s="141">
        <f t="shared" si="8"/>
        <v>0</v>
      </c>
      <c r="G23" s="127"/>
      <c r="H23" s="120">
        <v>2023</v>
      </c>
      <c r="I23" s="53" t="e">
        <f>IF($C23="","",(C23*perc_hot_water_faucet_2023)*(Houses_with_elec_23/Houses_with_plumbing_23)*kwh_per_gal_hot_water_2023)</f>
        <v>#VALUE!</v>
      </c>
      <c r="J23" s="127"/>
      <c r="K23" s="120">
        <v>2023</v>
      </c>
      <c r="L23" s="121">
        <f t="shared" si="1"/>
        <v>0</v>
      </c>
      <c r="M23" s="127"/>
      <c r="N23" s="120">
        <v>2023</v>
      </c>
      <c r="O23" s="123" t="e">
        <f>IF($C23="","",(C23*perc_hot_water_faucet_2023)*((Houses_with_plumbing_23-Houses_with_elec_23)/Houses_with_plumbing_23)*mcf_per_gal_hot_water_2023)</f>
        <v>#VALUE!</v>
      </c>
      <c r="P23" s="127"/>
      <c r="Q23" s="120">
        <v>2023</v>
      </c>
      <c r="R23" s="141" t="e">
        <f t="shared" si="9"/>
        <v>#VALUE!</v>
      </c>
      <c r="S23" s="127"/>
      <c r="T23" s="120">
        <v>2023</v>
      </c>
      <c r="U23" s="141" t="e">
        <f t="shared" si="10"/>
        <v>#VALUE!</v>
      </c>
      <c r="V23" s="127"/>
      <c r="W23" s="120">
        <v>2023</v>
      </c>
      <c r="X23" s="121" t="e">
        <f t="shared" si="12"/>
        <v>#VALUE!</v>
      </c>
      <c r="Y23" s="127"/>
      <c r="Z23" s="120">
        <v>2023</v>
      </c>
      <c r="AA23" s="121" t="e">
        <f t="shared" si="13"/>
        <v>#VALUE!</v>
      </c>
      <c r="AB23" s="127"/>
      <c r="AC23" s="120">
        <v>2023</v>
      </c>
      <c r="AD23" s="143" t="e">
        <f t="shared" si="11"/>
        <v>#VALUE!</v>
      </c>
      <c r="AE23" s="127"/>
      <c r="AF23" s="120">
        <v>2023</v>
      </c>
      <c r="AG23" s="121" t="e">
        <f>IF($C23="","",L23+AD23)</f>
        <v>#VALUE!</v>
      </c>
      <c r="AH23" s="127"/>
      <c r="AI23" s="127"/>
      <c r="AJ23" s="127"/>
      <c r="AK23" s="127"/>
      <c r="AL23" s="127"/>
      <c r="AM23" s="127"/>
      <c r="AN23" s="127"/>
      <c r="AO23" s="127"/>
      <c r="AP23" s="127"/>
      <c r="AQ23" s="127"/>
      <c r="AR23" s="127"/>
      <c r="AS23" s="127"/>
      <c r="AT23" s="127"/>
    </row>
    <row r="24" spans="1:46">
      <c r="A24" s="127"/>
      <c r="B24" s="120">
        <v>2024</v>
      </c>
      <c r="C24" s="73" cm="1">
        <f t="array" ref="C24">IF(B24&gt;current_year,"",INDEX(Faucet_Aerators_h2o,B24-2006))</f>
        <v>0</v>
      </c>
      <c r="D24" s="127"/>
      <c r="E24" s="120">
        <v>2024</v>
      </c>
      <c r="F24" s="141">
        <f t="shared" si="8"/>
        <v>0</v>
      </c>
      <c r="G24" s="127"/>
      <c r="H24" s="120">
        <v>2024</v>
      </c>
      <c r="I24" s="53" t="e">
        <f>IF($C24="","",(C24*perc_hot_water_faucet_2024)*(Houses_with_elec_24/Houses_with_plumbing_24)*kwh_per_gal_hot_water_2024)</f>
        <v>#VALUE!</v>
      </c>
      <c r="J24" s="127"/>
      <c r="K24" s="120">
        <v>2024</v>
      </c>
      <c r="L24" s="121">
        <f t="shared" si="1"/>
        <v>0</v>
      </c>
      <c r="M24" s="127"/>
      <c r="N24" s="120">
        <v>2024</v>
      </c>
      <c r="O24" s="123" t="e">
        <f>IF($C24="","",(C24*perc_hot_water_faucet_2024)*((Houses_with_plumbing_24-Houses_with_elec_24)/Houses_with_plumbing_24)*mcf_per_gal_hot_water_2024)</f>
        <v>#VALUE!</v>
      </c>
      <c r="P24" s="127"/>
      <c r="Q24" s="120">
        <v>2024</v>
      </c>
      <c r="R24" s="141" t="e">
        <f t="shared" si="9"/>
        <v>#VALUE!</v>
      </c>
      <c r="S24" s="127"/>
      <c r="T24" s="120">
        <v>2024</v>
      </c>
      <c r="U24" s="141" t="e">
        <f t="shared" si="10"/>
        <v>#VALUE!</v>
      </c>
      <c r="V24" s="127"/>
      <c r="W24" s="120">
        <v>2024</v>
      </c>
      <c r="X24" s="121" t="e">
        <f t="shared" si="12"/>
        <v>#VALUE!</v>
      </c>
      <c r="Y24" s="127"/>
      <c r="Z24" s="120">
        <v>2024</v>
      </c>
      <c r="AA24" s="121" t="e">
        <f t="shared" si="13"/>
        <v>#VALUE!</v>
      </c>
      <c r="AB24" s="127"/>
      <c r="AC24" s="120">
        <v>2024</v>
      </c>
      <c r="AD24" s="143" t="e">
        <f t="shared" si="11"/>
        <v>#VALUE!</v>
      </c>
      <c r="AE24" s="127"/>
      <c r="AF24" s="120">
        <v>2024</v>
      </c>
      <c r="AG24" s="121" t="e">
        <f t="shared" ref="AG24:AG30" si="14">IF($C24="","",L24+AD24)</f>
        <v>#VALUE!</v>
      </c>
      <c r="AH24" s="127"/>
      <c r="AI24" s="127"/>
      <c r="AJ24" s="127"/>
      <c r="AK24" s="127"/>
      <c r="AL24" s="127"/>
      <c r="AM24" s="127"/>
      <c r="AN24" s="127"/>
      <c r="AO24" s="127"/>
      <c r="AP24" s="127"/>
      <c r="AQ24" s="127"/>
      <c r="AR24" s="127"/>
      <c r="AS24" s="127"/>
      <c r="AT24" s="127"/>
    </row>
    <row r="25" spans="1:46">
      <c r="A25" s="127"/>
      <c r="B25" s="120">
        <v>2025</v>
      </c>
      <c r="C25" s="73" t="str" cm="1">
        <f t="array" ref="C25">IF(B25&gt;current_year,"",INDEX(Faucet_Aerators_h2o,B25-2006))</f>
        <v/>
      </c>
      <c r="D25" s="127"/>
      <c r="E25" s="120">
        <v>2025</v>
      </c>
      <c r="F25" s="141" t="str">
        <f t="shared" si="8"/>
        <v/>
      </c>
      <c r="G25" s="127"/>
      <c r="H25" s="120">
        <v>2025</v>
      </c>
      <c r="I25" s="53" t="str">
        <f>IF($C25="","",(C25*perc_hot_water_faucet_2025)*(Houses_with_elec_25/Houses_with_plumbing_25)*kwh_per_gal_hot_water_2025)</f>
        <v/>
      </c>
      <c r="J25" s="127"/>
      <c r="K25" s="120">
        <v>2025</v>
      </c>
      <c r="L25" s="121" t="str">
        <f t="shared" si="1"/>
        <v/>
      </c>
      <c r="M25" s="127"/>
      <c r="N25" s="120">
        <v>2025</v>
      </c>
      <c r="O25" s="123" t="str">
        <f>IF($C25="","",(C25*perc_hot_water_faucet_2025)*((Houses_with_plumbing_25-Houses_with_elec_25)/Houses_with_plumbing_25)*mcf_per_gal_hot_water_2025)</f>
        <v/>
      </c>
      <c r="P25" s="127"/>
      <c r="Q25" s="120">
        <v>2025</v>
      </c>
      <c r="R25" s="141" t="str">
        <f t="shared" si="9"/>
        <v/>
      </c>
      <c r="S25" s="127"/>
      <c r="T25" s="120">
        <v>2025</v>
      </c>
      <c r="U25" s="141" t="str">
        <f t="shared" si="10"/>
        <v/>
      </c>
      <c r="V25" s="127"/>
      <c r="W25" s="120">
        <v>2025</v>
      </c>
      <c r="X25" s="121" t="str">
        <f t="shared" si="12"/>
        <v/>
      </c>
      <c r="Y25" s="127"/>
      <c r="Z25" s="120">
        <v>2025</v>
      </c>
      <c r="AA25" s="121" t="str">
        <f t="shared" si="13"/>
        <v/>
      </c>
      <c r="AB25" s="127"/>
      <c r="AC25" s="120">
        <v>2025</v>
      </c>
      <c r="AD25" s="143" t="str">
        <f t="shared" si="11"/>
        <v/>
      </c>
      <c r="AE25" s="127"/>
      <c r="AF25" s="120">
        <v>2025</v>
      </c>
      <c r="AG25" s="121" t="str">
        <f t="shared" si="14"/>
        <v/>
      </c>
      <c r="AH25" s="127"/>
      <c r="AI25" s="127"/>
      <c r="AJ25" s="127"/>
      <c r="AK25" s="127"/>
      <c r="AL25" s="127"/>
      <c r="AM25" s="127"/>
      <c r="AN25" s="127"/>
      <c r="AO25" s="127"/>
      <c r="AP25" s="127"/>
      <c r="AQ25" s="127"/>
      <c r="AR25" s="127"/>
      <c r="AS25" s="127"/>
      <c r="AT25" s="127"/>
    </row>
    <row r="26" spans="1:46">
      <c r="A26" s="127"/>
      <c r="B26" s="120">
        <v>2026</v>
      </c>
      <c r="C26" s="73" t="str" cm="1">
        <f t="array" ref="C26">IF(B26&gt;current_year,"",INDEX(Faucet_Aerators_h2o,B26-2006))</f>
        <v/>
      </c>
      <c r="D26" s="127"/>
      <c r="E26" s="120">
        <v>2026</v>
      </c>
      <c r="F26" s="141" t="str">
        <f t="shared" si="8"/>
        <v/>
      </c>
      <c r="G26" s="127"/>
      <c r="H26" s="120">
        <v>2026</v>
      </c>
      <c r="I26" s="53" t="str">
        <f>IF($C26="","",(C26*perc_hot_water_faucet_2026)*(Houses_with_elec_26/Houses_with_plumbing_26)*kwh_per_gal_hot_water_2026)</f>
        <v/>
      </c>
      <c r="J26" s="127"/>
      <c r="K26" s="120">
        <v>2026</v>
      </c>
      <c r="L26" s="121" t="str">
        <f t="shared" si="1"/>
        <v/>
      </c>
      <c r="M26" s="127"/>
      <c r="N26" s="120">
        <v>2026</v>
      </c>
      <c r="O26" s="123" t="str">
        <f>IF($C26="","",(C26*perc_hot_water_faucet_2026)*((Houses_with_plumbing_26-Houses_with_elec_26)/Houses_with_plumbing_26)*mcf_per_gal_hot_water_2026)</f>
        <v/>
      </c>
      <c r="P26" s="127"/>
      <c r="Q26" s="120">
        <v>2026</v>
      </c>
      <c r="R26" s="141" t="str">
        <f t="shared" si="9"/>
        <v/>
      </c>
      <c r="S26" s="127"/>
      <c r="T26" s="120">
        <v>2026</v>
      </c>
      <c r="U26" s="141" t="str">
        <f t="shared" si="10"/>
        <v/>
      </c>
      <c r="V26" s="127"/>
      <c r="W26" s="120">
        <v>2026</v>
      </c>
      <c r="X26" s="121" t="str">
        <f t="shared" si="12"/>
        <v/>
      </c>
      <c r="Y26" s="127"/>
      <c r="Z26" s="120">
        <v>2026</v>
      </c>
      <c r="AA26" s="121" t="str">
        <f t="shared" si="13"/>
        <v/>
      </c>
      <c r="AB26" s="127"/>
      <c r="AC26" s="120">
        <v>2026</v>
      </c>
      <c r="AD26" s="143" t="str">
        <f t="shared" si="11"/>
        <v/>
      </c>
      <c r="AE26" s="127"/>
      <c r="AF26" s="120">
        <v>2026</v>
      </c>
      <c r="AG26" s="121" t="str">
        <f t="shared" si="14"/>
        <v/>
      </c>
      <c r="AH26" s="127"/>
      <c r="AI26" s="127"/>
      <c r="AJ26" s="127"/>
      <c r="AK26" s="127"/>
      <c r="AL26" s="127"/>
      <c r="AM26" s="127"/>
      <c r="AN26" s="127"/>
      <c r="AO26" s="127"/>
      <c r="AP26" s="127"/>
      <c r="AQ26" s="127"/>
      <c r="AR26" s="127"/>
      <c r="AS26" s="127"/>
      <c r="AT26" s="127"/>
    </row>
    <row r="27" spans="1:46">
      <c r="A27" s="127"/>
      <c r="B27" s="120">
        <v>2027</v>
      </c>
      <c r="C27" s="73" t="str" cm="1">
        <f t="array" ref="C27">IF(B27&gt;current_year,"",INDEX(Faucet_Aerators_h2o,B27-2006))</f>
        <v/>
      </c>
      <c r="D27" s="127"/>
      <c r="E27" s="120">
        <v>2027</v>
      </c>
      <c r="F27" s="141" t="str">
        <f t="shared" si="8"/>
        <v/>
      </c>
      <c r="G27" s="127"/>
      <c r="H27" s="120">
        <v>2027</v>
      </c>
      <c r="I27" s="53" t="str">
        <f>IF($C27="","",(C27*perc_hot_water_faucet_2027)*(Houses_with_elec_27/Houses_with_plumbing_27)*kwh_per_gal_hot_water_2027)</f>
        <v/>
      </c>
      <c r="J27" s="127"/>
      <c r="K27" s="120">
        <v>2027</v>
      </c>
      <c r="L27" s="121" t="str">
        <f t="shared" si="1"/>
        <v/>
      </c>
      <c r="M27" s="127"/>
      <c r="N27" s="120">
        <v>2027</v>
      </c>
      <c r="O27" s="123" t="str">
        <f>IF($C27="","",(C27*perc_hot_water_faucet_2027)*((Houses_with_plumbing_27-Houses_with_elec_27)/Houses_with_plumbing_27)*mcf_per_gal_hot_water_2027)</f>
        <v/>
      </c>
      <c r="P27" s="127"/>
      <c r="Q27" s="120">
        <v>2027</v>
      </c>
      <c r="R27" s="141" t="str">
        <f t="shared" si="9"/>
        <v/>
      </c>
      <c r="S27" s="127"/>
      <c r="T27" s="120">
        <v>2027</v>
      </c>
      <c r="U27" s="141" t="str">
        <f t="shared" si="10"/>
        <v/>
      </c>
      <c r="V27" s="127"/>
      <c r="W27" s="120">
        <v>2027</v>
      </c>
      <c r="X27" s="121" t="str">
        <f t="shared" si="12"/>
        <v/>
      </c>
      <c r="Y27" s="127"/>
      <c r="Z27" s="120">
        <v>2027</v>
      </c>
      <c r="AA27" s="121" t="str">
        <f t="shared" si="13"/>
        <v/>
      </c>
      <c r="AB27" s="127"/>
      <c r="AC27" s="120">
        <v>2027</v>
      </c>
      <c r="AD27" s="143" t="str">
        <f t="shared" si="11"/>
        <v/>
      </c>
      <c r="AE27" s="127"/>
      <c r="AF27" s="120">
        <v>2027</v>
      </c>
      <c r="AG27" s="121" t="str">
        <f t="shared" si="14"/>
        <v/>
      </c>
      <c r="AH27" s="127"/>
      <c r="AI27" s="127"/>
      <c r="AJ27" s="127"/>
      <c r="AK27" s="127"/>
      <c r="AL27" s="127"/>
      <c r="AM27" s="127"/>
      <c r="AN27" s="127"/>
      <c r="AO27" s="127"/>
      <c r="AP27" s="127"/>
      <c r="AQ27" s="127"/>
      <c r="AR27" s="127"/>
      <c r="AS27" s="127"/>
      <c r="AT27" s="127"/>
    </row>
    <row r="28" spans="1:46">
      <c r="A28" s="127"/>
      <c r="B28" s="120">
        <v>2028</v>
      </c>
      <c r="C28" s="73" t="str" cm="1">
        <f t="array" ref="C28">IF(B28&gt;current_year,"",INDEX(Faucet_Aerators_h2o,B28-2006))</f>
        <v/>
      </c>
      <c r="D28" s="127"/>
      <c r="E28" s="120">
        <v>2028</v>
      </c>
      <c r="F28" s="141" t="str">
        <f t="shared" si="8"/>
        <v/>
      </c>
      <c r="G28" s="127"/>
      <c r="H28" s="120">
        <v>2028</v>
      </c>
      <c r="I28" s="53" t="str">
        <f>IF($C28="","",(C28*perc_hot_water_faucet_2028)*(Houses_with_elec_28/Houses_with_plumbing_28)*kwh_per_gal_hot_water_2028)</f>
        <v/>
      </c>
      <c r="J28" s="127"/>
      <c r="K28" s="120">
        <v>2028</v>
      </c>
      <c r="L28" s="121" t="str">
        <f t="shared" si="1"/>
        <v/>
      </c>
      <c r="M28" s="127"/>
      <c r="N28" s="120">
        <v>2028</v>
      </c>
      <c r="O28" s="123" t="str">
        <f>IF($C28="","",(C28*perc_hot_water_faucet_2028)*((Houses_with_plumbing_28-Houses_with_elec_28)/Houses_with_plumbing_28)*mcf_per_gal_hot_water_2028)</f>
        <v/>
      </c>
      <c r="P28" s="127"/>
      <c r="Q28" s="120">
        <v>2028</v>
      </c>
      <c r="R28" s="141" t="str">
        <f t="shared" si="9"/>
        <v/>
      </c>
      <c r="S28" s="127"/>
      <c r="T28" s="120">
        <v>2028</v>
      </c>
      <c r="U28" s="141" t="str">
        <f t="shared" si="10"/>
        <v/>
      </c>
      <c r="V28" s="127"/>
      <c r="W28" s="120">
        <v>2028</v>
      </c>
      <c r="X28" s="121" t="str">
        <f t="shared" si="12"/>
        <v/>
      </c>
      <c r="Y28" s="127"/>
      <c r="Z28" s="120">
        <v>2028</v>
      </c>
      <c r="AA28" s="121" t="str">
        <f t="shared" si="13"/>
        <v/>
      </c>
      <c r="AB28" s="127"/>
      <c r="AC28" s="120">
        <v>2028</v>
      </c>
      <c r="AD28" s="143" t="str">
        <f t="shared" si="11"/>
        <v/>
      </c>
      <c r="AE28" s="127"/>
      <c r="AF28" s="120">
        <v>2028</v>
      </c>
      <c r="AG28" s="121" t="str">
        <f t="shared" si="14"/>
        <v/>
      </c>
      <c r="AH28" s="127"/>
      <c r="AI28" s="127"/>
      <c r="AJ28" s="127"/>
      <c r="AK28" s="127"/>
      <c r="AL28" s="127"/>
      <c r="AM28" s="127"/>
      <c r="AN28" s="127"/>
      <c r="AO28" s="127"/>
      <c r="AP28" s="127"/>
      <c r="AQ28" s="127"/>
      <c r="AR28" s="127"/>
      <c r="AS28" s="127"/>
      <c r="AT28" s="127"/>
    </row>
    <row r="29" spans="1:46">
      <c r="A29" s="127"/>
      <c r="B29" s="120">
        <v>2029</v>
      </c>
      <c r="C29" s="73" t="str" cm="1">
        <f t="array" ref="C29">IF(B29&gt;current_year,"",INDEX(Faucet_Aerators_h2o,B29-2006))</f>
        <v/>
      </c>
      <c r="D29" s="127"/>
      <c r="E29" s="120">
        <v>2029</v>
      </c>
      <c r="F29" s="141" t="str">
        <f t="shared" si="8"/>
        <v/>
      </c>
      <c r="G29" s="127"/>
      <c r="H29" s="120">
        <v>2029</v>
      </c>
      <c r="I29" s="53" t="str">
        <f>IF($C29="","",(C29*perc_hot_water_faucet_2029)*(Houses_with_elec_29/Houses_with_plumbing_29)*kwh_per_gal_hot_water_2029)</f>
        <v/>
      </c>
      <c r="J29" s="127"/>
      <c r="K29" s="120">
        <v>2029</v>
      </c>
      <c r="L29" s="121" t="str">
        <f t="shared" si="1"/>
        <v/>
      </c>
      <c r="M29" s="127"/>
      <c r="N29" s="120">
        <v>2029</v>
      </c>
      <c r="O29" s="123" t="str">
        <f>IF($C29="","",(C29*perc_hot_water_faucet_2029)*((Houses_with_plumbing_29-Houses_with_elec_29)/Houses_with_plumbing_29)*mcf_per_gal_hot_water_2029)</f>
        <v/>
      </c>
      <c r="P29" s="127"/>
      <c r="Q29" s="120">
        <v>2029</v>
      </c>
      <c r="R29" s="141" t="str">
        <f t="shared" si="9"/>
        <v/>
      </c>
      <c r="S29" s="127"/>
      <c r="T29" s="120">
        <v>2029</v>
      </c>
      <c r="U29" s="141" t="str">
        <f t="shared" si="10"/>
        <v/>
      </c>
      <c r="V29" s="127"/>
      <c r="W29" s="120">
        <v>2029</v>
      </c>
      <c r="X29" s="121" t="str">
        <f t="shared" si="12"/>
        <v/>
      </c>
      <c r="Y29" s="127"/>
      <c r="Z29" s="120">
        <v>2029</v>
      </c>
      <c r="AA29" s="121" t="str">
        <f t="shared" si="13"/>
        <v/>
      </c>
      <c r="AB29" s="127"/>
      <c r="AC29" s="120">
        <v>2029</v>
      </c>
      <c r="AD29" s="143" t="str">
        <f t="shared" si="11"/>
        <v/>
      </c>
      <c r="AE29" s="127"/>
      <c r="AF29" s="120">
        <v>2029</v>
      </c>
      <c r="AG29" s="121" t="str">
        <f t="shared" si="14"/>
        <v/>
      </c>
      <c r="AH29" s="127"/>
      <c r="AI29" s="127"/>
      <c r="AJ29" s="127"/>
      <c r="AK29" s="127"/>
      <c r="AL29" s="127"/>
      <c r="AM29" s="127"/>
      <c r="AN29" s="127"/>
      <c r="AO29" s="127"/>
      <c r="AP29" s="127"/>
      <c r="AQ29" s="127"/>
      <c r="AR29" s="127"/>
      <c r="AS29" s="127"/>
      <c r="AT29" s="127"/>
    </row>
    <row r="30" spans="1:46" ht="13.5" thickBot="1">
      <c r="A30" s="127"/>
      <c r="B30" s="120">
        <v>2030</v>
      </c>
      <c r="C30" s="73" t="str" cm="1">
        <f t="array" ref="C30">IF(B30&gt;current_year,"",INDEX(Faucet_Aerators_h2o,B30-2006))</f>
        <v/>
      </c>
      <c r="D30" s="127"/>
      <c r="E30" s="120">
        <v>2030</v>
      </c>
      <c r="F30" s="142" t="str">
        <f t="shared" si="8"/>
        <v/>
      </c>
      <c r="G30" s="127"/>
      <c r="H30" s="120">
        <v>2030</v>
      </c>
      <c r="I30" s="125" t="str">
        <f>IF($C30="","",(C30*perc_hot_water_faucet_2030)*(Houses_with_elec_30/Houses_with_plumbing_30)*kwh_per_gal_hot_water_2030)</f>
        <v/>
      </c>
      <c r="J30" s="127"/>
      <c r="K30" s="120">
        <v>2030</v>
      </c>
      <c r="L30" s="121" t="str">
        <f t="shared" si="1"/>
        <v/>
      </c>
      <c r="M30" s="127"/>
      <c r="N30" s="120">
        <v>2030</v>
      </c>
      <c r="O30" s="124" t="str">
        <f>IF($C30="","",(C30*perc_hot_water_faucet_2030)*((Houses_with_plumbing_30-Houses_with_elec_30)/Houses_with_plumbing_30)*mcf_per_gal_hot_water_2030)</f>
        <v/>
      </c>
      <c r="P30" s="127"/>
      <c r="Q30" s="120">
        <v>2030</v>
      </c>
      <c r="R30" s="142" t="str">
        <f t="shared" si="9"/>
        <v/>
      </c>
      <c r="S30" s="127"/>
      <c r="T30" s="120">
        <v>2030</v>
      </c>
      <c r="U30" s="142" t="str">
        <f t="shared" si="10"/>
        <v/>
      </c>
      <c r="V30" s="127"/>
      <c r="W30" s="120">
        <v>2030</v>
      </c>
      <c r="X30" s="121" t="str">
        <f t="shared" si="12"/>
        <v/>
      </c>
      <c r="Y30" s="127"/>
      <c r="Z30" s="120">
        <v>2030</v>
      </c>
      <c r="AA30" s="121" t="str">
        <f t="shared" si="13"/>
        <v/>
      </c>
      <c r="AB30" s="127"/>
      <c r="AC30" s="120">
        <v>2030</v>
      </c>
      <c r="AD30" s="144" t="str">
        <f t="shared" si="11"/>
        <v/>
      </c>
      <c r="AE30" s="127"/>
      <c r="AF30" s="120">
        <v>2030</v>
      </c>
      <c r="AG30" s="121" t="str">
        <f t="shared" si="14"/>
        <v/>
      </c>
      <c r="AH30" s="127"/>
      <c r="AI30" s="127"/>
      <c r="AJ30" s="127"/>
      <c r="AK30" s="127"/>
      <c r="AL30" s="127"/>
      <c r="AM30" s="127"/>
      <c r="AN30" s="127"/>
      <c r="AO30" s="127"/>
      <c r="AP30" s="127"/>
      <c r="AQ30" s="127"/>
      <c r="AR30" s="127"/>
      <c r="AS30" s="127"/>
      <c r="AT30" s="127"/>
    </row>
    <row r="31" spans="1:46">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row>
    <row r="32" spans="1:46">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7"/>
      <c r="AR32" s="127"/>
      <c r="AS32" s="127"/>
      <c r="AT32" s="127"/>
    </row>
    <row r="33" spans="1:46">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row>
    <row r="34" spans="1:46">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row>
    <row r="35" spans="1:46">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row>
    <row r="36" spans="1:46">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row>
    <row r="37" spans="1:46">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c r="AQ37" s="127"/>
      <c r="AR37" s="127"/>
      <c r="AS37" s="127"/>
      <c r="AT37" s="127"/>
    </row>
    <row r="38" spans="1:46">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row>
    <row r="39" spans="1:46">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7"/>
      <c r="AR39" s="127"/>
      <c r="AS39" s="127"/>
      <c r="AT39" s="127"/>
    </row>
    <row r="40" spans="1:46">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row>
    <row r="41" spans="1:46">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c r="AQ41" s="127"/>
      <c r="AR41" s="127"/>
      <c r="AS41" s="127"/>
      <c r="AT41" s="127"/>
    </row>
    <row r="42" spans="1:46">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row>
    <row r="43" spans="1:46">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row>
    <row r="44" spans="1:46">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127"/>
      <c r="AR44" s="127"/>
      <c r="AS44" s="127"/>
      <c r="AT44" s="127"/>
    </row>
    <row r="45" spans="1:46">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27"/>
    </row>
    <row r="46" spans="1:46">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row>
    <row r="47" spans="1:46">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row>
    <row r="48" spans="1:46">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27"/>
    </row>
    <row r="49" spans="1:46">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row>
    <row r="50" spans="1:46">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row>
    <row r="51" spans="1:46">
      <c r="D51" s="118"/>
      <c r="H51" s="118"/>
      <c r="AE51" s="127"/>
      <c r="AF51" s="127"/>
      <c r="AG51" s="127"/>
    </row>
    <row r="52" spans="1:46">
      <c r="D52" s="118"/>
      <c r="H52" s="118"/>
      <c r="AE52" s="127"/>
      <c r="AF52" s="127"/>
      <c r="AG52" s="127"/>
    </row>
    <row r="53" spans="1:46">
      <c r="AE53" s="127"/>
      <c r="AF53" s="127"/>
      <c r="AG53" s="127"/>
    </row>
    <row r="54" spans="1:46" ht="13.5" customHeight="1">
      <c r="AE54" s="127"/>
      <c r="AF54" s="127"/>
      <c r="AG54" s="127"/>
    </row>
    <row r="55" spans="1:46">
      <c r="AE55" s="127"/>
      <c r="AF55" s="127"/>
      <c r="AG55" s="127"/>
    </row>
    <row r="56" spans="1:46">
      <c r="AE56" s="127"/>
      <c r="AF56" s="127"/>
      <c r="AG56" s="127"/>
    </row>
    <row r="57" spans="1:46">
      <c r="AE57" s="127"/>
      <c r="AF57" s="127"/>
      <c r="AG57" s="127"/>
    </row>
    <row r="58" spans="1:46">
      <c r="AE58" s="127"/>
      <c r="AF58" s="127"/>
      <c r="AG58" s="127"/>
    </row>
    <row r="59" spans="1:46">
      <c r="AE59" s="127"/>
      <c r="AF59" s="127"/>
      <c r="AG59" s="127"/>
    </row>
    <row r="60" spans="1:46">
      <c r="AE60" s="127"/>
      <c r="AF60" s="127"/>
      <c r="AG60" s="127"/>
    </row>
    <row r="61" spans="1:46">
      <c r="AE61" s="127"/>
      <c r="AF61" s="127"/>
      <c r="AG61" s="127"/>
    </row>
    <row r="62" spans="1:46">
      <c r="AE62" s="127"/>
      <c r="AF62" s="127"/>
      <c r="AG62" s="127"/>
    </row>
    <row r="63" spans="1:46">
      <c r="AE63" s="127"/>
      <c r="AF63" s="127"/>
      <c r="AG63" s="127"/>
    </row>
    <row r="64" spans="1:46">
      <c r="AE64" s="127"/>
      <c r="AF64" s="127"/>
      <c r="AG64" s="127"/>
    </row>
    <row r="65" spans="9:33">
      <c r="AE65" s="127"/>
      <c r="AF65" s="127"/>
      <c r="AG65" s="127"/>
    </row>
    <row r="66" spans="9:33">
      <c r="AE66" s="127"/>
      <c r="AF66" s="127"/>
      <c r="AG66" s="127"/>
    </row>
    <row r="67" spans="9:33">
      <c r="I67" s="118"/>
      <c r="AE67" s="127"/>
      <c r="AF67" s="127"/>
      <c r="AG67" s="127"/>
    </row>
    <row r="68" spans="9:33">
      <c r="AE68" s="127"/>
      <c r="AF68" s="127"/>
      <c r="AG68" s="127"/>
    </row>
    <row r="69" spans="9:33">
      <c r="AE69" s="127"/>
      <c r="AF69" s="127"/>
      <c r="AG69" s="127"/>
    </row>
    <row r="70" spans="9:33">
      <c r="AE70" s="127"/>
      <c r="AF70" s="127"/>
      <c r="AG70" s="127"/>
    </row>
    <row r="71" spans="9:33">
      <c r="AE71" s="127"/>
      <c r="AF71" s="127"/>
      <c r="AG71" s="127"/>
    </row>
    <row r="72" spans="9:33">
      <c r="AE72" s="127"/>
      <c r="AF72" s="127"/>
      <c r="AG72" s="127"/>
    </row>
    <row r="73" spans="9:33">
      <c r="AE73" s="127"/>
      <c r="AF73" s="127"/>
      <c r="AG73" s="127"/>
    </row>
    <row r="74" spans="9:33">
      <c r="AE74" s="127"/>
      <c r="AF74" s="127"/>
      <c r="AG74" s="127"/>
    </row>
    <row r="75" spans="9:33">
      <c r="AE75" s="127"/>
      <c r="AF75" s="127"/>
      <c r="AG75" s="127"/>
    </row>
    <row r="76" spans="9:33">
      <c r="AE76" s="127"/>
      <c r="AF76" s="127"/>
      <c r="AG76" s="127"/>
    </row>
    <row r="77" spans="9:33">
      <c r="AE77" s="127"/>
      <c r="AF77" s="127"/>
      <c r="AG77" s="127"/>
    </row>
    <row r="78" spans="9:33">
      <c r="AE78" s="127"/>
      <c r="AF78" s="127"/>
      <c r="AG78" s="127"/>
    </row>
    <row r="79" spans="9:33">
      <c r="AE79" s="127"/>
      <c r="AF79" s="127"/>
      <c r="AG79" s="127"/>
    </row>
    <row r="80" spans="9:33">
      <c r="AE80" s="127"/>
      <c r="AF80" s="127"/>
      <c r="AG80" s="127"/>
    </row>
    <row r="81" spans="31:33">
      <c r="AE81" s="127"/>
      <c r="AF81" s="127"/>
      <c r="AG81" s="127"/>
    </row>
    <row r="82" spans="31:33">
      <c r="AE82" s="127"/>
      <c r="AF82" s="127"/>
      <c r="AG82" s="127"/>
    </row>
    <row r="83" spans="31:33">
      <c r="AE83" s="127"/>
      <c r="AF83" s="127"/>
      <c r="AG83" s="127"/>
    </row>
    <row r="84" spans="31:33">
      <c r="AE84" s="127"/>
      <c r="AF84" s="127"/>
      <c r="AG84" s="127"/>
    </row>
    <row r="85" spans="31:33">
      <c r="AE85" s="127"/>
      <c r="AF85" s="127"/>
      <c r="AG85" s="127"/>
    </row>
    <row r="86" spans="31:33">
      <c r="AE86" s="127"/>
      <c r="AF86" s="127"/>
      <c r="AG86" s="127"/>
    </row>
    <row r="87" spans="31:33">
      <c r="AE87" s="127"/>
      <c r="AF87" s="127"/>
      <c r="AG87" s="127"/>
    </row>
    <row r="88" spans="31:33">
      <c r="AE88" s="127"/>
      <c r="AF88" s="127"/>
      <c r="AG88" s="127"/>
    </row>
    <row r="89" spans="31:33">
      <c r="AE89" s="127"/>
      <c r="AF89" s="127"/>
      <c r="AG89" s="127"/>
    </row>
    <row r="90" spans="31:33">
      <c r="AE90" s="127"/>
      <c r="AF90" s="127"/>
      <c r="AG90" s="127"/>
    </row>
    <row r="91" spans="31:33">
      <c r="AE91" s="127"/>
      <c r="AF91" s="127"/>
      <c r="AG91" s="127"/>
    </row>
    <row r="92" spans="31:33">
      <c r="AE92" s="127"/>
      <c r="AF92" s="127"/>
      <c r="AG92" s="127"/>
    </row>
    <row r="93" spans="31:33">
      <c r="AE93" s="127"/>
      <c r="AF93" s="127"/>
      <c r="AG93" s="127"/>
    </row>
    <row r="94" spans="31:33">
      <c r="AE94" s="127"/>
      <c r="AF94" s="127"/>
      <c r="AG94" s="127"/>
    </row>
    <row r="95" spans="31:33">
      <c r="AE95" s="127"/>
      <c r="AF95" s="127"/>
      <c r="AG95" s="127"/>
    </row>
    <row r="96" spans="31:33">
      <c r="AE96" s="127"/>
      <c r="AF96" s="127"/>
      <c r="AG96" s="127"/>
    </row>
    <row r="97" spans="31:33">
      <c r="AE97" s="127"/>
      <c r="AF97" s="127"/>
      <c r="AG97" s="127"/>
    </row>
    <row r="98" spans="31:33">
      <c r="AE98" s="127"/>
      <c r="AF98" s="127"/>
      <c r="AG98" s="127"/>
    </row>
    <row r="99" spans="31:33">
      <c r="AE99" s="127"/>
      <c r="AF99" s="127"/>
      <c r="AG99" s="127"/>
    </row>
    <row r="100" spans="31:33">
      <c r="AE100" s="127"/>
      <c r="AF100" s="127"/>
      <c r="AG100" s="127"/>
    </row>
  </sheetData>
  <phoneticPr fontId="43" type="noConversion"/>
  <pageMargins left="0.75" right="0.75" top="1" bottom="1" header="0.5" footer="0.5"/>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7" tint="0.39997558519241921"/>
  </sheetPr>
  <dimension ref="A1:AT100"/>
  <sheetViews>
    <sheetView topLeftCell="O1" zoomScaleNormal="100" workbookViewId="0">
      <selection activeCell="B39" sqref="B39"/>
    </sheetView>
  </sheetViews>
  <sheetFormatPr defaultColWidth="8.85546875" defaultRowHeight="12.75"/>
  <cols>
    <col min="2" max="2" width="5.140625" bestFit="1" customWidth="1"/>
    <col min="3" max="3" width="25.85546875" customWidth="1"/>
    <col min="4" max="4" width="4" customWidth="1"/>
    <col min="5" max="5" width="5.140625" bestFit="1" customWidth="1"/>
    <col min="6" max="6" width="25.85546875" customWidth="1"/>
    <col min="7" max="7" width="4.140625" customWidth="1"/>
    <col min="8" max="8" width="5.140625" bestFit="1" customWidth="1"/>
    <col min="9" max="9" width="25.85546875" customWidth="1"/>
    <col min="10" max="10" width="4.140625" customWidth="1"/>
    <col min="11" max="11" width="4.85546875" bestFit="1" customWidth="1"/>
    <col min="12" max="12" width="27" customWidth="1"/>
    <col min="13" max="13" width="4.140625" customWidth="1"/>
    <col min="14" max="14" width="5.140625" bestFit="1" customWidth="1"/>
    <col min="15" max="15" width="25.85546875" customWidth="1"/>
    <col min="16" max="16" width="3.140625" customWidth="1"/>
    <col min="17" max="17" width="5.140625" bestFit="1" customWidth="1"/>
    <col min="18" max="18" width="25.85546875" customWidth="1"/>
    <col min="19" max="19" width="3.140625" customWidth="1"/>
    <col min="20" max="20" width="5.140625" bestFit="1" customWidth="1"/>
    <col min="21" max="21" width="25.85546875" customWidth="1"/>
    <col min="22" max="22" width="3.140625" customWidth="1"/>
    <col min="23" max="23" width="5.140625" bestFit="1" customWidth="1"/>
    <col min="24" max="24" width="25.85546875" customWidth="1"/>
    <col min="25" max="25" width="3.140625" customWidth="1"/>
    <col min="26" max="26" width="5.140625" bestFit="1" customWidth="1"/>
    <col min="27" max="27" width="25.85546875" customWidth="1"/>
    <col min="28" max="28" width="3.85546875" customWidth="1"/>
    <col min="29" max="29" width="5.140625" bestFit="1" customWidth="1"/>
    <col min="30" max="30" width="25.85546875" customWidth="1"/>
    <col min="31" max="31" width="3.140625" customWidth="1"/>
    <col min="32" max="32" width="5.140625" bestFit="1" customWidth="1"/>
    <col min="33" max="33" width="25.85546875" customWidth="1"/>
  </cols>
  <sheetData>
    <row r="1" spans="1:46">
      <c r="A1" s="127"/>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row>
    <row r="2" spans="1:46">
      <c r="A2" s="127"/>
      <c r="B2" s="18"/>
      <c r="C2" s="68" t="s">
        <v>195</v>
      </c>
      <c r="D2" s="127"/>
      <c r="E2" s="18"/>
      <c r="F2" s="68" t="s">
        <v>236</v>
      </c>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row>
    <row r="3" spans="1:46">
      <c r="A3" s="127"/>
      <c r="B3" s="18"/>
      <c r="C3" s="18"/>
      <c r="D3" s="127"/>
      <c r="E3" s="18"/>
      <c r="F3" s="18"/>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row>
    <row r="4" spans="1:46" s="4" customFormat="1" ht="51.75" thickBot="1">
      <c r="A4" s="128"/>
      <c r="B4" s="112"/>
      <c r="C4" s="112"/>
      <c r="D4" s="129"/>
      <c r="E4" s="112"/>
      <c r="F4" s="71" t="s">
        <v>237</v>
      </c>
      <c r="G4" s="128"/>
      <c r="H4" s="112"/>
      <c r="I4" s="61" t="s">
        <v>241</v>
      </c>
      <c r="J4" s="129"/>
      <c r="K4" s="112"/>
      <c r="L4" s="61" t="s">
        <v>239</v>
      </c>
      <c r="M4" s="129"/>
      <c r="N4" s="112"/>
      <c r="O4" s="71" t="s">
        <v>242</v>
      </c>
      <c r="P4" s="128"/>
      <c r="Q4" s="112"/>
      <c r="R4" s="61" t="s">
        <v>243</v>
      </c>
      <c r="S4" s="128"/>
      <c r="T4" s="61"/>
      <c r="U4" s="61" t="s">
        <v>244</v>
      </c>
      <c r="V4" s="128"/>
      <c r="W4" s="112"/>
      <c r="X4" s="61" t="s">
        <v>245</v>
      </c>
      <c r="Y4" s="128"/>
      <c r="Z4" s="112"/>
      <c r="AA4" s="61" t="s">
        <v>246</v>
      </c>
      <c r="AB4" s="128"/>
      <c r="AC4" s="112"/>
      <c r="AD4" s="61" t="s">
        <v>247</v>
      </c>
      <c r="AE4" s="127"/>
      <c r="AF4" s="112"/>
      <c r="AG4" s="61" t="s">
        <v>248</v>
      </c>
      <c r="AH4" s="128"/>
      <c r="AI4" s="128"/>
      <c r="AJ4" s="128"/>
      <c r="AK4" s="128"/>
      <c r="AL4" s="128"/>
      <c r="AM4" s="128"/>
      <c r="AN4" s="128"/>
      <c r="AO4" s="128"/>
      <c r="AP4" s="128"/>
      <c r="AQ4" s="128"/>
      <c r="AR4" s="128"/>
      <c r="AS4" s="128"/>
      <c r="AT4" s="128"/>
    </row>
    <row r="5" spans="1:46" s="4" customFormat="1" ht="64.5" thickBot="1">
      <c r="A5" s="128"/>
      <c r="B5" s="61"/>
      <c r="C5" s="71" t="s">
        <v>249</v>
      </c>
      <c r="D5" s="130"/>
      <c r="E5" s="112"/>
      <c r="F5" s="50" t="s">
        <v>210</v>
      </c>
      <c r="G5" s="128"/>
      <c r="H5" s="112"/>
      <c r="I5" s="50" t="s">
        <v>210</v>
      </c>
      <c r="J5" s="129"/>
      <c r="K5" s="126"/>
      <c r="L5" s="50" t="str">
        <f>"USD ($" &amp;current_year &amp; ")"</f>
        <v>USD ($2024)</v>
      </c>
      <c r="M5" s="129"/>
      <c r="N5" s="112"/>
      <c r="O5" s="133" t="s">
        <v>211</v>
      </c>
      <c r="P5" s="128"/>
      <c r="Q5" s="126"/>
      <c r="R5" s="50" t="s">
        <v>212</v>
      </c>
      <c r="S5" s="128"/>
      <c r="T5" s="126"/>
      <c r="U5" s="50" t="s">
        <v>213</v>
      </c>
      <c r="V5" s="128"/>
      <c r="W5" s="126"/>
      <c r="X5" s="50" t="str">
        <f>"USD ($" &amp;current_year &amp; ")"</f>
        <v>USD ($2024)</v>
      </c>
      <c r="Y5" s="128"/>
      <c r="Z5" s="126"/>
      <c r="AA5" s="50" t="str">
        <f>"USD ($" &amp;current_year &amp; ")"</f>
        <v>USD ($2024)</v>
      </c>
      <c r="AB5" s="128"/>
      <c r="AC5" s="126"/>
      <c r="AD5" s="50" t="str">
        <f>"USD ($" &amp;current_year &amp; ")"</f>
        <v>USD ($2024)</v>
      </c>
      <c r="AE5" s="128"/>
      <c r="AF5" s="126"/>
      <c r="AG5" s="50" t="str">
        <f>"USD ($" &amp;current_year &amp; ")"</f>
        <v>USD ($2024)</v>
      </c>
      <c r="AH5" s="128"/>
      <c r="AI5" s="128"/>
      <c r="AJ5" s="128"/>
      <c r="AK5" s="128"/>
      <c r="AL5" s="128"/>
      <c r="AM5" s="128"/>
      <c r="AN5" s="128"/>
      <c r="AO5" s="128"/>
      <c r="AP5" s="128"/>
      <c r="AQ5" s="128"/>
      <c r="AR5" s="128"/>
      <c r="AS5" s="128"/>
      <c r="AT5" s="128"/>
    </row>
    <row r="6" spans="1:46">
      <c r="A6" s="127"/>
      <c r="B6" s="120" t="s">
        <v>11</v>
      </c>
      <c r="C6" s="50" t="s">
        <v>15</v>
      </c>
      <c r="D6" s="127"/>
      <c r="E6" s="120" t="s">
        <v>11</v>
      </c>
      <c r="F6" s="52" t="s">
        <v>15</v>
      </c>
      <c r="G6" s="127"/>
      <c r="H6" s="120" t="s">
        <v>11</v>
      </c>
      <c r="I6" s="52" t="s">
        <v>15</v>
      </c>
      <c r="J6" s="129"/>
      <c r="K6" s="120" t="s">
        <v>11</v>
      </c>
      <c r="L6" s="75" t="s">
        <v>15</v>
      </c>
      <c r="M6" s="129"/>
      <c r="N6" s="120" t="s">
        <v>11</v>
      </c>
      <c r="O6" s="134" t="s">
        <v>253</v>
      </c>
      <c r="P6" s="127"/>
      <c r="Q6" s="120" t="s">
        <v>11</v>
      </c>
      <c r="R6" s="75" t="s">
        <v>15</v>
      </c>
      <c r="S6" s="127"/>
      <c r="T6" s="120" t="s">
        <v>11</v>
      </c>
      <c r="U6" s="75" t="s">
        <v>15</v>
      </c>
      <c r="V6" s="127"/>
      <c r="W6" s="120" t="s">
        <v>11</v>
      </c>
      <c r="X6" s="75" t="s">
        <v>15</v>
      </c>
      <c r="Y6" s="127"/>
      <c r="Z6" s="120" t="s">
        <v>11</v>
      </c>
      <c r="AA6" s="75" t="s">
        <v>15</v>
      </c>
      <c r="AB6" s="127"/>
      <c r="AC6" s="120" t="s">
        <v>11</v>
      </c>
      <c r="AD6" s="75" t="s">
        <v>15</v>
      </c>
      <c r="AE6" s="127"/>
      <c r="AF6" s="67" t="s">
        <v>11</v>
      </c>
      <c r="AG6" s="75" t="s">
        <v>15</v>
      </c>
      <c r="AH6" s="127"/>
      <c r="AI6" s="127"/>
      <c r="AJ6" s="127"/>
      <c r="AK6" s="127"/>
      <c r="AL6" s="127"/>
      <c r="AM6" s="127"/>
      <c r="AN6" s="127"/>
      <c r="AO6" s="127"/>
      <c r="AP6" s="127"/>
      <c r="AQ6" s="127"/>
      <c r="AR6" s="127"/>
      <c r="AS6" s="127"/>
      <c r="AT6" s="127"/>
    </row>
    <row r="7" spans="1:46">
      <c r="A7" s="127"/>
      <c r="B7" s="120">
        <v>2007</v>
      </c>
      <c r="C7" s="51" cm="1">
        <f t="array" ref="C7">IF(B7&gt;current_year,"",INDEX(Showerheads_h2o,B7-2006))</f>
        <v>0</v>
      </c>
      <c r="D7" s="127"/>
      <c r="E7" s="120">
        <v>2007</v>
      </c>
      <c r="F7" s="135">
        <f t="shared" ref="F7:F17" si="0">C7*(kwh_per_gal_drnk_water+kwh_per_gal_waste_water)</f>
        <v>0</v>
      </c>
      <c r="G7" s="127"/>
      <c r="H7" s="120">
        <v>2007</v>
      </c>
      <c r="I7" s="53" t="e">
        <f>(C7*perc_hot_water_shower_2007)*(Houses_with_elec_07/Houses_with_plumbing_07)*kwh_per_gal_hot_water_2007</f>
        <v>#VALUE!</v>
      </c>
      <c r="J7" s="129"/>
      <c r="K7" s="1">
        <v>2007</v>
      </c>
      <c r="L7" s="121">
        <f t="shared" ref="L7:L30" si="1">IF(C7="","",SUM(C7*10^-3*INDEX(water_res,W7-2006)*IF(K7&lt;current_year,INDEX(GDP,current_year-2006)/INDEX(GDP,W7-2006),1)))</f>
        <v>0</v>
      </c>
      <c r="M7" s="129"/>
      <c r="N7" s="120">
        <v>2007</v>
      </c>
      <c r="O7" s="123" t="e">
        <f>(C7*perc_hot_water_shower_2007)*((Houses_with_plumbing_07-Houses_with_elec_07)/Houses_with_plumbing_07)*mcf_per_gal_hot_water_2007</f>
        <v>#VALUE!</v>
      </c>
      <c r="P7" s="127"/>
      <c r="Q7" s="1">
        <v>2007</v>
      </c>
      <c r="R7" s="78" t="e">
        <f t="shared" ref="R7:R17" si="2">F7+I7+(O7*kwh_per_therm*therms_per_mcf)</f>
        <v>#VALUE!</v>
      </c>
      <c r="S7" s="127"/>
      <c r="T7" s="1">
        <v>2007</v>
      </c>
      <c r="U7" s="78" t="e">
        <f t="shared" ref="U7:U17" si="3">((I7+F7)*tons_co2_per_kwh)+(O7*tons_co2_per_therm*therms_per_mcf)</f>
        <v>#VALUE!</v>
      </c>
      <c r="V7" s="127"/>
      <c r="W7" s="1">
        <v>2007</v>
      </c>
      <c r="X7" s="121" t="e">
        <f>SUM(I7*cost_per_kwh_07)</f>
        <v>#VALUE!</v>
      </c>
      <c r="Y7" s="127"/>
      <c r="Z7" s="1">
        <v>2007</v>
      </c>
      <c r="AA7" s="121">
        <v>0</v>
      </c>
      <c r="AB7" s="127"/>
      <c r="AC7" s="1">
        <v>2007</v>
      </c>
      <c r="AD7" s="121" t="e">
        <f t="shared" ref="AD7:AD17" si="4">SUM(X7+AA7)</f>
        <v>#VALUE!</v>
      </c>
      <c r="AE7" s="127"/>
      <c r="AF7" s="1">
        <v>2007</v>
      </c>
      <c r="AG7" s="121" t="e">
        <f t="shared" ref="AG7:AG22" si="5">IF($C7="","",L7+AD7)</f>
        <v>#VALUE!</v>
      </c>
      <c r="AH7" s="127"/>
      <c r="AI7" s="127"/>
      <c r="AJ7" s="127"/>
      <c r="AK7" s="127"/>
      <c r="AL7" s="127"/>
      <c r="AM7" s="127"/>
      <c r="AN7" s="127"/>
      <c r="AO7" s="127"/>
      <c r="AP7" s="127"/>
      <c r="AQ7" s="127"/>
      <c r="AR7" s="127"/>
      <c r="AS7" s="127"/>
      <c r="AT7" s="127"/>
    </row>
    <row r="8" spans="1:46">
      <c r="A8" s="127"/>
      <c r="B8" s="120">
        <v>2008</v>
      </c>
      <c r="C8" s="51" cm="1">
        <f t="array" ref="C8">IF(B8&gt;current_year,"",INDEX(Showerheads_h2o,B8-2006))</f>
        <v>0</v>
      </c>
      <c r="D8" s="127"/>
      <c r="E8" s="117">
        <v>2008</v>
      </c>
      <c r="F8" s="135">
        <f t="shared" si="0"/>
        <v>0</v>
      </c>
      <c r="G8" s="127"/>
      <c r="H8" s="117">
        <v>2008</v>
      </c>
      <c r="I8" s="53" t="e">
        <f>(C8*perc_hot_water_shower_2008)*(Houses_with_elec_08/Houses_with_plumbing_08)*kwh_per_gal_hot_water_2008</f>
        <v>#VALUE!</v>
      </c>
      <c r="J8" s="129"/>
      <c r="K8" s="1">
        <v>2008</v>
      </c>
      <c r="L8" s="121">
        <f t="shared" si="1"/>
        <v>0</v>
      </c>
      <c r="M8" s="129"/>
      <c r="N8" s="117">
        <v>2008</v>
      </c>
      <c r="O8" s="123" t="e">
        <f>(C8*perc_hot_water_shower_2008)*((Houses_with_plumbing_08-Houses_with_elec_08)/Houses_with_plumbing_08)*mcf_per_gal_hot_water_2008</f>
        <v>#VALUE!</v>
      </c>
      <c r="P8" s="127"/>
      <c r="Q8" s="1">
        <v>2008</v>
      </c>
      <c r="R8" s="78" t="e">
        <f t="shared" si="2"/>
        <v>#VALUE!</v>
      </c>
      <c r="S8" s="127"/>
      <c r="T8" s="1">
        <v>2008</v>
      </c>
      <c r="U8" s="78" t="e">
        <f t="shared" si="3"/>
        <v>#VALUE!</v>
      </c>
      <c r="V8" s="127"/>
      <c r="W8" s="1">
        <v>2008</v>
      </c>
      <c r="X8" s="121" t="e">
        <f t="shared" ref="X8:X19" si="6">SUM(I8*INDEX(Elec_res,W8-2006))*IF(W8&lt;current_year, INDEX(GDP,current_year-2007)/INDEX(GDP,W8-2007),1)</f>
        <v>#VALUE!</v>
      </c>
      <c r="Y8" s="127"/>
      <c r="Z8" s="1">
        <v>2008</v>
      </c>
      <c r="AA8" s="121" t="e">
        <f t="shared" ref="AA8:AA19" si="7">SUM(O8*INDEX(Gas_res,Z8-2006))*IF(Z8&lt;current_year, INDEX(GDP,current_year-2007)/INDEX(GDP,Z8-2007),1)</f>
        <v>#VALUE!</v>
      </c>
      <c r="AB8" s="127"/>
      <c r="AC8" s="1">
        <v>2008</v>
      </c>
      <c r="AD8" s="121" t="e">
        <f t="shared" si="4"/>
        <v>#VALUE!</v>
      </c>
      <c r="AE8" s="127"/>
      <c r="AF8" s="1">
        <v>2008</v>
      </c>
      <c r="AG8" s="121" t="e">
        <f t="shared" si="5"/>
        <v>#VALUE!</v>
      </c>
      <c r="AH8" s="127"/>
      <c r="AI8" s="127"/>
      <c r="AJ8" s="127"/>
      <c r="AK8" s="127"/>
      <c r="AL8" s="127"/>
      <c r="AM8" s="127"/>
      <c r="AN8" s="127"/>
      <c r="AO8" s="127"/>
      <c r="AP8" s="127"/>
      <c r="AQ8" s="127"/>
      <c r="AR8" s="127"/>
      <c r="AS8" s="127"/>
      <c r="AT8" s="127"/>
    </row>
    <row r="9" spans="1:46">
      <c r="A9" s="127"/>
      <c r="B9" s="117">
        <v>2009</v>
      </c>
      <c r="C9" s="51" cm="1">
        <f t="array" ref="C9">IF(B9&gt;current_year,"",INDEX(Showerheads_h2o,B9-2006))</f>
        <v>0</v>
      </c>
      <c r="D9" s="127"/>
      <c r="E9" s="117">
        <v>2009</v>
      </c>
      <c r="F9" s="135">
        <f t="shared" si="0"/>
        <v>0</v>
      </c>
      <c r="G9" s="127"/>
      <c r="H9" s="117">
        <v>2009</v>
      </c>
      <c r="I9" s="53" t="e">
        <f>(C9*perc_hot_water_shower_2009)*(Houses_with_elec_09/Houses_with_plumbing_09)*kwh_per_gal_hot_water_2009</f>
        <v>#VALUE!</v>
      </c>
      <c r="J9" s="129"/>
      <c r="K9" s="1">
        <v>2009</v>
      </c>
      <c r="L9" s="121">
        <f t="shared" si="1"/>
        <v>0</v>
      </c>
      <c r="M9" s="129"/>
      <c r="N9" s="117">
        <v>2009</v>
      </c>
      <c r="O9" s="123" t="e">
        <f>(C9*perc_hot_water_shower_2009)*((Houses_with_plumbing_09-Houses_with_elec_09)/Houses_with_plumbing_09)*mcf_per_gal_hot_water_2009</f>
        <v>#VALUE!</v>
      </c>
      <c r="P9" s="127"/>
      <c r="Q9" s="1">
        <v>2009</v>
      </c>
      <c r="R9" s="78" t="e">
        <f t="shared" si="2"/>
        <v>#VALUE!</v>
      </c>
      <c r="S9" s="127"/>
      <c r="T9" s="1">
        <v>2009</v>
      </c>
      <c r="U9" s="78" t="e">
        <f t="shared" si="3"/>
        <v>#VALUE!</v>
      </c>
      <c r="V9" s="127"/>
      <c r="W9" s="1">
        <v>2009</v>
      </c>
      <c r="X9" s="121" t="e">
        <f t="shared" si="6"/>
        <v>#VALUE!</v>
      </c>
      <c r="Y9" s="127"/>
      <c r="Z9" s="1">
        <v>2009</v>
      </c>
      <c r="AA9" s="121" t="e">
        <f t="shared" si="7"/>
        <v>#VALUE!</v>
      </c>
      <c r="AB9" s="127"/>
      <c r="AC9" s="1">
        <v>2009</v>
      </c>
      <c r="AD9" s="121" t="e">
        <f t="shared" si="4"/>
        <v>#VALUE!</v>
      </c>
      <c r="AE9" s="127"/>
      <c r="AF9" s="1">
        <v>2009</v>
      </c>
      <c r="AG9" s="121" t="e">
        <f t="shared" si="5"/>
        <v>#VALUE!</v>
      </c>
      <c r="AH9" s="127"/>
      <c r="AI9" s="127"/>
      <c r="AJ9" s="127"/>
      <c r="AK9" s="127"/>
      <c r="AL9" s="127"/>
      <c r="AM9" s="127"/>
      <c r="AN9" s="127"/>
      <c r="AO9" s="127"/>
      <c r="AP9" s="127"/>
      <c r="AQ9" s="127"/>
      <c r="AR9" s="127"/>
      <c r="AS9" s="127"/>
      <c r="AT9" s="127"/>
    </row>
    <row r="10" spans="1:46">
      <c r="A10" s="127"/>
      <c r="B10" s="117">
        <v>2010</v>
      </c>
      <c r="C10" s="51" cm="1">
        <f t="array" ref="C10">IF(B10&gt;current_year,"",INDEX(Showerheads_h2o,B10-2006))</f>
        <v>0</v>
      </c>
      <c r="D10" s="127"/>
      <c r="E10" s="117">
        <v>2010</v>
      </c>
      <c r="F10" s="135">
        <f t="shared" si="0"/>
        <v>0</v>
      </c>
      <c r="G10" s="127"/>
      <c r="H10" s="117">
        <v>2010</v>
      </c>
      <c r="I10" s="53" t="e">
        <f>(C10*perc_hot_water_shower_2010)*(Houses_with_elec_10/Houses_with_plumbing_10)*kwh_per_gal_hot_water_2010</f>
        <v>#VALUE!</v>
      </c>
      <c r="J10" s="129"/>
      <c r="K10" s="1">
        <v>2010</v>
      </c>
      <c r="L10" s="121">
        <f t="shared" si="1"/>
        <v>0</v>
      </c>
      <c r="M10" s="129"/>
      <c r="N10" s="117">
        <v>2010</v>
      </c>
      <c r="O10" s="123" t="e">
        <f>(C10*perc_hot_water_shower_2010)*((Houses_with_plumbing_10-Houses_with_elec_10)/Houses_with_plumbing_10)*mcf_per_gal_hot_water_2010</f>
        <v>#VALUE!</v>
      </c>
      <c r="P10" s="127"/>
      <c r="Q10" s="1">
        <v>2010</v>
      </c>
      <c r="R10" s="78" t="e">
        <f t="shared" si="2"/>
        <v>#VALUE!</v>
      </c>
      <c r="S10" s="127"/>
      <c r="T10" s="1">
        <v>2010</v>
      </c>
      <c r="U10" s="78" t="e">
        <f t="shared" si="3"/>
        <v>#VALUE!</v>
      </c>
      <c r="V10" s="127"/>
      <c r="W10" s="1">
        <v>2010</v>
      </c>
      <c r="X10" s="121" t="e">
        <f t="shared" si="6"/>
        <v>#VALUE!</v>
      </c>
      <c r="Y10" s="127"/>
      <c r="Z10" s="1">
        <v>2010</v>
      </c>
      <c r="AA10" s="121" t="e">
        <f t="shared" si="7"/>
        <v>#VALUE!</v>
      </c>
      <c r="AB10" s="127"/>
      <c r="AC10" s="1">
        <v>2010</v>
      </c>
      <c r="AD10" s="121" t="e">
        <f t="shared" si="4"/>
        <v>#VALUE!</v>
      </c>
      <c r="AE10" s="127"/>
      <c r="AF10" s="1">
        <v>2010</v>
      </c>
      <c r="AG10" s="121" t="e">
        <f t="shared" si="5"/>
        <v>#VALUE!</v>
      </c>
      <c r="AH10" s="127"/>
      <c r="AI10" s="127"/>
      <c r="AJ10" s="127"/>
      <c r="AK10" s="127"/>
      <c r="AL10" s="127"/>
      <c r="AM10" s="127"/>
      <c r="AN10" s="127"/>
      <c r="AO10" s="127"/>
      <c r="AP10" s="127"/>
      <c r="AQ10" s="127"/>
      <c r="AR10" s="127"/>
      <c r="AS10" s="127"/>
      <c r="AT10" s="127"/>
    </row>
    <row r="11" spans="1:46">
      <c r="A11" s="127"/>
      <c r="B11" s="117">
        <v>2011</v>
      </c>
      <c r="C11" s="51" cm="1">
        <f t="array" ref="C11">IF(B11&gt;current_year,"",INDEX(Showerheads_h2o,B11-2006))</f>
        <v>0</v>
      </c>
      <c r="D11" s="127"/>
      <c r="E11" s="117">
        <v>2011</v>
      </c>
      <c r="F11" s="135">
        <f t="shared" si="0"/>
        <v>0</v>
      </c>
      <c r="G11" s="127"/>
      <c r="H11" s="117">
        <v>2011</v>
      </c>
      <c r="I11" s="53" t="e">
        <f>(C11*perc_hot_water_shower_2011)*(Houses_with_elec_11/Houses_with_plumbing_11)*kwh_per_gal_hot_water_2011</f>
        <v>#VALUE!</v>
      </c>
      <c r="J11" s="129"/>
      <c r="K11" s="1">
        <v>2011</v>
      </c>
      <c r="L11" s="121">
        <f t="shared" si="1"/>
        <v>0</v>
      </c>
      <c r="M11" s="129"/>
      <c r="N11" s="117">
        <v>2011</v>
      </c>
      <c r="O11" s="123" t="e">
        <f>(C11*perc_hot_water_shower_2011)*((Houses_with_plumbing_11-Houses_with_elec_11)/Houses_with_plumbing_11)*mcf_per_gal_hot_water_2011</f>
        <v>#VALUE!</v>
      </c>
      <c r="P11" s="127"/>
      <c r="Q11" s="1">
        <v>2011</v>
      </c>
      <c r="R11" s="78" t="e">
        <f t="shared" si="2"/>
        <v>#VALUE!</v>
      </c>
      <c r="S11" s="127"/>
      <c r="T11" s="1">
        <v>2011</v>
      </c>
      <c r="U11" s="78" t="e">
        <f t="shared" si="3"/>
        <v>#VALUE!</v>
      </c>
      <c r="V11" s="127"/>
      <c r="W11" s="1">
        <v>2011</v>
      </c>
      <c r="X11" s="121" t="e">
        <f t="shared" si="6"/>
        <v>#VALUE!</v>
      </c>
      <c r="Y11" s="127"/>
      <c r="Z11" s="1">
        <v>2011</v>
      </c>
      <c r="AA11" s="121" t="e">
        <f t="shared" si="7"/>
        <v>#VALUE!</v>
      </c>
      <c r="AB11" s="127"/>
      <c r="AC11" s="1">
        <v>2011</v>
      </c>
      <c r="AD11" s="121" t="e">
        <f t="shared" si="4"/>
        <v>#VALUE!</v>
      </c>
      <c r="AE11" s="127"/>
      <c r="AF11" s="1">
        <v>2011</v>
      </c>
      <c r="AG11" s="121" t="e">
        <f t="shared" si="5"/>
        <v>#VALUE!</v>
      </c>
      <c r="AH11" s="127"/>
      <c r="AI11" s="127"/>
      <c r="AJ11" s="127"/>
      <c r="AK11" s="127"/>
      <c r="AL11" s="127"/>
      <c r="AM11" s="127"/>
      <c r="AN11" s="127"/>
      <c r="AO11" s="127"/>
      <c r="AP11" s="127"/>
      <c r="AQ11" s="127"/>
      <c r="AR11" s="127"/>
      <c r="AS11" s="127"/>
      <c r="AT11" s="127"/>
    </row>
    <row r="12" spans="1:46">
      <c r="A12" s="127"/>
      <c r="B12" s="120">
        <v>2012</v>
      </c>
      <c r="C12" s="51" cm="1">
        <f t="array" ref="C12">IF(B12&gt;current_year,"",INDEX(Showerheads_h2o,B12-2006))</f>
        <v>0</v>
      </c>
      <c r="D12" s="127"/>
      <c r="E12" s="117">
        <v>2012</v>
      </c>
      <c r="F12" s="135">
        <f t="shared" si="0"/>
        <v>0</v>
      </c>
      <c r="G12" s="127"/>
      <c r="H12" s="117">
        <v>2012</v>
      </c>
      <c r="I12" s="53" t="e">
        <f>(C12*perc_hot_water_shower_2012)*(Houses_with_elec_12/Houses_with_plumbing_12)*kwh_per_gal_hot_water_2012</f>
        <v>#VALUE!</v>
      </c>
      <c r="J12" s="129"/>
      <c r="K12" s="1">
        <v>2012</v>
      </c>
      <c r="L12" s="121">
        <f t="shared" si="1"/>
        <v>0</v>
      </c>
      <c r="M12" s="129"/>
      <c r="N12" s="117">
        <v>2012</v>
      </c>
      <c r="O12" s="123" t="e">
        <f>(C12*perc_hot_water_shower_2012)*((Houses_with_plumbing_12-Houses_with_elec_12)/Houses_with_plumbing_12)*mcf_per_gal_hot_water_2012</f>
        <v>#VALUE!</v>
      </c>
      <c r="P12" s="127"/>
      <c r="Q12" s="1">
        <v>2012</v>
      </c>
      <c r="R12" s="78" t="e">
        <f t="shared" si="2"/>
        <v>#VALUE!</v>
      </c>
      <c r="S12" s="127"/>
      <c r="T12" s="1">
        <v>2012</v>
      </c>
      <c r="U12" s="78" t="e">
        <f t="shared" si="3"/>
        <v>#VALUE!</v>
      </c>
      <c r="V12" s="127"/>
      <c r="W12" s="1">
        <v>2012</v>
      </c>
      <c r="X12" s="121" t="e">
        <f t="shared" si="6"/>
        <v>#VALUE!</v>
      </c>
      <c r="Y12" s="127"/>
      <c r="Z12" s="1">
        <v>2012</v>
      </c>
      <c r="AA12" s="121" t="e">
        <f t="shared" si="7"/>
        <v>#VALUE!</v>
      </c>
      <c r="AB12" s="127"/>
      <c r="AC12" s="1">
        <v>2012</v>
      </c>
      <c r="AD12" s="121" t="e">
        <f t="shared" si="4"/>
        <v>#VALUE!</v>
      </c>
      <c r="AE12" s="127"/>
      <c r="AF12" s="1">
        <v>2012</v>
      </c>
      <c r="AG12" s="121" t="e">
        <f t="shared" si="5"/>
        <v>#VALUE!</v>
      </c>
      <c r="AH12" s="127"/>
      <c r="AI12" s="127"/>
      <c r="AJ12" s="127"/>
      <c r="AK12" s="127"/>
      <c r="AL12" s="127"/>
      <c r="AM12" s="127"/>
      <c r="AN12" s="127"/>
      <c r="AO12" s="127"/>
      <c r="AP12" s="127"/>
      <c r="AQ12" s="127"/>
      <c r="AR12" s="127"/>
      <c r="AS12" s="127"/>
      <c r="AT12" s="127"/>
    </row>
    <row r="13" spans="1:46">
      <c r="A13" s="127"/>
      <c r="B13" s="120">
        <v>2013</v>
      </c>
      <c r="C13" s="51" cm="1">
        <f t="array" ref="C13">IF(B13&gt;current_year,"",INDEX(Showerheads_h2o,B13-2006))</f>
        <v>0</v>
      </c>
      <c r="D13" s="127"/>
      <c r="E13" s="117">
        <v>2013</v>
      </c>
      <c r="F13" s="135">
        <f t="shared" si="0"/>
        <v>0</v>
      </c>
      <c r="G13" s="127"/>
      <c r="H13" s="117">
        <v>2013</v>
      </c>
      <c r="I13" s="53" t="e">
        <f>(C13*perc_hot_water_shower_2013)*(Houses_with_elec_13/Houses_with_plumbing_13)*kwh_per_gal_hot_water_2013</f>
        <v>#VALUE!</v>
      </c>
      <c r="J13" s="129"/>
      <c r="K13" s="120">
        <v>2013</v>
      </c>
      <c r="L13" s="121">
        <f t="shared" si="1"/>
        <v>0</v>
      </c>
      <c r="M13" s="129"/>
      <c r="N13" s="117">
        <v>2013</v>
      </c>
      <c r="O13" s="123" t="e">
        <f>(C13*perc_hot_water_shower_2013)*((Houses_with_plumbing_13-Houses_with_elec_13)/Houses_with_plumbing_13)*mcf_per_gal_hot_water_2013</f>
        <v>#VALUE!</v>
      </c>
      <c r="P13" s="127"/>
      <c r="Q13" s="1">
        <v>2013</v>
      </c>
      <c r="R13" s="78" t="e">
        <f t="shared" si="2"/>
        <v>#VALUE!</v>
      </c>
      <c r="S13" s="127"/>
      <c r="T13" s="1">
        <v>2013</v>
      </c>
      <c r="U13" s="78" t="e">
        <f t="shared" si="3"/>
        <v>#VALUE!</v>
      </c>
      <c r="V13" s="127"/>
      <c r="W13" s="1">
        <v>2013</v>
      </c>
      <c r="X13" s="121" t="e">
        <f t="shared" si="6"/>
        <v>#VALUE!</v>
      </c>
      <c r="Y13" s="127"/>
      <c r="Z13" s="1">
        <v>2013</v>
      </c>
      <c r="AA13" s="121" t="e">
        <f t="shared" si="7"/>
        <v>#VALUE!</v>
      </c>
      <c r="AB13" s="127"/>
      <c r="AC13" s="1">
        <v>2013</v>
      </c>
      <c r="AD13" s="121" t="e">
        <f t="shared" si="4"/>
        <v>#VALUE!</v>
      </c>
      <c r="AE13" s="127"/>
      <c r="AF13" s="120">
        <v>2013</v>
      </c>
      <c r="AG13" s="121" t="e">
        <f t="shared" si="5"/>
        <v>#VALUE!</v>
      </c>
      <c r="AH13" s="127"/>
      <c r="AI13" s="127"/>
      <c r="AJ13" s="127"/>
      <c r="AK13" s="127"/>
      <c r="AL13" s="127"/>
      <c r="AM13" s="127"/>
      <c r="AN13" s="127"/>
      <c r="AO13" s="127"/>
      <c r="AP13" s="127"/>
      <c r="AQ13" s="127"/>
      <c r="AR13" s="127"/>
      <c r="AS13" s="127"/>
      <c r="AT13" s="127"/>
    </row>
    <row r="14" spans="1:46">
      <c r="A14" s="127"/>
      <c r="B14" s="120">
        <v>2014</v>
      </c>
      <c r="C14" s="51" cm="1">
        <f t="array" ref="C14">IF(B14&gt;current_year,"",INDEX(Showerheads_h2o,B14-2006))</f>
        <v>0</v>
      </c>
      <c r="D14" s="127"/>
      <c r="E14" s="117">
        <v>2014</v>
      </c>
      <c r="F14" s="135">
        <f t="shared" si="0"/>
        <v>0</v>
      </c>
      <c r="G14" s="127"/>
      <c r="H14" s="117">
        <v>2014</v>
      </c>
      <c r="I14" s="53" t="e">
        <f>(C14*perc_hot_water_shower_2014)*(Houses_with_elec_14/Houses_with_plumbing_14)*kwh_per_gal_hot_water_2014</f>
        <v>#VALUE!</v>
      </c>
      <c r="J14" s="129"/>
      <c r="K14" s="120">
        <v>2014</v>
      </c>
      <c r="L14" s="121">
        <f t="shared" si="1"/>
        <v>0</v>
      </c>
      <c r="M14" s="129"/>
      <c r="N14" s="117">
        <v>2014</v>
      </c>
      <c r="O14" s="123" t="e">
        <f>(C14*perc_hot_water_shower_2014)*((Houses_with_plumbing_14-Houses_with_elec_14)/Houses_with_plumbing_14)*mcf_per_gal_hot_water_2014</f>
        <v>#VALUE!</v>
      </c>
      <c r="P14" s="127"/>
      <c r="Q14" s="1">
        <v>2014</v>
      </c>
      <c r="R14" s="78" t="e">
        <f t="shared" si="2"/>
        <v>#VALUE!</v>
      </c>
      <c r="S14" s="127"/>
      <c r="T14" s="1">
        <v>2014</v>
      </c>
      <c r="U14" s="78" t="e">
        <f t="shared" si="3"/>
        <v>#VALUE!</v>
      </c>
      <c r="V14" s="127"/>
      <c r="W14" s="1">
        <v>2014</v>
      </c>
      <c r="X14" s="121" t="e">
        <f t="shared" si="6"/>
        <v>#VALUE!</v>
      </c>
      <c r="Y14" s="127"/>
      <c r="Z14" s="1">
        <v>2014</v>
      </c>
      <c r="AA14" s="121" t="e">
        <f t="shared" si="7"/>
        <v>#VALUE!</v>
      </c>
      <c r="AB14" s="127"/>
      <c r="AC14" s="1">
        <v>2014</v>
      </c>
      <c r="AD14" s="121" t="e">
        <f t="shared" si="4"/>
        <v>#VALUE!</v>
      </c>
      <c r="AE14" s="127"/>
      <c r="AF14" s="120">
        <v>2014</v>
      </c>
      <c r="AG14" s="121" t="e">
        <f t="shared" si="5"/>
        <v>#VALUE!</v>
      </c>
      <c r="AH14" s="127"/>
      <c r="AI14" s="127"/>
      <c r="AJ14" s="127"/>
      <c r="AK14" s="127"/>
      <c r="AL14" s="127"/>
      <c r="AM14" s="127"/>
      <c r="AN14" s="127"/>
      <c r="AO14" s="127"/>
      <c r="AP14" s="127"/>
      <c r="AQ14" s="127"/>
      <c r="AR14" s="127"/>
      <c r="AS14" s="127"/>
      <c r="AT14" s="127"/>
    </row>
    <row r="15" spans="1:46">
      <c r="A15" s="127"/>
      <c r="B15" s="120">
        <v>2015</v>
      </c>
      <c r="C15" s="51" cm="1">
        <f t="array" ref="C15">IF(B15&gt;current_year,"",INDEX(Showerheads_h2o,B15-2006))</f>
        <v>0</v>
      </c>
      <c r="D15" s="127"/>
      <c r="E15" s="117">
        <v>2015</v>
      </c>
      <c r="F15" s="135">
        <f t="shared" si="0"/>
        <v>0</v>
      </c>
      <c r="G15" s="127"/>
      <c r="H15" s="117">
        <v>2015</v>
      </c>
      <c r="I15" s="53" t="e">
        <f>(C15*perc_hot_water_shower_2015)*(Houses_with_elec_15/Houses_with_plumbing_15)*kwh_per_gal_hot_water_2015</f>
        <v>#VALUE!</v>
      </c>
      <c r="J15" s="129"/>
      <c r="K15" s="120">
        <v>2015</v>
      </c>
      <c r="L15" s="121">
        <f t="shared" si="1"/>
        <v>0</v>
      </c>
      <c r="M15" s="129"/>
      <c r="N15" s="117">
        <v>2015</v>
      </c>
      <c r="O15" s="123" t="e">
        <f>(C15*perc_hot_water_shower_2015)*((Houses_with_plumbing_15-Houses_with_elec_15)/Houses_with_plumbing_15)*mcf_per_gal_hot_water_2015</f>
        <v>#VALUE!</v>
      </c>
      <c r="P15" s="127"/>
      <c r="Q15" s="1">
        <v>2015</v>
      </c>
      <c r="R15" s="78" t="e">
        <f t="shared" si="2"/>
        <v>#VALUE!</v>
      </c>
      <c r="S15" s="127"/>
      <c r="T15" s="1">
        <v>2015</v>
      </c>
      <c r="U15" s="78" t="e">
        <f t="shared" si="3"/>
        <v>#VALUE!</v>
      </c>
      <c r="V15" s="127"/>
      <c r="W15" s="1">
        <v>2015</v>
      </c>
      <c r="X15" s="121" t="e">
        <f t="shared" si="6"/>
        <v>#VALUE!</v>
      </c>
      <c r="Y15" s="127"/>
      <c r="Z15" s="1">
        <v>2015</v>
      </c>
      <c r="AA15" s="121" t="e">
        <f t="shared" si="7"/>
        <v>#VALUE!</v>
      </c>
      <c r="AB15" s="127"/>
      <c r="AC15" s="1">
        <v>2015</v>
      </c>
      <c r="AD15" s="121" t="e">
        <f t="shared" si="4"/>
        <v>#VALUE!</v>
      </c>
      <c r="AE15" s="127"/>
      <c r="AF15" s="120">
        <v>2015</v>
      </c>
      <c r="AG15" s="121" t="e">
        <f t="shared" si="5"/>
        <v>#VALUE!</v>
      </c>
      <c r="AH15" s="127"/>
      <c r="AI15" s="127"/>
      <c r="AJ15" s="127"/>
      <c r="AK15" s="127"/>
      <c r="AL15" s="127"/>
      <c r="AM15" s="127"/>
      <c r="AN15" s="127"/>
      <c r="AO15" s="127"/>
      <c r="AP15" s="127"/>
      <c r="AQ15" s="127"/>
      <c r="AR15" s="127"/>
      <c r="AS15" s="127"/>
      <c r="AT15" s="127"/>
    </row>
    <row r="16" spans="1:46">
      <c r="A16" s="127"/>
      <c r="B16" s="120">
        <v>2016</v>
      </c>
      <c r="C16" s="51" cm="1">
        <f t="array" ref="C16">IF(B16&gt;current_year,"",INDEX(Showerheads_h2o,B16-2006))</f>
        <v>0</v>
      </c>
      <c r="D16" s="127"/>
      <c r="E16" s="117">
        <v>2016</v>
      </c>
      <c r="F16" s="135">
        <f t="shared" si="0"/>
        <v>0</v>
      </c>
      <c r="G16" s="127"/>
      <c r="H16" s="117">
        <v>2016</v>
      </c>
      <c r="I16" s="53" t="e">
        <f>(C16*perc_hot_water_shower_2016)*(Houses_with_elec_16/Houses_with_plumbing_16)*kwh_per_gal_hot_water_2016</f>
        <v>#VALUE!</v>
      </c>
      <c r="J16" s="129"/>
      <c r="K16" s="120">
        <v>2016</v>
      </c>
      <c r="L16" s="121">
        <f t="shared" si="1"/>
        <v>0</v>
      </c>
      <c r="M16" s="129"/>
      <c r="N16" s="117">
        <v>2016</v>
      </c>
      <c r="O16" s="123" t="e">
        <f>(C16*perc_hot_water_shower_2016)*((Houses_with_plumbing_16-Houses_with_elec_16)/Houses_with_plumbing_16)*mcf_per_gal_hot_water_2016</f>
        <v>#VALUE!</v>
      </c>
      <c r="P16" s="127"/>
      <c r="Q16" s="1">
        <v>2016</v>
      </c>
      <c r="R16" s="78" t="e">
        <f t="shared" si="2"/>
        <v>#VALUE!</v>
      </c>
      <c r="S16" s="127"/>
      <c r="T16" s="1">
        <v>2016</v>
      </c>
      <c r="U16" s="78" t="e">
        <f t="shared" si="3"/>
        <v>#VALUE!</v>
      </c>
      <c r="V16" s="127"/>
      <c r="W16" s="1">
        <v>2016</v>
      </c>
      <c r="X16" s="121" t="e">
        <f t="shared" si="6"/>
        <v>#VALUE!</v>
      </c>
      <c r="Y16" s="127"/>
      <c r="Z16" s="1">
        <v>2016</v>
      </c>
      <c r="AA16" s="121" t="e">
        <f t="shared" si="7"/>
        <v>#VALUE!</v>
      </c>
      <c r="AB16" s="127"/>
      <c r="AC16" s="1">
        <v>2016</v>
      </c>
      <c r="AD16" s="121" t="e">
        <f t="shared" si="4"/>
        <v>#VALUE!</v>
      </c>
      <c r="AE16" s="127"/>
      <c r="AF16" s="120">
        <v>2016</v>
      </c>
      <c r="AG16" s="121" t="e">
        <f t="shared" si="5"/>
        <v>#VALUE!</v>
      </c>
      <c r="AH16" s="127"/>
      <c r="AI16" s="127"/>
      <c r="AJ16" s="127"/>
      <c r="AK16" s="127"/>
      <c r="AL16" s="127"/>
      <c r="AM16" s="127"/>
      <c r="AN16" s="127"/>
      <c r="AO16" s="127"/>
      <c r="AP16" s="127"/>
      <c r="AQ16" s="127"/>
      <c r="AR16" s="127"/>
      <c r="AS16" s="127"/>
      <c r="AT16" s="127"/>
    </row>
    <row r="17" spans="1:46">
      <c r="A17" s="127"/>
      <c r="B17" s="120">
        <v>2017</v>
      </c>
      <c r="C17" s="51" cm="1">
        <f t="array" ref="C17">IF(B17&gt;current_year,"",INDEX(Showerheads_h2o,B17-2006))</f>
        <v>0</v>
      </c>
      <c r="D17" s="127"/>
      <c r="E17" s="117">
        <v>2017</v>
      </c>
      <c r="F17" s="135">
        <f t="shared" si="0"/>
        <v>0</v>
      </c>
      <c r="G17" s="127"/>
      <c r="H17" s="117">
        <v>2017</v>
      </c>
      <c r="I17" s="53" t="e">
        <f>(C17*perc_hot_water_shower_2017)*(Houses_with_elec_17/Houses_with_plumbing_17)*kwh_per_gal_hot_water_2017</f>
        <v>#VALUE!</v>
      </c>
      <c r="J17" s="129"/>
      <c r="K17" s="120">
        <v>2017</v>
      </c>
      <c r="L17" s="121">
        <f t="shared" si="1"/>
        <v>0</v>
      </c>
      <c r="M17" s="129"/>
      <c r="N17" s="117">
        <v>2017</v>
      </c>
      <c r="O17" s="123" t="e">
        <f>(C17*perc_hot_water_shower_2017)*((Houses_with_plumbing_17-Houses_with_elec_17)/Houses_with_plumbing_17)*mcf_per_gal_hot_water_2017</f>
        <v>#VALUE!</v>
      </c>
      <c r="P17" s="127"/>
      <c r="Q17" s="1">
        <v>2017</v>
      </c>
      <c r="R17" s="78" t="e">
        <f t="shared" si="2"/>
        <v>#VALUE!</v>
      </c>
      <c r="S17" s="127"/>
      <c r="T17" s="1">
        <v>2017</v>
      </c>
      <c r="U17" s="78" t="e">
        <f t="shared" si="3"/>
        <v>#VALUE!</v>
      </c>
      <c r="V17" s="127"/>
      <c r="W17" s="1">
        <v>2017</v>
      </c>
      <c r="X17" s="121" t="e">
        <f t="shared" si="6"/>
        <v>#VALUE!</v>
      </c>
      <c r="Y17" s="127"/>
      <c r="Z17" s="1">
        <v>2017</v>
      </c>
      <c r="AA17" s="121" t="e">
        <f t="shared" si="7"/>
        <v>#VALUE!</v>
      </c>
      <c r="AB17" s="127"/>
      <c r="AC17" s="1">
        <v>2017</v>
      </c>
      <c r="AD17" s="121" t="e">
        <f t="shared" si="4"/>
        <v>#VALUE!</v>
      </c>
      <c r="AE17" s="127"/>
      <c r="AF17" s="120">
        <v>2017</v>
      </c>
      <c r="AG17" s="121" t="e">
        <f t="shared" si="5"/>
        <v>#VALUE!</v>
      </c>
      <c r="AH17" s="127"/>
      <c r="AI17" s="127"/>
      <c r="AJ17" s="127"/>
      <c r="AK17" s="127"/>
      <c r="AL17" s="127"/>
      <c r="AM17" s="127"/>
      <c r="AN17" s="127"/>
      <c r="AO17" s="127"/>
      <c r="AP17" s="127"/>
      <c r="AQ17" s="127"/>
      <c r="AR17" s="127"/>
      <c r="AS17" s="127"/>
      <c r="AT17" s="127"/>
    </row>
    <row r="18" spans="1:46">
      <c r="A18" s="127"/>
      <c r="B18" s="120">
        <v>2018</v>
      </c>
      <c r="C18" s="51" cm="1">
        <f t="array" ref="C18">IF(B18&gt;current_year,"",INDEX(Showerheads_h2o,B18-2006))</f>
        <v>0</v>
      </c>
      <c r="D18" s="129"/>
      <c r="E18" s="117">
        <v>2018</v>
      </c>
      <c r="F18" s="135">
        <f t="shared" ref="F18:F30" si="8">IF(C18&lt;&gt;"",C18*(kwh_per_gal_drnk_water+kwh_per_gal_waste_water),"")</f>
        <v>0</v>
      </c>
      <c r="G18" s="127"/>
      <c r="H18" s="117">
        <v>2018</v>
      </c>
      <c r="I18" s="78" t="e">
        <f>IF($C18="","",(C18*perc_hot_water_shower_2018)*(Houses_with_elec_18/Houses_with_plumbing_18)*kwh_per_gal_hot_water_2018)</f>
        <v>#VALUE!</v>
      </c>
      <c r="J18" s="127"/>
      <c r="K18" s="120">
        <v>2018</v>
      </c>
      <c r="L18" s="121">
        <f t="shared" si="1"/>
        <v>0</v>
      </c>
      <c r="M18" s="127"/>
      <c r="N18" s="117">
        <v>2018</v>
      </c>
      <c r="O18" s="78" t="e">
        <f>IF($C18="","",(C18*perc_hot_water_shower_2018)*((Houses_with_plumbing_18-Houses_with_elec_18)/Houses_with_plumbing_18)*mcf_per_gal_hot_water_2018)</f>
        <v>#VALUE!</v>
      </c>
      <c r="P18" s="127"/>
      <c r="Q18" s="1">
        <v>2018</v>
      </c>
      <c r="R18" s="78" t="e">
        <f t="shared" ref="R18:R30" si="9">IF($C18="","",F18+I18+(O18*kwh_per_therm*therms_per_mcf))</f>
        <v>#VALUE!</v>
      </c>
      <c r="S18" s="129"/>
      <c r="T18" s="1">
        <v>2018</v>
      </c>
      <c r="U18" s="78" t="e">
        <f t="shared" ref="U18:U30" si="10">IF($C18="","",((I18+F18)*tons_co2_per_kwh)+(O18*tons_co2_per_therm*therms_per_mcf))</f>
        <v>#VALUE!</v>
      </c>
      <c r="V18" s="127"/>
      <c r="W18" s="1">
        <v>2018</v>
      </c>
      <c r="X18" s="121" t="e">
        <f t="shared" si="6"/>
        <v>#VALUE!</v>
      </c>
      <c r="Y18" s="127"/>
      <c r="Z18" s="1">
        <v>2018</v>
      </c>
      <c r="AA18" s="121" t="e">
        <f t="shared" si="7"/>
        <v>#VALUE!</v>
      </c>
      <c r="AB18" s="127"/>
      <c r="AC18" s="1">
        <v>2018</v>
      </c>
      <c r="AD18" s="121" t="e">
        <f>IF($C18="","",SUM(X18+AA18))</f>
        <v>#VALUE!</v>
      </c>
      <c r="AE18" s="127"/>
      <c r="AF18" s="120">
        <v>2018</v>
      </c>
      <c r="AG18" s="121" t="e">
        <f t="shared" si="5"/>
        <v>#VALUE!</v>
      </c>
      <c r="AH18" s="127"/>
      <c r="AI18" s="127"/>
      <c r="AJ18" s="127"/>
      <c r="AK18" s="127"/>
      <c r="AL18" s="127"/>
      <c r="AM18" s="127"/>
      <c r="AN18" s="127"/>
      <c r="AO18" s="127"/>
      <c r="AP18" s="127"/>
      <c r="AQ18" s="127"/>
      <c r="AR18" s="127"/>
      <c r="AS18" s="127"/>
      <c r="AT18" s="127"/>
    </row>
    <row r="19" spans="1:46">
      <c r="A19" s="127"/>
      <c r="B19" s="120">
        <v>2019</v>
      </c>
      <c r="C19" s="51" cm="1">
        <f t="array" ref="C19">IF(B19&gt;current_year,"",INDEX(Showerheads_h2o,B19-2006))</f>
        <v>0</v>
      </c>
      <c r="D19" s="129"/>
      <c r="E19" s="117">
        <v>2019</v>
      </c>
      <c r="F19" s="135">
        <f t="shared" si="8"/>
        <v>0</v>
      </c>
      <c r="G19" s="127"/>
      <c r="H19" s="117">
        <v>2019</v>
      </c>
      <c r="I19" s="141" t="e">
        <f>IF($C19="","",(C19*perc_hot_water_shower_2019)*(Houses_with_elec_19/Houses_with_plumbing_19)*kwh_per_gal_hot_water_2019)</f>
        <v>#VALUE!</v>
      </c>
      <c r="J19" s="127"/>
      <c r="K19" s="120">
        <v>2019</v>
      </c>
      <c r="L19" s="121">
        <f t="shared" si="1"/>
        <v>0</v>
      </c>
      <c r="M19" s="127"/>
      <c r="N19" s="117">
        <v>2019</v>
      </c>
      <c r="O19" s="141" t="e">
        <f>IF($C19="","",(C19*perc_hot_water_shower_2019)*((Houses_with_plumbing_19-Houses_with_elec_19)/Houses_with_plumbing_19)*mcf_per_gal_hot_water_2019)</f>
        <v>#VALUE!</v>
      </c>
      <c r="P19" s="127"/>
      <c r="Q19" s="1">
        <v>2019</v>
      </c>
      <c r="R19" s="141" t="e">
        <f t="shared" si="9"/>
        <v>#VALUE!</v>
      </c>
      <c r="S19" s="127"/>
      <c r="T19" s="1">
        <v>2019</v>
      </c>
      <c r="U19" s="141" t="e">
        <f t="shared" si="10"/>
        <v>#VALUE!</v>
      </c>
      <c r="V19" s="127"/>
      <c r="W19" s="1">
        <v>2019</v>
      </c>
      <c r="X19" s="121" t="e">
        <f t="shared" si="6"/>
        <v>#VALUE!</v>
      </c>
      <c r="Y19" s="127"/>
      <c r="Z19" s="1">
        <v>2019</v>
      </c>
      <c r="AA19" s="121" t="e">
        <f t="shared" si="7"/>
        <v>#VALUE!</v>
      </c>
      <c r="AB19" s="127"/>
      <c r="AC19" s="1">
        <v>2019</v>
      </c>
      <c r="AD19" s="121" t="e">
        <f t="shared" ref="AD19:AD30" si="11">IF($C19="","",SUM(X19+AA19))</f>
        <v>#VALUE!</v>
      </c>
      <c r="AE19" s="127"/>
      <c r="AF19" s="120">
        <v>2019</v>
      </c>
      <c r="AG19" s="121" t="e">
        <f t="shared" si="5"/>
        <v>#VALUE!</v>
      </c>
      <c r="AH19" s="127"/>
      <c r="AI19" s="127"/>
      <c r="AJ19" s="127"/>
      <c r="AK19" s="127"/>
      <c r="AL19" s="127"/>
      <c r="AM19" s="127"/>
      <c r="AN19" s="127"/>
      <c r="AO19" s="127"/>
      <c r="AP19" s="127"/>
      <c r="AQ19" s="127"/>
      <c r="AR19" s="127"/>
      <c r="AS19" s="127"/>
      <c r="AT19" s="127"/>
    </row>
    <row r="20" spans="1:46">
      <c r="A20" s="127"/>
      <c r="B20" s="120">
        <v>2020</v>
      </c>
      <c r="C20" s="51" cm="1">
        <f t="array" ref="C20">IF(B20&gt;current_year,"",INDEX(Showerheads_h2o,B20-2006))</f>
        <v>0</v>
      </c>
      <c r="D20" s="127"/>
      <c r="E20" s="117">
        <v>2020</v>
      </c>
      <c r="F20" s="135">
        <f t="shared" si="8"/>
        <v>0</v>
      </c>
      <c r="G20" s="127"/>
      <c r="H20" s="117">
        <v>2020</v>
      </c>
      <c r="I20" s="141" t="e">
        <f>IF($C20="","",(C20*perc_hot_water_shower_2020)*(Houses_with_elec_20/Houses_with_plumbing_20)*kwh_per_gal_hot_water_2020)</f>
        <v>#VALUE!</v>
      </c>
      <c r="J20" s="127"/>
      <c r="K20" s="120">
        <v>2020</v>
      </c>
      <c r="L20" s="121">
        <f t="shared" si="1"/>
        <v>0</v>
      </c>
      <c r="M20" s="127"/>
      <c r="N20" s="117">
        <v>2020</v>
      </c>
      <c r="O20" s="141" t="e">
        <f>IF($C20="","",(C20*perc_hot_water_shower_2020)*((Houses_with_plumbing_20-Houses_with_elec_20)/Houses_with_plumbing_20)*mcf_per_gal_hot_water_2020)</f>
        <v>#VALUE!</v>
      </c>
      <c r="P20" s="127"/>
      <c r="Q20" s="1">
        <v>2020</v>
      </c>
      <c r="R20" s="141" t="e">
        <f t="shared" si="9"/>
        <v>#VALUE!</v>
      </c>
      <c r="S20" s="127"/>
      <c r="T20" s="1">
        <v>2020</v>
      </c>
      <c r="U20" s="141" t="e">
        <f t="shared" si="10"/>
        <v>#VALUE!</v>
      </c>
      <c r="V20" s="127"/>
      <c r="W20" s="1">
        <v>2020</v>
      </c>
      <c r="X20" s="121" t="e">
        <f t="shared" ref="X20:X30" si="12">IF(C20="","",SUM(I20*INDEX(Elec_res,W20-2006))*IF(W20&lt;current_year, INDEX(GDP,current_year-2007)/INDEX(GDP,W20-2007),1))</f>
        <v>#VALUE!</v>
      </c>
      <c r="Y20" s="127"/>
      <c r="Z20" s="1">
        <v>2020</v>
      </c>
      <c r="AA20" s="121" t="e">
        <f t="shared" ref="AA20:AA30" si="13">IF(C20="","",SUM(O20*INDEX(Gas_res,Z20-2006))*IF(Z20&lt;current_year,INDEX(GDP,current_year-2007)/INDEX(GDP,Z20-2007),1))</f>
        <v>#VALUE!</v>
      </c>
      <c r="AB20" s="127"/>
      <c r="AC20" s="1">
        <v>2020</v>
      </c>
      <c r="AD20" s="143" t="e">
        <f t="shared" si="11"/>
        <v>#VALUE!</v>
      </c>
      <c r="AE20" s="127"/>
      <c r="AF20" s="120">
        <v>2020</v>
      </c>
      <c r="AG20" s="121" t="e">
        <f t="shared" si="5"/>
        <v>#VALUE!</v>
      </c>
      <c r="AH20" s="127"/>
      <c r="AI20" s="127"/>
      <c r="AJ20" s="127"/>
      <c r="AK20" s="127"/>
      <c r="AL20" s="127"/>
      <c r="AM20" s="127"/>
      <c r="AN20" s="127"/>
      <c r="AO20" s="127"/>
      <c r="AP20" s="127"/>
      <c r="AQ20" s="127"/>
      <c r="AR20" s="127"/>
      <c r="AS20" s="127"/>
      <c r="AT20" s="127"/>
    </row>
    <row r="21" spans="1:46">
      <c r="A21" s="127"/>
      <c r="B21" s="120">
        <v>2021</v>
      </c>
      <c r="C21" s="51" cm="1">
        <f t="array" ref="C21">IF(B21&gt;current_year,"",INDEX(Showerheads_h2o,B21-2006))</f>
        <v>0</v>
      </c>
      <c r="D21" s="131"/>
      <c r="E21" s="117">
        <v>2021</v>
      </c>
      <c r="F21" s="135">
        <f t="shared" si="8"/>
        <v>0</v>
      </c>
      <c r="G21" s="127"/>
      <c r="H21" s="117">
        <v>2021</v>
      </c>
      <c r="I21" s="163" t="e">
        <f>IF($C21="","",(C21*perc_hot_water_shower_2021)*(Houses_with_elec_21/Houses_with_plumbing_21)*kwh_per_gal_hot_water_2021)</f>
        <v>#VALUE!</v>
      </c>
      <c r="J21" s="132"/>
      <c r="K21" s="120">
        <v>2021</v>
      </c>
      <c r="L21" s="121">
        <f t="shared" si="1"/>
        <v>0</v>
      </c>
      <c r="M21" s="132"/>
      <c r="N21" s="117">
        <v>2021</v>
      </c>
      <c r="O21" s="141" t="e">
        <f>IF($C21="","",(C21*perc_hot_water_shower_2021)*((Houses_with_plumbing_21-Houses_with_elec_21)/Houses_with_plumbing_21)*mcf_per_gal_hot_water_2021)</f>
        <v>#VALUE!</v>
      </c>
      <c r="P21" s="127"/>
      <c r="Q21" s="1">
        <v>2021</v>
      </c>
      <c r="R21" s="141" t="e">
        <f t="shared" si="9"/>
        <v>#VALUE!</v>
      </c>
      <c r="S21" s="127"/>
      <c r="T21" s="1">
        <v>2021</v>
      </c>
      <c r="U21" s="141" t="e">
        <f t="shared" si="10"/>
        <v>#VALUE!</v>
      </c>
      <c r="V21" s="127"/>
      <c r="W21" s="1">
        <v>2021</v>
      </c>
      <c r="X21" s="121" t="e">
        <f t="shared" si="12"/>
        <v>#VALUE!</v>
      </c>
      <c r="Y21" s="127"/>
      <c r="Z21" s="1">
        <v>2021</v>
      </c>
      <c r="AA21" s="121" t="e">
        <f t="shared" si="13"/>
        <v>#VALUE!</v>
      </c>
      <c r="AB21" s="127"/>
      <c r="AC21" s="1">
        <v>2021</v>
      </c>
      <c r="AD21" s="143" t="e">
        <f t="shared" si="11"/>
        <v>#VALUE!</v>
      </c>
      <c r="AE21" s="127"/>
      <c r="AF21" s="120">
        <v>2021</v>
      </c>
      <c r="AG21" s="121" t="e">
        <f t="shared" si="5"/>
        <v>#VALUE!</v>
      </c>
      <c r="AH21" s="127"/>
      <c r="AI21" s="127"/>
      <c r="AJ21" s="127"/>
      <c r="AK21" s="127"/>
      <c r="AL21" s="127"/>
      <c r="AM21" s="127"/>
      <c r="AN21" s="127"/>
      <c r="AO21" s="127"/>
      <c r="AP21" s="127"/>
      <c r="AQ21" s="127"/>
      <c r="AR21" s="127"/>
      <c r="AS21" s="127"/>
      <c r="AT21" s="127"/>
    </row>
    <row r="22" spans="1:46">
      <c r="A22" s="127"/>
      <c r="B22" s="120">
        <v>2022</v>
      </c>
      <c r="C22" s="51" cm="1">
        <f t="array" ref="C22">IF(B22&gt;current_year,"",INDEX(Showerheads_h2o,B22-2006))</f>
        <v>0</v>
      </c>
      <c r="D22" s="127"/>
      <c r="E22" s="117">
        <v>2022</v>
      </c>
      <c r="F22" s="135">
        <f t="shared" si="8"/>
        <v>0</v>
      </c>
      <c r="G22" s="127"/>
      <c r="H22" s="117">
        <v>2022</v>
      </c>
      <c r="I22" s="141" t="e">
        <f>IF($C22="","",(C22*perc_hot_water_shower_2022)*(Houses_with_elec_22/Houses_with_plumbing_22)*kwh_per_gal_hot_water_2022)</f>
        <v>#VALUE!</v>
      </c>
      <c r="J22" s="127"/>
      <c r="K22" s="120">
        <v>2022</v>
      </c>
      <c r="L22" s="121">
        <f t="shared" si="1"/>
        <v>0</v>
      </c>
      <c r="M22" s="127"/>
      <c r="N22" s="117">
        <v>2022</v>
      </c>
      <c r="O22" s="141" t="e">
        <f>IF($C22="","",(C22*perc_hot_water_shower_2022)*((Houses_with_plumbing_22-Houses_with_elec_22)/Houses_with_plumbing_22)*mcf_per_gal_hot_water_2022)</f>
        <v>#VALUE!</v>
      </c>
      <c r="P22" s="127"/>
      <c r="Q22" s="1">
        <v>2022</v>
      </c>
      <c r="R22" s="141" t="e">
        <f t="shared" si="9"/>
        <v>#VALUE!</v>
      </c>
      <c r="S22" s="127"/>
      <c r="T22" s="1">
        <v>2022</v>
      </c>
      <c r="U22" s="141" t="e">
        <f t="shared" si="10"/>
        <v>#VALUE!</v>
      </c>
      <c r="V22" s="127"/>
      <c r="W22" s="1">
        <v>2022</v>
      </c>
      <c r="X22" s="121" t="e">
        <f t="shared" si="12"/>
        <v>#VALUE!</v>
      </c>
      <c r="Y22" s="127"/>
      <c r="Z22" s="1">
        <v>2022</v>
      </c>
      <c r="AA22" s="121" t="e">
        <f t="shared" si="13"/>
        <v>#VALUE!</v>
      </c>
      <c r="AB22" s="127"/>
      <c r="AC22" s="1">
        <v>2022</v>
      </c>
      <c r="AD22" s="143" t="e">
        <f t="shared" si="11"/>
        <v>#VALUE!</v>
      </c>
      <c r="AE22" s="127"/>
      <c r="AF22" s="120">
        <v>2022</v>
      </c>
      <c r="AG22" s="121" t="e">
        <f t="shared" si="5"/>
        <v>#VALUE!</v>
      </c>
      <c r="AH22" s="127"/>
      <c r="AI22" s="127"/>
      <c r="AJ22" s="127"/>
      <c r="AK22" s="127"/>
      <c r="AL22" s="127"/>
      <c r="AM22" s="127"/>
      <c r="AN22" s="127"/>
      <c r="AO22" s="127"/>
      <c r="AP22" s="127"/>
      <c r="AQ22" s="127"/>
      <c r="AR22" s="127"/>
      <c r="AS22" s="127"/>
      <c r="AT22" s="127"/>
    </row>
    <row r="23" spans="1:46">
      <c r="A23" s="127"/>
      <c r="B23" s="120">
        <v>2023</v>
      </c>
      <c r="C23" s="51" cm="1">
        <f t="array" ref="C23">IF(B23&gt;current_year,"",INDEX(Showerheads_h2o,B23-2006))</f>
        <v>0</v>
      </c>
      <c r="D23" s="127"/>
      <c r="E23" s="117">
        <v>2023</v>
      </c>
      <c r="F23" s="135">
        <f t="shared" si="8"/>
        <v>0</v>
      </c>
      <c r="G23" s="127"/>
      <c r="H23" s="117">
        <v>2023</v>
      </c>
      <c r="I23" s="141" t="e">
        <f>IF($C23="","",(C23*perc_hot_water_shower_2023)*(Houses_with_elec_23/Houses_with_plumbing_23)*kwh_per_gal_hot_water_2023)</f>
        <v>#VALUE!</v>
      </c>
      <c r="J23" s="127"/>
      <c r="K23" s="120">
        <v>2023</v>
      </c>
      <c r="L23" s="121">
        <f t="shared" si="1"/>
        <v>0</v>
      </c>
      <c r="M23" s="127"/>
      <c r="N23" s="117">
        <v>2023</v>
      </c>
      <c r="O23" s="141" t="e">
        <f>IF($C23="","",(C23*perc_hot_water_shower_2023)*((Houses_with_plumbing_23-Houses_with_elec_23)/Houses_with_plumbing_23)*mcf_per_gal_hot_water_2023)</f>
        <v>#VALUE!</v>
      </c>
      <c r="P23" s="127"/>
      <c r="Q23" s="1">
        <v>2023</v>
      </c>
      <c r="R23" s="141" t="e">
        <f t="shared" si="9"/>
        <v>#VALUE!</v>
      </c>
      <c r="S23" s="127"/>
      <c r="T23" s="1">
        <v>2023</v>
      </c>
      <c r="U23" s="141" t="e">
        <f t="shared" si="10"/>
        <v>#VALUE!</v>
      </c>
      <c r="V23" s="127"/>
      <c r="W23" s="1">
        <v>2023</v>
      </c>
      <c r="X23" s="121" t="e">
        <f t="shared" si="12"/>
        <v>#VALUE!</v>
      </c>
      <c r="Y23" s="127"/>
      <c r="Z23" s="1">
        <v>2023</v>
      </c>
      <c r="AA23" s="121" t="e">
        <f t="shared" si="13"/>
        <v>#VALUE!</v>
      </c>
      <c r="AB23" s="127"/>
      <c r="AC23" s="1">
        <v>2023</v>
      </c>
      <c r="AD23" s="143" t="e">
        <f t="shared" si="11"/>
        <v>#VALUE!</v>
      </c>
      <c r="AE23" s="127"/>
      <c r="AF23" s="120">
        <v>2023</v>
      </c>
      <c r="AG23" s="121" t="e">
        <f>IF($C23="","",L23+AD23)</f>
        <v>#VALUE!</v>
      </c>
      <c r="AH23" s="127"/>
      <c r="AI23" s="127"/>
      <c r="AJ23" s="127"/>
      <c r="AK23" s="127"/>
      <c r="AL23" s="127"/>
      <c r="AM23" s="127"/>
      <c r="AN23" s="127"/>
      <c r="AO23" s="127"/>
      <c r="AP23" s="127"/>
      <c r="AQ23" s="127"/>
      <c r="AR23" s="127"/>
      <c r="AS23" s="127"/>
      <c r="AT23" s="127"/>
    </row>
    <row r="24" spans="1:46">
      <c r="A24" s="127"/>
      <c r="B24" s="120">
        <v>2024</v>
      </c>
      <c r="C24" s="51" cm="1">
        <f t="array" ref="C24">IF(B24&gt;current_year,"",INDEX(Showerheads_h2o,B24-2006))</f>
        <v>0</v>
      </c>
      <c r="D24" s="127"/>
      <c r="E24" s="117">
        <v>2024</v>
      </c>
      <c r="F24" s="135">
        <f t="shared" si="8"/>
        <v>0</v>
      </c>
      <c r="G24" s="127"/>
      <c r="H24" s="117">
        <v>2024</v>
      </c>
      <c r="I24" s="141" t="e">
        <f>IF($C24="","",(C24*perc_hot_water_shower_2024)*(Houses_with_elec_24/Houses_with_plumbing_24)*kwh_per_gal_hot_water_2024)</f>
        <v>#VALUE!</v>
      </c>
      <c r="J24" s="127"/>
      <c r="K24" s="120">
        <v>2024</v>
      </c>
      <c r="L24" s="121">
        <f t="shared" si="1"/>
        <v>0</v>
      </c>
      <c r="M24" s="127"/>
      <c r="N24" s="117">
        <v>2024</v>
      </c>
      <c r="O24" s="141" t="e">
        <f>IF($C24="","",(C24*perc_hot_water_shower_2024)*((Houses_with_plumbing_24-Houses_with_elec_24)/Houses_with_plumbing_24)*mcf_per_gal_hot_water_2024)</f>
        <v>#VALUE!</v>
      </c>
      <c r="P24" s="127"/>
      <c r="Q24" s="1">
        <v>2024</v>
      </c>
      <c r="R24" s="141" t="e">
        <f t="shared" si="9"/>
        <v>#VALUE!</v>
      </c>
      <c r="S24" s="127"/>
      <c r="T24" s="1">
        <v>2024</v>
      </c>
      <c r="U24" s="141" t="e">
        <f t="shared" si="10"/>
        <v>#VALUE!</v>
      </c>
      <c r="V24" s="127"/>
      <c r="W24" s="1">
        <v>2024</v>
      </c>
      <c r="X24" s="121" t="e">
        <f t="shared" si="12"/>
        <v>#VALUE!</v>
      </c>
      <c r="Y24" s="127"/>
      <c r="Z24" s="1">
        <v>2024</v>
      </c>
      <c r="AA24" s="121" t="e">
        <f t="shared" si="13"/>
        <v>#VALUE!</v>
      </c>
      <c r="AB24" s="127"/>
      <c r="AC24" s="1">
        <v>2024</v>
      </c>
      <c r="AD24" s="143" t="e">
        <f t="shared" si="11"/>
        <v>#VALUE!</v>
      </c>
      <c r="AE24" s="127"/>
      <c r="AF24" s="120">
        <v>2024</v>
      </c>
      <c r="AG24" s="121" t="e">
        <f t="shared" ref="AG24:AG30" si="14">IF($C24="","",L24+AD24)</f>
        <v>#VALUE!</v>
      </c>
      <c r="AH24" s="127"/>
      <c r="AI24" s="127"/>
      <c r="AJ24" s="127"/>
      <c r="AK24" s="127"/>
      <c r="AL24" s="127"/>
      <c r="AM24" s="127"/>
      <c r="AN24" s="127"/>
      <c r="AO24" s="127"/>
      <c r="AP24" s="127"/>
      <c r="AQ24" s="127"/>
      <c r="AR24" s="127"/>
      <c r="AS24" s="127"/>
      <c r="AT24" s="127"/>
    </row>
    <row r="25" spans="1:46">
      <c r="A25" s="127"/>
      <c r="B25" s="120">
        <v>2025</v>
      </c>
      <c r="C25" s="51" t="str" cm="1">
        <f t="array" ref="C25">IF(B25&gt;current_year,"",INDEX(Showerheads_h2o,B25-2006))</f>
        <v/>
      </c>
      <c r="D25" s="127"/>
      <c r="E25" s="117">
        <v>2025</v>
      </c>
      <c r="F25" s="135" t="str">
        <f t="shared" si="8"/>
        <v/>
      </c>
      <c r="G25" s="127"/>
      <c r="H25" s="117">
        <v>2025</v>
      </c>
      <c r="I25" s="141" t="str">
        <f>IF($C25="","",(C25*perc_hot_water_shower_2025)*(Houses_with_elec_25/Houses_with_plumbing_25)*kwh_per_gal_hot_water_2025)</f>
        <v/>
      </c>
      <c r="J25" s="127"/>
      <c r="K25" s="120">
        <v>2025</v>
      </c>
      <c r="L25" s="121" t="str">
        <f t="shared" si="1"/>
        <v/>
      </c>
      <c r="M25" s="127"/>
      <c r="N25" s="117">
        <v>2025</v>
      </c>
      <c r="O25" s="141" t="str">
        <f>IF($C25="","",(C25*perc_hot_water_shower_2025)*((Houses_with_plumbing_25-Houses_with_elec_25)/Houses_with_plumbing_25)*mcf_per_gal_hot_water_2025)</f>
        <v/>
      </c>
      <c r="P25" s="127"/>
      <c r="Q25" s="1">
        <v>2025</v>
      </c>
      <c r="R25" s="141" t="str">
        <f t="shared" si="9"/>
        <v/>
      </c>
      <c r="S25" s="127"/>
      <c r="T25" s="1">
        <v>2025</v>
      </c>
      <c r="U25" s="141" t="str">
        <f t="shared" si="10"/>
        <v/>
      </c>
      <c r="V25" s="127"/>
      <c r="W25" s="1">
        <v>2025</v>
      </c>
      <c r="X25" s="121" t="str">
        <f t="shared" si="12"/>
        <v/>
      </c>
      <c r="Y25" s="127"/>
      <c r="Z25" s="1">
        <v>2025</v>
      </c>
      <c r="AA25" s="121" t="str">
        <f t="shared" si="13"/>
        <v/>
      </c>
      <c r="AB25" s="127"/>
      <c r="AC25" s="1">
        <v>2025</v>
      </c>
      <c r="AD25" s="143" t="str">
        <f t="shared" si="11"/>
        <v/>
      </c>
      <c r="AE25" s="127"/>
      <c r="AF25" s="120">
        <v>2025</v>
      </c>
      <c r="AG25" s="121" t="str">
        <f t="shared" si="14"/>
        <v/>
      </c>
      <c r="AH25" s="127"/>
      <c r="AI25" s="127"/>
      <c r="AJ25" s="127"/>
      <c r="AK25" s="127"/>
      <c r="AL25" s="127"/>
      <c r="AM25" s="127"/>
      <c r="AN25" s="127"/>
      <c r="AO25" s="127"/>
      <c r="AP25" s="127"/>
      <c r="AQ25" s="127"/>
      <c r="AR25" s="127"/>
      <c r="AS25" s="127"/>
      <c r="AT25" s="127"/>
    </row>
    <row r="26" spans="1:46">
      <c r="A26" s="127"/>
      <c r="B26" s="120">
        <v>2026</v>
      </c>
      <c r="C26" s="51" t="str" cm="1">
        <f t="array" ref="C26">IF(B26&gt;current_year,"",INDEX(Showerheads_h2o,B26-2006))</f>
        <v/>
      </c>
      <c r="D26" s="127"/>
      <c r="E26" s="117">
        <v>2026</v>
      </c>
      <c r="F26" s="135" t="str">
        <f t="shared" si="8"/>
        <v/>
      </c>
      <c r="G26" s="127"/>
      <c r="H26" s="117">
        <v>2026</v>
      </c>
      <c r="I26" s="141" t="str">
        <f>IF($C26="","",(C26*perc_hot_water_shower_2026)*(Houses_with_elec_26/Houses_with_plumbing_26)*kwh_per_gal_hot_water_2026)</f>
        <v/>
      </c>
      <c r="J26" s="127"/>
      <c r="K26" s="120">
        <v>2026</v>
      </c>
      <c r="L26" s="121" t="str">
        <f t="shared" si="1"/>
        <v/>
      </c>
      <c r="M26" s="127"/>
      <c r="N26" s="117">
        <v>2026</v>
      </c>
      <c r="O26" s="141" t="str">
        <f>IF($C26="","",(C26*perc_hot_water_shower_2026)*((Houses_with_plumbing_26-Houses_with_elec_26)/Houses_with_plumbing_26)*mcf_per_gal_hot_water_2026)</f>
        <v/>
      </c>
      <c r="P26" s="127"/>
      <c r="Q26" s="1">
        <v>2026</v>
      </c>
      <c r="R26" s="141" t="str">
        <f t="shared" si="9"/>
        <v/>
      </c>
      <c r="S26" s="127"/>
      <c r="T26" s="1">
        <v>2026</v>
      </c>
      <c r="U26" s="141" t="str">
        <f t="shared" si="10"/>
        <v/>
      </c>
      <c r="V26" s="127"/>
      <c r="W26" s="1">
        <v>2026</v>
      </c>
      <c r="X26" s="121" t="str">
        <f t="shared" si="12"/>
        <v/>
      </c>
      <c r="Y26" s="127"/>
      <c r="Z26" s="1">
        <v>2026</v>
      </c>
      <c r="AA26" s="121" t="str">
        <f t="shared" si="13"/>
        <v/>
      </c>
      <c r="AB26" s="127"/>
      <c r="AC26" s="1">
        <v>2026</v>
      </c>
      <c r="AD26" s="143" t="str">
        <f t="shared" si="11"/>
        <v/>
      </c>
      <c r="AE26" s="127"/>
      <c r="AF26" s="120">
        <v>2026</v>
      </c>
      <c r="AG26" s="121" t="str">
        <f t="shared" si="14"/>
        <v/>
      </c>
      <c r="AH26" s="127"/>
      <c r="AI26" s="127"/>
      <c r="AJ26" s="127"/>
      <c r="AK26" s="127"/>
      <c r="AL26" s="127"/>
      <c r="AM26" s="127"/>
      <c r="AN26" s="127"/>
      <c r="AO26" s="127"/>
      <c r="AP26" s="127"/>
      <c r="AQ26" s="127"/>
      <c r="AR26" s="127"/>
      <c r="AS26" s="127"/>
      <c r="AT26" s="127"/>
    </row>
    <row r="27" spans="1:46">
      <c r="A27" s="127"/>
      <c r="B27" s="120">
        <v>2027</v>
      </c>
      <c r="C27" s="51" t="str" cm="1">
        <f t="array" ref="C27">IF(B27&gt;current_year,"",INDEX(Showerheads_h2o,B27-2006))</f>
        <v/>
      </c>
      <c r="D27" s="127"/>
      <c r="E27" s="117">
        <v>2027</v>
      </c>
      <c r="F27" s="135" t="str">
        <f t="shared" si="8"/>
        <v/>
      </c>
      <c r="G27" s="127"/>
      <c r="H27" s="117">
        <v>2027</v>
      </c>
      <c r="I27" s="141" t="str">
        <f>IF($C27="","",(C27*perc_hot_water_shower_2027)*(Houses_with_elec_27/Houses_with_plumbing_27)*kwh_per_gal_hot_water_2027)</f>
        <v/>
      </c>
      <c r="J27" s="127"/>
      <c r="K27" s="120">
        <v>2027</v>
      </c>
      <c r="L27" s="121" t="str">
        <f t="shared" si="1"/>
        <v/>
      </c>
      <c r="M27" s="127"/>
      <c r="N27" s="117">
        <v>2027</v>
      </c>
      <c r="O27" s="141" t="str">
        <f>IF($C27="","",(C27*perc_hot_water_shower_2027)*((Houses_with_plumbing_27-Houses_with_elec_27)/Houses_with_plumbing_27)*mcf_per_gal_hot_water_2027)</f>
        <v/>
      </c>
      <c r="P27" s="127"/>
      <c r="Q27" s="1">
        <v>2027</v>
      </c>
      <c r="R27" s="141" t="str">
        <f t="shared" si="9"/>
        <v/>
      </c>
      <c r="S27" s="127"/>
      <c r="T27" s="1">
        <v>2027</v>
      </c>
      <c r="U27" s="141" t="str">
        <f t="shared" si="10"/>
        <v/>
      </c>
      <c r="V27" s="127"/>
      <c r="W27" s="1">
        <v>2027</v>
      </c>
      <c r="X27" s="121" t="str">
        <f t="shared" si="12"/>
        <v/>
      </c>
      <c r="Y27" s="127"/>
      <c r="Z27" s="1">
        <v>2027</v>
      </c>
      <c r="AA27" s="121" t="str">
        <f t="shared" si="13"/>
        <v/>
      </c>
      <c r="AB27" s="127"/>
      <c r="AC27" s="1">
        <v>2027</v>
      </c>
      <c r="AD27" s="143" t="str">
        <f t="shared" si="11"/>
        <v/>
      </c>
      <c r="AE27" s="127"/>
      <c r="AF27" s="120">
        <v>2027</v>
      </c>
      <c r="AG27" s="121" t="str">
        <f t="shared" si="14"/>
        <v/>
      </c>
      <c r="AH27" s="127"/>
      <c r="AI27" s="127"/>
      <c r="AJ27" s="127"/>
      <c r="AK27" s="127"/>
      <c r="AL27" s="127"/>
      <c r="AM27" s="127"/>
      <c r="AN27" s="127"/>
      <c r="AO27" s="127"/>
      <c r="AP27" s="127"/>
      <c r="AQ27" s="127"/>
      <c r="AR27" s="127"/>
      <c r="AS27" s="127"/>
      <c r="AT27" s="127"/>
    </row>
    <row r="28" spans="1:46">
      <c r="A28" s="127"/>
      <c r="B28" s="120">
        <v>2028</v>
      </c>
      <c r="C28" s="51" t="str" cm="1">
        <f t="array" ref="C28">IF(B28&gt;current_year,"",INDEX(Showerheads_h2o,B28-2006))</f>
        <v/>
      </c>
      <c r="D28" s="127"/>
      <c r="E28" s="117">
        <v>2028</v>
      </c>
      <c r="F28" s="135" t="str">
        <f t="shared" si="8"/>
        <v/>
      </c>
      <c r="G28" s="127"/>
      <c r="H28" s="117">
        <v>2028</v>
      </c>
      <c r="I28" s="141" t="str">
        <f>IF($C28="","",(C28*perc_hot_water_shower_2028)*(Houses_with_elec_28/Houses_with_plumbing_28)*kwh_per_gal_hot_water_2028)</f>
        <v/>
      </c>
      <c r="J28" s="127"/>
      <c r="K28" s="120">
        <v>2028</v>
      </c>
      <c r="L28" s="121" t="str">
        <f t="shared" si="1"/>
        <v/>
      </c>
      <c r="M28" s="127"/>
      <c r="N28" s="117">
        <v>2028</v>
      </c>
      <c r="O28" s="141" t="str">
        <f>IF($C28="","",(C28*perc_hot_water_shower_2028)*((Houses_with_plumbing_28-Houses_with_elec_28)/Houses_with_plumbing_28)*mcf_per_gal_hot_water_2028)</f>
        <v/>
      </c>
      <c r="P28" s="127"/>
      <c r="Q28" s="1">
        <v>2028</v>
      </c>
      <c r="R28" s="141" t="str">
        <f t="shared" si="9"/>
        <v/>
      </c>
      <c r="S28" s="127"/>
      <c r="T28" s="1">
        <v>2028</v>
      </c>
      <c r="U28" s="141" t="str">
        <f t="shared" si="10"/>
        <v/>
      </c>
      <c r="V28" s="127"/>
      <c r="W28" s="1">
        <v>2028</v>
      </c>
      <c r="X28" s="121" t="str">
        <f t="shared" si="12"/>
        <v/>
      </c>
      <c r="Y28" s="127"/>
      <c r="Z28" s="1">
        <v>2028</v>
      </c>
      <c r="AA28" s="121" t="str">
        <f t="shared" si="13"/>
        <v/>
      </c>
      <c r="AB28" s="127"/>
      <c r="AC28" s="1">
        <v>2028</v>
      </c>
      <c r="AD28" s="143" t="str">
        <f t="shared" si="11"/>
        <v/>
      </c>
      <c r="AE28" s="127"/>
      <c r="AF28" s="120">
        <v>2028</v>
      </c>
      <c r="AG28" s="121" t="str">
        <f t="shared" si="14"/>
        <v/>
      </c>
      <c r="AH28" s="127"/>
      <c r="AI28" s="127"/>
      <c r="AJ28" s="127"/>
      <c r="AK28" s="127"/>
      <c r="AL28" s="127"/>
      <c r="AM28" s="127"/>
      <c r="AN28" s="127"/>
      <c r="AO28" s="127"/>
      <c r="AP28" s="127"/>
      <c r="AQ28" s="127"/>
      <c r="AR28" s="127"/>
      <c r="AS28" s="127"/>
      <c r="AT28" s="127"/>
    </row>
    <row r="29" spans="1:46">
      <c r="A29" s="127"/>
      <c r="B29" s="120">
        <v>2029</v>
      </c>
      <c r="C29" s="51" t="str" cm="1">
        <f t="array" ref="C29">IF(B29&gt;current_year,"",INDEX(Showerheads_h2o,B29-2006))</f>
        <v/>
      </c>
      <c r="D29" s="127"/>
      <c r="E29" s="117">
        <v>2029</v>
      </c>
      <c r="F29" s="135" t="str">
        <f t="shared" si="8"/>
        <v/>
      </c>
      <c r="G29" s="127"/>
      <c r="H29" s="117">
        <v>2029</v>
      </c>
      <c r="I29" s="141" t="str">
        <f>IF($C29="","",(C29*perc_hot_water_shower_2029)*(Houses_with_elec_29/Houses_with_plumbing_29)*kwh_per_gal_hot_water_2029)</f>
        <v/>
      </c>
      <c r="J29" s="127"/>
      <c r="K29" s="120">
        <v>2029</v>
      </c>
      <c r="L29" s="121" t="str">
        <f t="shared" si="1"/>
        <v/>
      </c>
      <c r="M29" s="127"/>
      <c r="N29" s="117">
        <v>2029</v>
      </c>
      <c r="O29" s="141" t="str">
        <f>IF($C29="","",(C29*perc_hot_water_shower_2029)*((Houses_with_plumbing_29-Houses_with_elec_29)/Houses_with_plumbing_29)*mcf_per_gal_hot_water_2029)</f>
        <v/>
      </c>
      <c r="P29" s="127"/>
      <c r="Q29" s="1">
        <v>2029</v>
      </c>
      <c r="R29" s="141" t="str">
        <f t="shared" si="9"/>
        <v/>
      </c>
      <c r="S29" s="127"/>
      <c r="T29" s="1">
        <v>2029</v>
      </c>
      <c r="U29" s="141" t="str">
        <f t="shared" si="10"/>
        <v/>
      </c>
      <c r="V29" s="127"/>
      <c r="W29" s="1">
        <v>2029</v>
      </c>
      <c r="X29" s="121" t="str">
        <f t="shared" si="12"/>
        <v/>
      </c>
      <c r="Y29" s="127"/>
      <c r="Z29" s="1">
        <v>2029</v>
      </c>
      <c r="AA29" s="121" t="str">
        <f t="shared" si="13"/>
        <v/>
      </c>
      <c r="AB29" s="127"/>
      <c r="AC29" s="1">
        <v>2029</v>
      </c>
      <c r="AD29" s="143" t="str">
        <f t="shared" si="11"/>
        <v/>
      </c>
      <c r="AE29" s="127"/>
      <c r="AF29" s="120">
        <v>2029</v>
      </c>
      <c r="AG29" s="121" t="str">
        <f t="shared" si="14"/>
        <v/>
      </c>
      <c r="AH29" s="127"/>
      <c r="AI29" s="127"/>
      <c r="AJ29" s="127"/>
      <c r="AK29" s="127"/>
      <c r="AL29" s="127"/>
      <c r="AM29" s="127"/>
      <c r="AN29" s="127"/>
      <c r="AO29" s="127"/>
      <c r="AP29" s="127"/>
      <c r="AQ29" s="127"/>
      <c r="AR29" s="127"/>
      <c r="AS29" s="127"/>
      <c r="AT29" s="127"/>
    </row>
    <row r="30" spans="1:46" ht="13.5" thickBot="1">
      <c r="A30" s="127"/>
      <c r="B30" s="120">
        <v>2030</v>
      </c>
      <c r="C30" s="51" t="str" cm="1">
        <f t="array" ref="C30">IF(B30&gt;current_year,"",INDEX(Showerheads_h2o,B30-2006))</f>
        <v/>
      </c>
      <c r="D30" s="127"/>
      <c r="E30" s="117">
        <v>2030</v>
      </c>
      <c r="F30" s="135" t="str">
        <f t="shared" si="8"/>
        <v/>
      </c>
      <c r="G30" s="127"/>
      <c r="H30" s="117">
        <v>2030</v>
      </c>
      <c r="I30" s="142" t="str">
        <f>IF($C30="","",(C30*perc_hot_water_shower_2030)*(Houses_with_elec_30/Houses_with_plumbing_30)*kwh_per_gal_hot_water_2030)</f>
        <v/>
      </c>
      <c r="J30" s="127"/>
      <c r="K30" s="120">
        <v>2030</v>
      </c>
      <c r="L30" s="121" t="str">
        <f t="shared" si="1"/>
        <v/>
      </c>
      <c r="M30" s="127"/>
      <c r="N30" s="117">
        <v>2030</v>
      </c>
      <c r="O30" s="142" t="str">
        <f>IF($C30="","",(C30*perc_hot_water_shower_2030)*((Houses_with_plumbing_30-Houses_with_elec_30)/Houses_with_plumbing_30)*mcf_per_gal_hot_water_2030)</f>
        <v/>
      </c>
      <c r="P30" s="127"/>
      <c r="Q30" s="1">
        <v>2030</v>
      </c>
      <c r="R30" s="142" t="str">
        <f t="shared" si="9"/>
        <v/>
      </c>
      <c r="S30" s="127"/>
      <c r="T30" s="1">
        <v>2030</v>
      </c>
      <c r="U30" s="142" t="str">
        <f t="shared" si="10"/>
        <v/>
      </c>
      <c r="V30" s="127"/>
      <c r="W30" s="1">
        <v>2030</v>
      </c>
      <c r="X30" s="121" t="str">
        <f t="shared" si="12"/>
        <v/>
      </c>
      <c r="Y30" s="127"/>
      <c r="Z30" s="1">
        <v>2030</v>
      </c>
      <c r="AA30" s="121" t="str">
        <f t="shared" si="13"/>
        <v/>
      </c>
      <c r="AB30" s="127"/>
      <c r="AC30" s="1">
        <v>2030</v>
      </c>
      <c r="AD30" s="144" t="str">
        <f t="shared" si="11"/>
        <v/>
      </c>
      <c r="AE30" s="127"/>
      <c r="AF30" s="120">
        <v>2030</v>
      </c>
      <c r="AG30" s="121" t="str">
        <f t="shared" si="14"/>
        <v/>
      </c>
      <c r="AH30" s="127"/>
      <c r="AI30" s="127"/>
      <c r="AJ30" s="127"/>
      <c r="AK30" s="127"/>
      <c r="AL30" s="127"/>
      <c r="AM30" s="127"/>
      <c r="AN30" s="127"/>
      <c r="AO30" s="127"/>
      <c r="AP30" s="127"/>
      <c r="AQ30" s="127"/>
      <c r="AR30" s="127"/>
      <c r="AS30" s="127"/>
      <c r="AT30" s="127"/>
    </row>
    <row r="31" spans="1:46">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row>
    <row r="32" spans="1:46">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7"/>
      <c r="AR32" s="127"/>
      <c r="AS32" s="127"/>
      <c r="AT32" s="127"/>
    </row>
    <row r="33" spans="1:46">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row>
    <row r="34" spans="1:46">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row>
    <row r="35" spans="1:46">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row>
    <row r="36" spans="1:46">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row>
    <row r="37" spans="1:46">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c r="AQ37" s="127"/>
      <c r="AR37" s="127"/>
      <c r="AS37" s="127"/>
      <c r="AT37" s="127"/>
    </row>
    <row r="38" spans="1:46">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row>
    <row r="39" spans="1:46">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7"/>
      <c r="AR39" s="127"/>
      <c r="AS39" s="127"/>
      <c r="AT39" s="127"/>
    </row>
    <row r="40" spans="1:46">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row>
    <row r="41" spans="1:46">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c r="AQ41" s="127"/>
      <c r="AR41" s="127"/>
      <c r="AS41" s="127"/>
      <c r="AT41" s="127"/>
    </row>
    <row r="42" spans="1:46">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row>
    <row r="43" spans="1:46">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row>
    <row r="44" spans="1:46">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127"/>
      <c r="AR44" s="127"/>
      <c r="AS44" s="127"/>
      <c r="AT44" s="127"/>
    </row>
    <row r="45" spans="1:46">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27"/>
    </row>
    <row r="46" spans="1:46">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row>
    <row r="47" spans="1:46">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row>
    <row r="48" spans="1:46">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27"/>
    </row>
    <row r="49" spans="1:46">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row>
    <row r="50" spans="1:46">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row>
    <row r="51" spans="1:46">
      <c r="D51" s="118"/>
      <c r="G51" s="118"/>
      <c r="AE51" s="127"/>
      <c r="AF51" s="127"/>
      <c r="AG51" s="127"/>
    </row>
    <row r="52" spans="1:46">
      <c r="D52" s="118"/>
      <c r="G52" s="118"/>
      <c r="AE52" s="127"/>
      <c r="AF52" s="127"/>
      <c r="AG52" s="127"/>
    </row>
    <row r="53" spans="1:46">
      <c r="AE53" s="127"/>
      <c r="AF53" s="127"/>
      <c r="AG53" s="127"/>
    </row>
    <row r="54" spans="1:46" ht="13.5" customHeight="1">
      <c r="AE54" s="127"/>
      <c r="AF54" s="127"/>
      <c r="AG54" s="127"/>
    </row>
    <row r="55" spans="1:46">
      <c r="AE55" s="127"/>
      <c r="AF55" s="127"/>
      <c r="AG55" s="127"/>
    </row>
    <row r="56" spans="1:46">
      <c r="AE56" s="127"/>
      <c r="AF56" s="127"/>
      <c r="AG56" s="127"/>
    </row>
    <row r="57" spans="1:46">
      <c r="AE57" s="127"/>
      <c r="AF57" s="127"/>
      <c r="AG57" s="127"/>
    </row>
    <row r="58" spans="1:46">
      <c r="AE58" s="127"/>
      <c r="AF58" s="127"/>
      <c r="AG58" s="127"/>
    </row>
    <row r="59" spans="1:46">
      <c r="AE59" s="127"/>
      <c r="AF59" s="127"/>
      <c r="AG59" s="127"/>
    </row>
    <row r="60" spans="1:46">
      <c r="AE60" s="127"/>
      <c r="AF60" s="127"/>
      <c r="AG60" s="127"/>
    </row>
    <row r="61" spans="1:46">
      <c r="AE61" s="127"/>
      <c r="AF61" s="127"/>
      <c r="AG61" s="127"/>
    </row>
    <row r="62" spans="1:46">
      <c r="AE62" s="127"/>
      <c r="AF62" s="127"/>
      <c r="AG62" s="127"/>
    </row>
    <row r="63" spans="1:46">
      <c r="AE63" s="127"/>
      <c r="AF63" s="127"/>
      <c r="AG63" s="127"/>
    </row>
    <row r="64" spans="1:46">
      <c r="AE64" s="127"/>
      <c r="AF64" s="127"/>
      <c r="AG64" s="127"/>
    </row>
    <row r="65" spans="9:33">
      <c r="AE65" s="127"/>
      <c r="AF65" s="127"/>
      <c r="AG65" s="127"/>
    </row>
    <row r="66" spans="9:33">
      <c r="AE66" s="127"/>
      <c r="AF66" s="127"/>
      <c r="AG66" s="127"/>
    </row>
    <row r="67" spans="9:33">
      <c r="I67" s="118"/>
      <c r="AE67" s="127"/>
      <c r="AF67" s="127"/>
      <c r="AG67" s="127"/>
    </row>
    <row r="68" spans="9:33">
      <c r="AE68" s="127"/>
      <c r="AF68" s="127"/>
      <c r="AG68" s="127"/>
    </row>
    <row r="69" spans="9:33">
      <c r="AE69" s="127"/>
      <c r="AF69" s="127"/>
      <c r="AG69" s="127"/>
    </row>
    <row r="70" spans="9:33">
      <c r="AE70" s="127"/>
      <c r="AF70" s="127"/>
      <c r="AG70" s="127"/>
    </row>
    <row r="71" spans="9:33">
      <c r="AE71" s="127"/>
      <c r="AF71" s="127"/>
      <c r="AG71" s="127"/>
    </row>
    <row r="72" spans="9:33">
      <c r="AE72" s="127"/>
      <c r="AF72" s="127"/>
      <c r="AG72" s="127"/>
    </row>
    <row r="73" spans="9:33">
      <c r="AE73" s="127"/>
      <c r="AF73" s="127"/>
      <c r="AG73" s="127"/>
    </row>
    <row r="74" spans="9:33">
      <c r="AE74" s="127"/>
      <c r="AF74" s="127"/>
      <c r="AG74" s="127"/>
    </row>
    <row r="75" spans="9:33">
      <c r="AE75" s="127"/>
      <c r="AF75" s="127"/>
      <c r="AG75" s="127"/>
    </row>
    <row r="76" spans="9:33">
      <c r="AE76" s="127"/>
      <c r="AF76" s="127"/>
      <c r="AG76" s="127"/>
    </row>
    <row r="77" spans="9:33">
      <c r="AE77" s="127"/>
      <c r="AF77" s="127"/>
      <c r="AG77" s="127"/>
    </row>
    <row r="78" spans="9:33">
      <c r="AE78" s="127"/>
      <c r="AF78" s="127"/>
      <c r="AG78" s="127"/>
    </row>
    <row r="79" spans="9:33">
      <c r="AE79" s="127"/>
      <c r="AF79" s="127"/>
      <c r="AG79" s="127"/>
    </row>
    <row r="80" spans="9:33">
      <c r="AE80" s="127"/>
      <c r="AF80" s="127"/>
      <c r="AG80" s="127"/>
    </row>
    <row r="81" spans="31:33">
      <c r="AE81" s="127"/>
      <c r="AF81" s="127"/>
      <c r="AG81" s="127"/>
    </row>
    <row r="82" spans="31:33">
      <c r="AE82" s="127"/>
      <c r="AF82" s="127"/>
      <c r="AG82" s="127"/>
    </row>
    <row r="83" spans="31:33">
      <c r="AE83" s="127"/>
      <c r="AF83" s="127"/>
      <c r="AG83" s="127"/>
    </row>
    <row r="84" spans="31:33">
      <c r="AE84" s="127"/>
      <c r="AF84" s="127"/>
      <c r="AG84" s="127"/>
    </row>
    <row r="85" spans="31:33">
      <c r="AE85" s="127"/>
      <c r="AF85" s="127"/>
      <c r="AG85" s="127"/>
    </row>
    <row r="86" spans="31:33">
      <c r="AE86" s="127"/>
      <c r="AF86" s="127"/>
      <c r="AG86" s="127"/>
    </row>
    <row r="87" spans="31:33">
      <c r="AE87" s="127"/>
      <c r="AF87" s="127"/>
      <c r="AG87" s="127"/>
    </row>
    <row r="88" spans="31:33">
      <c r="AE88" s="127"/>
      <c r="AF88" s="127"/>
      <c r="AG88" s="127"/>
    </row>
    <row r="89" spans="31:33">
      <c r="AE89" s="127"/>
      <c r="AF89" s="127"/>
      <c r="AG89" s="127"/>
    </row>
    <row r="90" spans="31:33">
      <c r="AE90" s="127"/>
      <c r="AF90" s="127"/>
      <c r="AG90" s="127"/>
    </row>
    <row r="91" spans="31:33">
      <c r="AE91" s="127"/>
      <c r="AF91" s="127"/>
      <c r="AG91" s="127"/>
    </row>
    <row r="92" spans="31:33">
      <c r="AE92" s="127"/>
      <c r="AF92" s="127"/>
      <c r="AG92" s="127"/>
    </row>
    <row r="93" spans="31:33">
      <c r="AE93" s="127"/>
      <c r="AF93" s="127"/>
      <c r="AG93" s="127"/>
    </row>
    <row r="94" spans="31:33">
      <c r="AE94" s="127"/>
      <c r="AF94" s="127"/>
      <c r="AG94" s="127"/>
    </row>
    <row r="95" spans="31:33">
      <c r="AE95" s="127"/>
      <c r="AF95" s="127"/>
      <c r="AG95" s="127"/>
    </row>
    <row r="96" spans="31:33">
      <c r="AE96" s="127"/>
      <c r="AF96" s="127"/>
      <c r="AG96" s="127"/>
    </row>
    <row r="97" spans="31:33">
      <c r="AE97" s="127"/>
      <c r="AF97" s="127"/>
      <c r="AG97" s="127"/>
    </row>
    <row r="98" spans="31:33">
      <c r="AE98" s="127"/>
      <c r="AF98" s="127"/>
      <c r="AG98" s="127"/>
    </row>
    <row r="99" spans="31:33">
      <c r="AE99" s="127"/>
      <c r="AF99" s="127"/>
      <c r="AG99" s="127"/>
    </row>
    <row r="100" spans="31:33">
      <c r="AE100" s="127"/>
      <c r="AF100" s="127"/>
      <c r="AG100" s="127"/>
    </row>
  </sheetData>
  <phoneticPr fontId="43"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042ED-59E7-4470-8773-E43371FFF467}">
  <sheetPr codeName="Sheet10">
    <tabColor theme="3" tint="0.39997558519241921"/>
    <pageSetUpPr fitToPage="1"/>
  </sheetPr>
  <dimension ref="A1:O38"/>
  <sheetViews>
    <sheetView workbookViewId="0">
      <selection activeCell="C7" sqref="C7"/>
    </sheetView>
  </sheetViews>
  <sheetFormatPr defaultRowHeight="12.75"/>
  <cols>
    <col min="1" max="1" width="6.7109375" customWidth="1"/>
    <col min="2" max="2" width="8.7109375" customWidth="1"/>
    <col min="3" max="9" width="14.7109375" customWidth="1"/>
    <col min="10" max="10" width="15.7109375" customWidth="1"/>
    <col min="11" max="11" width="14.7109375" customWidth="1"/>
  </cols>
  <sheetData>
    <row r="1" spans="1:15">
      <c r="A1" s="63"/>
      <c r="B1" s="63"/>
      <c r="C1" s="63"/>
      <c r="D1" s="63"/>
      <c r="E1" s="63"/>
      <c r="F1" s="63"/>
      <c r="G1" s="63"/>
      <c r="H1" s="63"/>
      <c r="I1" s="63"/>
      <c r="J1" s="63"/>
      <c r="K1" s="63"/>
      <c r="L1" s="63"/>
      <c r="M1" s="63"/>
      <c r="N1" s="63"/>
      <c r="O1" s="63"/>
    </row>
    <row r="2" spans="1:15" ht="30" customHeight="1">
      <c r="A2" s="63"/>
      <c r="B2" s="63"/>
      <c r="C2" s="379" t="str">
        <f>IF(
AND(partner_type="Manufacturer",OR(Introduction!F17="Custom Value",Introduction!F18="Custom Value",Introduction!F19="Custom Value",Introduction!F20="Custom Value")),
"Directions: Please enter the total number of WaterSense labeled products shipped in each category below.
Please ensure you have entered the appropriate values for custom utility rates on the 'Utility Cost' tab.",
IF(partner_type="Manufacturer","Directions: Please enter the total number of WaterSense labeled products shipped in each category below.","This tab is only used for manufacturer partners. Please select the appropriate tab from the options at the bottom of the spreadsheet."))</f>
        <v>This tab is only used for manufacturer partners. Please select the appropriate tab from the options at the bottom of the spreadsheet.</v>
      </c>
      <c r="D2" s="379"/>
      <c r="E2" s="379"/>
      <c r="F2" s="379"/>
      <c r="G2" s="379"/>
      <c r="H2" s="379"/>
      <c r="I2" s="379"/>
      <c r="J2" s="379"/>
      <c r="K2" s="379"/>
      <c r="L2" s="63"/>
      <c r="M2" s="63"/>
      <c r="N2" s="63"/>
      <c r="O2" s="63"/>
    </row>
    <row r="3" spans="1:15" ht="12" customHeight="1">
      <c r="A3" s="63"/>
      <c r="B3" s="63"/>
      <c r="C3" s="244"/>
      <c r="D3" s="244"/>
      <c r="E3" s="244"/>
      <c r="F3" s="244"/>
      <c r="G3" s="244"/>
      <c r="H3" s="244"/>
      <c r="I3" s="244"/>
      <c r="J3" s="244"/>
      <c r="K3" s="244"/>
      <c r="L3" s="63"/>
      <c r="M3" s="63"/>
      <c r="N3" s="63"/>
      <c r="O3" s="63"/>
    </row>
    <row r="4" spans="1:15">
      <c r="A4" s="63"/>
      <c r="B4" s="63"/>
      <c r="C4" s="63"/>
      <c r="D4" s="63"/>
      <c r="E4" s="63"/>
      <c r="F4" s="63"/>
      <c r="G4" s="63"/>
      <c r="H4" s="63"/>
      <c r="I4" s="63"/>
      <c r="J4" s="63"/>
      <c r="K4" s="63"/>
      <c r="L4" s="63"/>
      <c r="M4" s="63"/>
      <c r="N4" s="63"/>
      <c r="O4" s="63"/>
    </row>
    <row r="5" spans="1:15" ht="15">
      <c r="A5" s="63"/>
      <c r="B5" s="63"/>
      <c r="C5" s="378" t="s">
        <v>10</v>
      </c>
      <c r="D5" s="378"/>
      <c r="E5" s="378"/>
      <c r="F5" s="378"/>
      <c r="G5" s="378"/>
      <c r="H5" s="378"/>
      <c r="I5" s="378"/>
      <c r="J5" s="378"/>
      <c r="K5" s="378"/>
      <c r="L5" s="63"/>
      <c r="M5" s="63"/>
      <c r="N5" s="63"/>
      <c r="O5" s="63"/>
    </row>
    <row r="6" spans="1:15" ht="60">
      <c r="A6" s="63"/>
      <c r="B6" s="257" t="s">
        <v>11</v>
      </c>
      <c r="C6" s="256" t="s">
        <v>12</v>
      </c>
      <c r="D6" s="256" t="s">
        <v>13</v>
      </c>
      <c r="E6" s="256" t="s">
        <v>14</v>
      </c>
      <c r="F6" s="256" t="s">
        <v>15</v>
      </c>
      <c r="G6" s="256" t="s">
        <v>16</v>
      </c>
      <c r="H6" s="256" t="s">
        <v>17</v>
      </c>
      <c r="I6" s="256" t="s">
        <v>18</v>
      </c>
      <c r="J6" s="256" t="s">
        <v>19</v>
      </c>
      <c r="K6" s="256" t="s">
        <v>20</v>
      </c>
      <c r="L6" s="63"/>
      <c r="M6" s="63"/>
      <c r="N6" s="63"/>
      <c r="O6" s="63"/>
    </row>
    <row r="7" spans="1:15" ht="15">
      <c r="A7" s="63"/>
      <c r="B7" s="258">
        <v>2007</v>
      </c>
      <c r="C7" s="261"/>
      <c r="D7" s="260"/>
      <c r="E7" s="260"/>
      <c r="F7" s="260"/>
      <c r="G7" s="260"/>
      <c r="H7" s="260"/>
      <c r="I7" s="260"/>
      <c r="J7" s="260"/>
      <c r="K7" s="260"/>
      <c r="L7" s="63"/>
      <c r="M7" s="63"/>
      <c r="N7" s="63"/>
      <c r="O7" s="63"/>
    </row>
    <row r="8" spans="1:15" ht="15">
      <c r="A8" s="63"/>
      <c r="B8" s="257">
        <v>2008</v>
      </c>
      <c r="C8" s="261"/>
      <c r="D8" s="261"/>
      <c r="E8" s="261"/>
      <c r="F8" s="262"/>
      <c r="G8" s="260"/>
      <c r="H8" s="260"/>
      <c r="I8" s="260"/>
      <c r="J8" s="260"/>
      <c r="K8" s="260"/>
      <c r="L8" s="63"/>
      <c r="M8" s="63"/>
      <c r="N8" s="63"/>
      <c r="O8" s="63"/>
    </row>
    <row r="9" spans="1:15" ht="15">
      <c r="A9" s="63"/>
      <c r="B9" s="258">
        <v>2009</v>
      </c>
      <c r="C9" s="261"/>
      <c r="D9" s="261"/>
      <c r="E9" s="261"/>
      <c r="F9" s="260"/>
      <c r="G9" s="260"/>
      <c r="H9" s="260"/>
      <c r="I9" s="260"/>
      <c r="J9" s="260"/>
      <c r="K9" s="260"/>
      <c r="L9" s="63"/>
      <c r="M9" s="63"/>
      <c r="N9" s="63"/>
      <c r="O9" s="63"/>
    </row>
    <row r="10" spans="1:15" ht="15">
      <c r="A10" s="63"/>
      <c r="B10" s="257">
        <v>2010</v>
      </c>
      <c r="C10" s="261"/>
      <c r="D10" s="261"/>
      <c r="E10" s="261"/>
      <c r="F10" s="261"/>
      <c r="G10" s="262"/>
      <c r="H10" s="261"/>
      <c r="I10" s="262"/>
      <c r="J10" s="262"/>
      <c r="K10" s="262"/>
      <c r="L10" s="63"/>
      <c r="M10" s="63"/>
      <c r="N10" s="63"/>
      <c r="O10" s="63"/>
    </row>
    <row r="11" spans="1:15" ht="15">
      <c r="A11" s="63"/>
      <c r="B11" s="258">
        <v>2011</v>
      </c>
      <c r="C11" s="261"/>
      <c r="D11" s="261"/>
      <c r="E11" s="261"/>
      <c r="F11" s="261"/>
      <c r="G11" s="260"/>
      <c r="H11" s="261"/>
      <c r="I11" s="260"/>
      <c r="J11" s="260"/>
      <c r="K11" s="260"/>
      <c r="L11" s="63"/>
      <c r="M11" s="63"/>
      <c r="N11" s="63"/>
      <c r="O11" s="63"/>
    </row>
    <row r="12" spans="1:15" ht="15">
      <c r="A12" s="63"/>
      <c r="B12" s="257">
        <v>2012</v>
      </c>
      <c r="C12" s="261"/>
      <c r="D12" s="261"/>
      <c r="E12" s="261"/>
      <c r="F12" s="261"/>
      <c r="G12" s="262"/>
      <c r="H12" s="261"/>
      <c r="I12" s="261"/>
      <c r="J12" s="260"/>
      <c r="K12" s="262"/>
      <c r="L12" s="63"/>
      <c r="M12" s="63"/>
      <c r="N12" s="63"/>
      <c r="O12" s="63"/>
    </row>
    <row r="13" spans="1:15" ht="15">
      <c r="A13" s="63"/>
      <c r="B13" s="258">
        <v>2013</v>
      </c>
      <c r="C13" s="261"/>
      <c r="D13" s="261"/>
      <c r="E13" s="261"/>
      <c r="F13" s="261"/>
      <c r="G13" s="260"/>
      <c r="H13" s="261"/>
      <c r="I13" s="261"/>
      <c r="J13" s="260"/>
      <c r="K13" s="260"/>
      <c r="L13" s="63"/>
      <c r="M13" s="63"/>
      <c r="N13" s="63"/>
      <c r="O13" s="63"/>
    </row>
    <row r="14" spans="1:15" ht="15">
      <c r="A14" s="63"/>
      <c r="B14" s="257">
        <v>2014</v>
      </c>
      <c r="C14" s="261"/>
      <c r="D14" s="261"/>
      <c r="E14" s="261"/>
      <c r="F14" s="261"/>
      <c r="G14" s="262"/>
      <c r="H14" s="261"/>
      <c r="I14" s="261"/>
      <c r="J14" s="260"/>
      <c r="K14" s="262"/>
      <c r="L14" s="63"/>
      <c r="M14" s="63"/>
      <c r="N14" s="63"/>
      <c r="O14" s="63"/>
    </row>
    <row r="15" spans="1:15" ht="15">
      <c r="A15" s="63"/>
      <c r="B15" s="258">
        <v>2015</v>
      </c>
      <c r="C15" s="261"/>
      <c r="D15" s="261"/>
      <c r="E15" s="261"/>
      <c r="F15" s="261"/>
      <c r="G15" s="260"/>
      <c r="H15" s="261"/>
      <c r="I15" s="261"/>
      <c r="J15" s="260"/>
      <c r="K15" s="260"/>
      <c r="L15" s="63"/>
      <c r="M15" s="63"/>
      <c r="N15" s="63"/>
      <c r="O15" s="63"/>
    </row>
    <row r="16" spans="1:15" ht="15">
      <c r="A16" s="63"/>
      <c r="B16" s="257">
        <v>2016</v>
      </c>
      <c r="C16" s="261"/>
      <c r="D16" s="261"/>
      <c r="E16" s="261"/>
      <c r="F16" s="261"/>
      <c r="G16" s="261"/>
      <c r="H16" s="261"/>
      <c r="I16" s="261"/>
      <c r="J16" s="260"/>
      <c r="K16" s="262"/>
      <c r="L16" s="63"/>
      <c r="M16" s="63"/>
      <c r="N16" s="63"/>
      <c r="O16" s="63"/>
    </row>
    <row r="17" spans="1:15" ht="15">
      <c r="A17" s="63"/>
      <c r="B17" s="258">
        <v>2017</v>
      </c>
      <c r="C17" s="261"/>
      <c r="D17" s="261"/>
      <c r="E17" s="261"/>
      <c r="F17" s="261"/>
      <c r="G17" s="261"/>
      <c r="H17" s="261"/>
      <c r="I17" s="261"/>
      <c r="J17" s="260"/>
      <c r="K17" s="260"/>
      <c r="L17" s="63"/>
      <c r="M17" s="63"/>
      <c r="N17" s="63"/>
      <c r="O17" s="63"/>
    </row>
    <row r="18" spans="1:15" ht="15">
      <c r="A18" s="63"/>
      <c r="B18" s="257">
        <v>2018</v>
      </c>
      <c r="C18" s="261"/>
      <c r="D18" s="261"/>
      <c r="E18" s="261"/>
      <c r="F18" s="261"/>
      <c r="G18" s="261"/>
      <c r="H18" s="261"/>
      <c r="I18" s="261"/>
      <c r="J18" s="260"/>
      <c r="K18" s="261"/>
      <c r="L18" s="63"/>
      <c r="M18" s="63"/>
      <c r="N18" s="63"/>
      <c r="O18" s="63"/>
    </row>
    <row r="19" spans="1:15" ht="15">
      <c r="A19" s="63"/>
      <c r="B19" s="258">
        <v>2019</v>
      </c>
      <c r="C19" s="261"/>
      <c r="D19" s="261"/>
      <c r="E19" s="261"/>
      <c r="F19" s="261"/>
      <c r="G19" s="261"/>
      <c r="H19" s="261"/>
      <c r="I19" s="261"/>
      <c r="J19" s="260"/>
      <c r="K19" s="261"/>
      <c r="L19" s="63"/>
      <c r="M19" s="63"/>
      <c r="N19" s="63"/>
      <c r="O19" s="63"/>
    </row>
    <row r="20" spans="1:15" ht="15">
      <c r="A20" s="63"/>
      <c r="B20" s="257">
        <v>2020</v>
      </c>
      <c r="C20" s="261"/>
      <c r="D20" s="261"/>
      <c r="E20" s="261"/>
      <c r="F20" s="261"/>
      <c r="G20" s="261"/>
      <c r="H20" s="261"/>
      <c r="I20" s="261"/>
      <c r="J20" s="260"/>
      <c r="K20" s="261"/>
      <c r="L20" s="63"/>
      <c r="M20" s="63"/>
      <c r="N20" s="63"/>
      <c r="O20" s="63"/>
    </row>
    <row r="21" spans="1:15" ht="15">
      <c r="A21" s="63"/>
      <c r="B21" s="258">
        <v>2021</v>
      </c>
      <c r="C21" s="261"/>
      <c r="D21" s="261"/>
      <c r="E21" s="261"/>
      <c r="F21" s="261"/>
      <c r="G21" s="261"/>
      <c r="H21" s="261"/>
      <c r="I21" s="261"/>
      <c r="J21" s="260"/>
      <c r="K21" s="261"/>
      <c r="L21" s="63"/>
      <c r="M21" s="63"/>
      <c r="N21" s="63"/>
      <c r="O21" s="63"/>
    </row>
    <row r="22" spans="1:15" ht="15">
      <c r="A22" s="63"/>
      <c r="B22" s="257">
        <v>2022</v>
      </c>
      <c r="C22" s="261"/>
      <c r="D22" s="261"/>
      <c r="E22" s="261"/>
      <c r="F22" s="261"/>
      <c r="G22" s="261"/>
      <c r="H22" s="261"/>
      <c r="I22" s="261"/>
      <c r="J22" s="261"/>
      <c r="K22" s="261"/>
      <c r="L22" s="63"/>
      <c r="M22" s="63"/>
      <c r="N22" s="63"/>
      <c r="O22" s="63"/>
    </row>
    <row r="23" spans="1:15" ht="15">
      <c r="A23" s="63"/>
      <c r="B23" s="258">
        <v>2023</v>
      </c>
      <c r="C23" s="261"/>
      <c r="D23" s="261"/>
      <c r="E23" s="261"/>
      <c r="F23" s="261"/>
      <c r="G23" s="261"/>
      <c r="H23" s="261"/>
      <c r="I23" s="261"/>
      <c r="J23" s="261"/>
      <c r="K23" s="261"/>
      <c r="L23" s="63"/>
      <c r="M23" s="63"/>
      <c r="N23" s="63"/>
      <c r="O23" s="63"/>
    </row>
    <row r="24" spans="1:15" ht="15">
      <c r="A24" s="63"/>
      <c r="B24" s="257">
        <v>2024</v>
      </c>
      <c r="C24" s="261"/>
      <c r="D24" s="261"/>
      <c r="E24" s="261"/>
      <c r="F24" s="261"/>
      <c r="G24" s="261"/>
      <c r="H24" s="261"/>
      <c r="I24" s="261"/>
      <c r="J24" s="261"/>
      <c r="K24" s="261"/>
      <c r="L24" s="63"/>
      <c r="M24" s="63"/>
      <c r="N24" s="63"/>
      <c r="O24" s="63"/>
    </row>
    <row r="25" spans="1:15" ht="15" hidden="1">
      <c r="A25" s="63"/>
      <c r="B25" s="258">
        <v>2025</v>
      </c>
      <c r="C25" s="261"/>
      <c r="D25" s="261"/>
      <c r="E25" s="261"/>
      <c r="F25" s="261"/>
      <c r="G25" s="261"/>
      <c r="H25" s="261"/>
      <c r="I25" s="261"/>
      <c r="J25" s="261"/>
      <c r="K25" s="261"/>
      <c r="L25" s="63"/>
      <c r="M25" s="63"/>
      <c r="N25" s="63"/>
      <c r="O25" s="63"/>
    </row>
    <row r="26" spans="1:15" ht="15" hidden="1">
      <c r="A26" s="63"/>
      <c r="B26" s="257">
        <v>2026</v>
      </c>
      <c r="C26" s="261"/>
      <c r="D26" s="261"/>
      <c r="E26" s="261"/>
      <c r="F26" s="261"/>
      <c r="G26" s="261"/>
      <c r="H26" s="261"/>
      <c r="I26" s="261"/>
      <c r="J26" s="261"/>
      <c r="K26" s="261"/>
      <c r="L26" s="63"/>
      <c r="M26" s="63"/>
      <c r="N26" s="63"/>
      <c r="O26" s="63"/>
    </row>
    <row r="27" spans="1:15" ht="15" hidden="1">
      <c r="A27" s="63"/>
      <c r="B27" s="258">
        <v>2027</v>
      </c>
      <c r="C27" s="261"/>
      <c r="D27" s="261"/>
      <c r="E27" s="261"/>
      <c r="F27" s="261"/>
      <c r="G27" s="261"/>
      <c r="H27" s="261"/>
      <c r="I27" s="261"/>
      <c r="J27" s="261"/>
      <c r="K27" s="261"/>
      <c r="L27" s="63"/>
      <c r="M27" s="63"/>
      <c r="N27" s="63"/>
      <c r="O27" s="63"/>
    </row>
    <row r="28" spans="1:15" ht="15" hidden="1">
      <c r="A28" s="63"/>
      <c r="B28" s="257">
        <v>2028</v>
      </c>
      <c r="C28" s="261"/>
      <c r="D28" s="261"/>
      <c r="E28" s="261"/>
      <c r="F28" s="261"/>
      <c r="G28" s="261"/>
      <c r="H28" s="261"/>
      <c r="I28" s="261"/>
      <c r="J28" s="261"/>
      <c r="K28" s="261"/>
      <c r="L28" s="63"/>
      <c r="M28" s="63"/>
      <c r="N28" s="63"/>
      <c r="O28" s="63"/>
    </row>
    <row r="29" spans="1:15" ht="15" hidden="1">
      <c r="A29" s="63"/>
      <c r="B29" s="258">
        <v>2029</v>
      </c>
      <c r="C29" s="261"/>
      <c r="D29" s="261"/>
      <c r="E29" s="261"/>
      <c r="F29" s="261"/>
      <c r="G29" s="261"/>
      <c r="H29" s="261"/>
      <c r="I29" s="261"/>
      <c r="J29" s="261"/>
      <c r="K29" s="261"/>
      <c r="L29" s="63"/>
      <c r="M29" s="63"/>
      <c r="N29" s="63"/>
      <c r="O29" s="63"/>
    </row>
    <row r="30" spans="1:15" ht="15" hidden="1">
      <c r="A30" s="63"/>
      <c r="B30" s="257">
        <v>2030</v>
      </c>
      <c r="C30" s="261"/>
      <c r="D30" s="261"/>
      <c r="E30" s="261"/>
      <c r="F30" s="261"/>
      <c r="G30" s="261"/>
      <c r="H30" s="261"/>
      <c r="I30" s="261"/>
      <c r="J30" s="261"/>
      <c r="K30" s="261"/>
      <c r="L30" s="63"/>
      <c r="M30" s="63"/>
      <c r="N30" s="63"/>
      <c r="O30" s="63"/>
    </row>
    <row r="31" spans="1:15">
      <c r="A31" s="63"/>
      <c r="B31" s="63"/>
      <c r="C31" s="63"/>
      <c r="D31" s="63"/>
      <c r="E31" s="63"/>
      <c r="F31" s="63"/>
      <c r="G31" s="63"/>
      <c r="H31" s="63"/>
      <c r="I31" s="63"/>
      <c r="J31" s="63"/>
      <c r="K31" s="63"/>
      <c r="L31" s="63"/>
      <c r="M31" s="63"/>
      <c r="N31" s="63"/>
      <c r="O31" s="63"/>
    </row>
    <row r="32" spans="1:15" ht="15">
      <c r="A32" s="63"/>
      <c r="B32" s="63"/>
      <c r="C32" s="259" t="s">
        <v>21</v>
      </c>
      <c r="D32" s="253"/>
      <c r="E32" s="253"/>
      <c r="F32" s="63"/>
      <c r="G32" s="63"/>
      <c r="H32" s="63"/>
      <c r="I32" s="63"/>
      <c r="J32" s="63"/>
      <c r="K32" s="63"/>
      <c r="L32" s="63"/>
      <c r="M32" s="63"/>
      <c r="N32" s="63"/>
      <c r="O32" s="63"/>
    </row>
    <row r="33" spans="1:15" ht="14.25">
      <c r="A33" s="63"/>
      <c r="B33" s="63"/>
      <c r="C33" s="260" t="s">
        <v>22</v>
      </c>
      <c r="D33" s="260"/>
      <c r="E33" s="260"/>
      <c r="F33" s="63"/>
      <c r="G33" s="63"/>
      <c r="H33" s="63"/>
      <c r="I33" s="63"/>
      <c r="J33" s="63"/>
      <c r="K33" s="63"/>
      <c r="L33" s="63"/>
      <c r="M33" s="63"/>
      <c r="N33" s="63"/>
      <c r="O33" s="63"/>
    </row>
    <row r="34" spans="1:15" ht="14.25">
      <c r="A34" s="63"/>
      <c r="B34" s="63"/>
      <c r="C34" s="380" t="s">
        <v>23</v>
      </c>
      <c r="D34" s="381"/>
      <c r="E34" s="382"/>
      <c r="F34" s="63"/>
      <c r="G34" s="63"/>
      <c r="H34" s="63"/>
      <c r="I34" s="63"/>
      <c r="J34" s="63"/>
      <c r="K34" s="63"/>
      <c r="L34" s="63"/>
      <c r="M34" s="63"/>
      <c r="N34" s="63"/>
      <c r="O34" s="63"/>
    </row>
    <row r="35" spans="1:15">
      <c r="A35" s="63"/>
      <c r="B35" s="63"/>
      <c r="C35" s="63"/>
      <c r="D35" s="63"/>
      <c r="E35" s="63"/>
      <c r="F35" s="63"/>
      <c r="G35" s="63"/>
      <c r="H35" s="63"/>
      <c r="I35" s="63"/>
      <c r="J35" s="63"/>
      <c r="K35" s="63"/>
      <c r="L35" s="63"/>
      <c r="M35" s="63"/>
      <c r="N35" s="63"/>
      <c r="O35" s="63"/>
    </row>
    <row r="36" spans="1:15">
      <c r="A36" s="63"/>
      <c r="B36" s="63" t="s">
        <v>24</v>
      </c>
      <c r="C36" s="63"/>
      <c r="D36" s="63"/>
      <c r="E36" s="63"/>
      <c r="F36" s="63"/>
      <c r="G36" s="63"/>
      <c r="H36" s="63"/>
      <c r="I36" s="63"/>
      <c r="J36" s="63"/>
      <c r="K36" s="63"/>
      <c r="L36" s="63"/>
      <c r="M36" s="63"/>
      <c r="N36" s="63"/>
      <c r="O36" s="63"/>
    </row>
    <row r="37" spans="1:15">
      <c r="A37" s="63"/>
      <c r="B37" s="63" t="s">
        <v>25</v>
      </c>
      <c r="C37" s="63"/>
      <c r="D37" s="63"/>
      <c r="E37" s="63"/>
      <c r="F37" s="63"/>
      <c r="G37" s="63"/>
      <c r="H37" s="63"/>
      <c r="I37" s="63"/>
      <c r="J37" s="63"/>
      <c r="K37" s="63"/>
      <c r="L37" s="63"/>
      <c r="M37" s="63"/>
      <c r="N37" s="63"/>
      <c r="O37" s="63"/>
    </row>
    <row r="38" spans="1:15">
      <c r="A38" s="63"/>
      <c r="B38" s="63"/>
      <c r="C38" s="63"/>
      <c r="D38" s="63"/>
      <c r="E38" s="63"/>
      <c r="F38" s="63"/>
      <c r="G38" s="63"/>
      <c r="H38" s="63"/>
      <c r="I38" s="63"/>
      <c r="J38" s="63"/>
      <c r="K38" s="63"/>
      <c r="L38" s="63"/>
      <c r="M38" s="63"/>
      <c r="N38" s="63"/>
      <c r="O38" s="63"/>
    </row>
  </sheetData>
  <sheetProtection algorithmName="SHA-512" hashValue="yAUG0bkIuIeRia6iKSfELTTisXXJGOtiwNV8aU2DpmmWUoCNPSdzWpsZrT0kb5t5r2wi+0l6nl+JDokD64qehA==" saltValue="8iExmM7MrupTEmcxZU6UcQ==" spinCount="100000" sheet="1" selectLockedCells="1"/>
  <mergeCells count="3">
    <mergeCell ref="C5:K5"/>
    <mergeCell ref="C2:K2"/>
    <mergeCell ref="C34:E34"/>
  </mergeCells>
  <dataValidations count="1">
    <dataValidation type="whole" operator="greaterThanOrEqual" allowBlank="1" showInputMessage="1" showErrorMessage="1" sqref="C7:C24 F10:F24 G16:G24 H10:H24 I12:I24 J22:J24 K18:K24 D8:E24" xr:uid="{A71BC102-03C4-474C-85C6-1361F5E575F4}">
      <formula1>0</formula1>
    </dataValidation>
  </dataValidations>
  <pageMargins left="0.7" right="0.7" top="0.75" bottom="0.75" header="0.3" footer="0.3"/>
  <pageSetup scale="54"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7" tint="0.39997558519241921"/>
  </sheetPr>
  <dimension ref="A1:AA99"/>
  <sheetViews>
    <sheetView workbookViewId="0">
      <selection activeCell="B39" sqref="B39"/>
    </sheetView>
  </sheetViews>
  <sheetFormatPr defaultColWidth="8.85546875" defaultRowHeight="12.75"/>
  <cols>
    <col min="2" max="2" width="9.42578125" customWidth="1"/>
    <col min="3" max="3" width="36.85546875" customWidth="1"/>
    <col min="4" max="4" width="3.28515625" customWidth="1"/>
    <col min="5" max="5" width="5.140625" bestFit="1" customWidth="1"/>
    <col min="6" max="6" width="30.85546875" customWidth="1"/>
    <col min="7" max="7" width="2.5703125" customWidth="1"/>
    <col min="8" max="8" width="5.140625" bestFit="1" customWidth="1"/>
    <col min="9" max="9" width="30.85546875" customWidth="1"/>
    <col min="10" max="10" width="3.140625" customWidth="1"/>
    <col min="11" max="11" width="4.85546875" bestFit="1" customWidth="1"/>
    <col min="12" max="12" width="25.140625" customWidth="1"/>
  </cols>
  <sheetData>
    <row r="1" spans="1:27">
      <c r="A1" s="102"/>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row>
    <row r="2" spans="1:27">
      <c r="A2" s="102"/>
      <c r="B2" s="102"/>
      <c r="C2" s="117" t="s">
        <v>195</v>
      </c>
      <c r="D2" s="102"/>
      <c r="E2" s="18"/>
      <c r="F2" s="68" t="s">
        <v>236</v>
      </c>
      <c r="G2" s="102"/>
      <c r="H2" s="102"/>
      <c r="I2" s="102"/>
      <c r="J2" s="102"/>
      <c r="K2" s="102"/>
      <c r="L2" s="102"/>
      <c r="M2" s="102"/>
      <c r="N2" s="102"/>
      <c r="O2" s="102"/>
      <c r="P2" s="102"/>
      <c r="Q2" s="102"/>
      <c r="R2" s="102"/>
      <c r="S2" s="102"/>
      <c r="T2" s="102"/>
      <c r="U2" s="102"/>
      <c r="V2" s="102"/>
      <c r="W2" s="102"/>
      <c r="X2" s="102"/>
      <c r="Y2" s="102"/>
      <c r="Z2" s="102"/>
      <c r="AA2" s="102"/>
    </row>
    <row r="3" spans="1:27">
      <c r="A3" s="102"/>
      <c r="B3" s="102"/>
      <c r="C3" s="18"/>
      <c r="D3" s="102"/>
      <c r="E3" s="18"/>
      <c r="F3" s="18"/>
      <c r="G3" s="102"/>
      <c r="H3" s="18"/>
      <c r="I3" s="18"/>
      <c r="J3" s="102"/>
      <c r="K3" s="18"/>
      <c r="L3" s="18"/>
      <c r="M3" s="102"/>
      <c r="N3" s="102"/>
      <c r="O3" s="102"/>
      <c r="P3" s="102"/>
      <c r="Q3" s="102"/>
      <c r="R3" s="102"/>
      <c r="S3" s="102"/>
      <c r="T3" s="102"/>
      <c r="U3" s="102"/>
      <c r="V3" s="102"/>
      <c r="W3" s="102"/>
      <c r="X3" s="102"/>
      <c r="Y3" s="102"/>
      <c r="Z3" s="102"/>
      <c r="AA3" s="102"/>
    </row>
    <row r="4" spans="1:27" s="4" customFormat="1" ht="26.25" thickBot="1">
      <c r="A4" s="110"/>
      <c r="B4" s="110"/>
      <c r="C4" s="112"/>
      <c r="D4" s="110"/>
      <c r="E4" s="112"/>
      <c r="F4" s="71" t="s">
        <v>237</v>
      </c>
      <c r="G4" s="110"/>
      <c r="H4" s="61"/>
      <c r="I4" s="61" t="s">
        <v>238</v>
      </c>
      <c r="J4" s="110"/>
      <c r="K4" s="112"/>
      <c r="L4" s="61" t="s">
        <v>239</v>
      </c>
      <c r="M4" s="110"/>
      <c r="N4" s="110"/>
      <c r="O4" s="110"/>
      <c r="P4" s="110"/>
      <c r="Q4" s="110"/>
      <c r="R4" s="110"/>
      <c r="S4" s="110"/>
      <c r="T4" s="110"/>
      <c r="U4" s="110"/>
      <c r="V4" s="110"/>
      <c r="W4" s="110"/>
      <c r="X4" s="110"/>
      <c r="Y4" s="110"/>
      <c r="Z4" s="110"/>
      <c r="AA4" s="110"/>
    </row>
    <row r="5" spans="1:27" ht="39" thickBot="1">
      <c r="A5" s="102"/>
      <c r="B5" s="66"/>
      <c r="C5" s="71" t="s">
        <v>249</v>
      </c>
      <c r="D5" s="102"/>
      <c r="E5" s="101"/>
      <c r="F5" s="50" t="s">
        <v>210</v>
      </c>
      <c r="G5" s="102"/>
      <c r="H5" s="67"/>
      <c r="I5" s="50" t="s">
        <v>213</v>
      </c>
      <c r="J5" s="102"/>
      <c r="K5" s="126"/>
      <c r="L5" s="50" t="str">
        <f>"USD ($" &amp;current_year &amp; ")"</f>
        <v>USD ($2024)</v>
      </c>
      <c r="M5" s="102"/>
      <c r="N5" s="102"/>
      <c r="O5" s="102"/>
      <c r="P5" s="102"/>
      <c r="Q5" s="102"/>
      <c r="R5" s="102"/>
      <c r="S5" s="102"/>
      <c r="T5" s="102"/>
      <c r="U5" s="102"/>
      <c r="V5" s="102"/>
      <c r="W5" s="102"/>
      <c r="X5" s="102"/>
      <c r="Y5" s="102"/>
      <c r="Z5" s="102"/>
      <c r="AA5" s="102"/>
    </row>
    <row r="6" spans="1:27">
      <c r="A6" s="102"/>
      <c r="B6" s="67" t="s">
        <v>11</v>
      </c>
      <c r="C6" s="72" t="s">
        <v>92</v>
      </c>
      <c r="D6" s="102"/>
      <c r="E6" s="67" t="s">
        <v>11</v>
      </c>
      <c r="F6" s="75" t="s">
        <v>92</v>
      </c>
      <c r="G6" s="102"/>
      <c r="H6" s="67" t="s">
        <v>11</v>
      </c>
      <c r="I6" s="75" t="s">
        <v>92</v>
      </c>
      <c r="J6" s="102"/>
      <c r="K6" s="120" t="s">
        <v>11</v>
      </c>
      <c r="L6" s="75" t="s">
        <v>92</v>
      </c>
      <c r="M6" s="102"/>
      <c r="N6" s="102"/>
      <c r="O6" s="102"/>
      <c r="P6" s="102"/>
      <c r="Q6" s="102"/>
      <c r="R6" s="102"/>
      <c r="S6" s="102"/>
      <c r="T6" s="102"/>
      <c r="U6" s="102"/>
      <c r="V6" s="102"/>
      <c r="W6" s="102"/>
      <c r="X6" s="102"/>
      <c r="Y6" s="102"/>
      <c r="Z6" s="102"/>
      <c r="AA6" s="102"/>
    </row>
    <row r="7" spans="1:27">
      <c r="A7" s="102"/>
      <c r="B7" s="67">
        <v>2007</v>
      </c>
      <c r="C7" s="73" cm="1">
        <f t="array" ref="C7">IF(B7&gt;current_year,"",INDEX(FV_Toilets_h2o,B7-2006))</f>
        <v>0</v>
      </c>
      <c r="D7" s="102"/>
      <c r="E7" s="66">
        <v>2007</v>
      </c>
      <c r="F7" s="76">
        <f t="shared" ref="F7:F17" si="0">C7*(kwh_per_gal_drnk_water+kwh_per_gal_waste_water)</f>
        <v>0</v>
      </c>
      <c r="G7" s="102"/>
      <c r="H7" s="70">
        <v>2007</v>
      </c>
      <c r="I7" s="78">
        <f t="shared" ref="I7:I16" si="1">(F7*tons_co2_per_kwh)</f>
        <v>0</v>
      </c>
      <c r="J7" s="102"/>
      <c r="K7" s="1">
        <v>2007</v>
      </c>
      <c r="L7" s="121">
        <f t="shared" ref="L7:L30" si="2">IF(C7="","",(C7*10^-3*INDEX(water_com,K7-2006))*(IF(K7&lt;current_year,INDEX(GDP,current_year-2006),1)))</f>
        <v>0</v>
      </c>
      <c r="M7" s="102"/>
      <c r="N7" s="102"/>
      <c r="O7" s="102"/>
      <c r="P7" s="102"/>
      <c r="Q7" s="102"/>
      <c r="R7" s="102"/>
      <c r="S7" s="102"/>
      <c r="T7" s="102"/>
      <c r="U7" s="102"/>
      <c r="V7" s="102"/>
      <c r="W7" s="102"/>
      <c r="X7" s="102"/>
      <c r="Y7" s="102"/>
      <c r="Z7" s="102"/>
      <c r="AA7" s="102"/>
    </row>
    <row r="8" spans="1:27">
      <c r="A8" s="102"/>
      <c r="B8" s="67">
        <v>2008</v>
      </c>
      <c r="C8" s="73" cm="1">
        <f t="array" ref="C8">IF(B8&gt;current_year,"",INDEX(FV_Toilets_h2o,B8-2006))</f>
        <v>0</v>
      </c>
      <c r="D8" s="102"/>
      <c r="E8" s="66">
        <v>2008</v>
      </c>
      <c r="F8" s="76">
        <f t="shared" si="0"/>
        <v>0</v>
      </c>
      <c r="G8" s="102"/>
      <c r="H8" s="70">
        <v>2008</v>
      </c>
      <c r="I8" s="78">
        <f t="shared" si="1"/>
        <v>0</v>
      </c>
      <c r="J8" s="102"/>
      <c r="K8" s="1">
        <v>2008</v>
      </c>
      <c r="L8" s="121">
        <f t="shared" si="2"/>
        <v>0</v>
      </c>
      <c r="M8" s="102"/>
      <c r="N8" s="102"/>
      <c r="O8" s="102"/>
      <c r="P8" s="102"/>
      <c r="Q8" s="102"/>
      <c r="R8" s="102"/>
      <c r="S8" s="102"/>
      <c r="T8" s="102"/>
      <c r="U8" s="102"/>
      <c r="V8" s="102"/>
      <c r="W8" s="102"/>
      <c r="X8" s="102"/>
      <c r="Y8" s="102"/>
      <c r="Z8" s="102"/>
      <c r="AA8" s="102"/>
    </row>
    <row r="9" spans="1:27">
      <c r="A9" s="102"/>
      <c r="B9" s="66">
        <v>2009</v>
      </c>
      <c r="C9" s="73" cm="1">
        <f t="array" ref="C9">IF(B9&gt;current_year,"",INDEX(FV_Toilets_h2o,B9-2006))</f>
        <v>0</v>
      </c>
      <c r="D9" s="102"/>
      <c r="E9" s="66">
        <v>2009</v>
      </c>
      <c r="F9" s="76">
        <f t="shared" si="0"/>
        <v>0</v>
      </c>
      <c r="G9" s="102"/>
      <c r="H9" s="70">
        <v>2009</v>
      </c>
      <c r="I9" s="78">
        <f t="shared" si="1"/>
        <v>0</v>
      </c>
      <c r="J9" s="102"/>
      <c r="K9" s="1">
        <v>2009</v>
      </c>
      <c r="L9" s="121">
        <f t="shared" si="2"/>
        <v>0</v>
      </c>
      <c r="M9" s="102"/>
      <c r="N9" s="102"/>
      <c r="O9" s="102"/>
      <c r="P9" s="102"/>
      <c r="Q9" s="102"/>
      <c r="R9" s="102"/>
      <c r="S9" s="102"/>
      <c r="T9" s="102"/>
      <c r="U9" s="102"/>
      <c r="V9" s="102"/>
      <c r="W9" s="102"/>
      <c r="X9" s="102"/>
      <c r="Y9" s="102"/>
      <c r="Z9" s="102"/>
      <c r="AA9" s="102"/>
    </row>
    <row r="10" spans="1:27">
      <c r="A10" s="102"/>
      <c r="B10" s="66">
        <v>2010</v>
      </c>
      <c r="C10" s="73" cm="1">
        <f t="array" ref="C10">IF(B10&gt;current_year,"",INDEX(FV_Toilets_h2o,B10-2006))</f>
        <v>0</v>
      </c>
      <c r="D10" s="102"/>
      <c r="E10" s="66">
        <v>2010</v>
      </c>
      <c r="F10" s="76">
        <f t="shared" si="0"/>
        <v>0</v>
      </c>
      <c r="G10" s="102"/>
      <c r="H10" s="70">
        <v>2010</v>
      </c>
      <c r="I10" s="78">
        <f t="shared" si="1"/>
        <v>0</v>
      </c>
      <c r="J10" s="102"/>
      <c r="K10" s="1">
        <v>2010</v>
      </c>
      <c r="L10" s="121">
        <f t="shared" si="2"/>
        <v>0</v>
      </c>
      <c r="M10" s="102"/>
      <c r="N10" s="102"/>
      <c r="O10" s="102"/>
      <c r="P10" s="102"/>
      <c r="Q10" s="102"/>
      <c r="R10" s="102"/>
      <c r="S10" s="102"/>
      <c r="T10" s="102"/>
      <c r="U10" s="102"/>
      <c r="V10" s="102"/>
      <c r="W10" s="102"/>
      <c r="X10" s="102"/>
      <c r="Y10" s="102"/>
      <c r="Z10" s="102"/>
      <c r="AA10" s="102"/>
    </row>
    <row r="11" spans="1:27">
      <c r="A11" s="102"/>
      <c r="B11" s="66">
        <v>2011</v>
      </c>
      <c r="C11" s="73" cm="1">
        <f t="array" ref="C11">IF(B11&gt;current_year,"",INDEX(FV_Toilets_h2o,B11-2006))</f>
        <v>0</v>
      </c>
      <c r="D11" s="102"/>
      <c r="E11" s="66">
        <v>2011</v>
      </c>
      <c r="F11" s="76">
        <f t="shared" si="0"/>
        <v>0</v>
      </c>
      <c r="G11" s="102"/>
      <c r="H11" s="70">
        <v>2011</v>
      </c>
      <c r="I11" s="78">
        <f t="shared" si="1"/>
        <v>0</v>
      </c>
      <c r="J11" s="102"/>
      <c r="K11" s="1">
        <v>2011</v>
      </c>
      <c r="L11" s="121">
        <f t="shared" si="2"/>
        <v>0</v>
      </c>
      <c r="M11" s="102"/>
      <c r="N11" s="102"/>
      <c r="O11" s="102"/>
      <c r="P11" s="102"/>
      <c r="Q11" s="102"/>
      <c r="R11" s="102"/>
      <c r="S11" s="102"/>
      <c r="T11" s="102"/>
      <c r="U11" s="102"/>
      <c r="V11" s="102"/>
      <c r="W11" s="102"/>
      <c r="X11" s="102"/>
      <c r="Y11" s="102"/>
      <c r="Z11" s="102"/>
      <c r="AA11" s="102"/>
    </row>
    <row r="12" spans="1:27">
      <c r="A12" s="102"/>
      <c r="B12" s="67">
        <v>2012</v>
      </c>
      <c r="C12" s="73" cm="1">
        <f t="array" ref="C12">IF(B12&gt;current_year,"",INDEX(FV_Toilets_h2o,B12-2006))</f>
        <v>0</v>
      </c>
      <c r="D12" s="102"/>
      <c r="E12" s="66">
        <v>2012</v>
      </c>
      <c r="F12" s="76">
        <f t="shared" si="0"/>
        <v>0</v>
      </c>
      <c r="G12" s="102"/>
      <c r="H12" s="70">
        <v>2012</v>
      </c>
      <c r="I12" s="78">
        <f t="shared" si="1"/>
        <v>0</v>
      </c>
      <c r="J12" s="102"/>
      <c r="K12" s="1">
        <v>2012</v>
      </c>
      <c r="L12" s="121">
        <f t="shared" si="2"/>
        <v>0</v>
      </c>
      <c r="M12" s="102"/>
      <c r="N12" s="102"/>
      <c r="O12" s="102"/>
      <c r="P12" s="102"/>
      <c r="Q12" s="102"/>
      <c r="R12" s="102"/>
      <c r="S12" s="102"/>
      <c r="T12" s="102"/>
      <c r="U12" s="102"/>
      <c r="V12" s="102"/>
      <c r="W12" s="102"/>
      <c r="X12" s="102"/>
      <c r="Y12" s="102"/>
      <c r="Z12" s="102"/>
      <c r="AA12" s="102"/>
    </row>
    <row r="13" spans="1:27">
      <c r="A13" s="102"/>
      <c r="B13" s="67">
        <v>2013</v>
      </c>
      <c r="C13" s="73" cm="1">
        <f t="array" ref="C13">IF(B13&gt;current_year,"",INDEX(FV_Toilets_h2o,B13-2006))</f>
        <v>0</v>
      </c>
      <c r="D13" s="102"/>
      <c r="E13" s="67">
        <v>2013</v>
      </c>
      <c r="F13" s="76">
        <f t="shared" si="0"/>
        <v>0</v>
      </c>
      <c r="G13" s="102"/>
      <c r="H13" s="67">
        <v>2013</v>
      </c>
      <c r="I13" s="78">
        <f t="shared" si="1"/>
        <v>0</v>
      </c>
      <c r="J13" s="102"/>
      <c r="K13" s="120">
        <v>2013</v>
      </c>
      <c r="L13" s="121">
        <f t="shared" si="2"/>
        <v>0</v>
      </c>
      <c r="M13" s="102"/>
      <c r="N13" s="102"/>
      <c r="O13" s="102"/>
      <c r="P13" s="102"/>
      <c r="Q13" s="102"/>
      <c r="R13" s="102"/>
      <c r="S13" s="102"/>
      <c r="T13" s="102"/>
      <c r="U13" s="102"/>
      <c r="V13" s="102"/>
      <c r="W13" s="102"/>
      <c r="X13" s="102"/>
      <c r="Y13" s="102"/>
      <c r="Z13" s="102"/>
      <c r="AA13" s="102"/>
    </row>
    <row r="14" spans="1:27">
      <c r="A14" s="102"/>
      <c r="B14" s="67">
        <v>2014</v>
      </c>
      <c r="C14" s="73" cm="1">
        <f t="array" ref="C14">IF(B14&gt;current_year,"",INDEX(FV_Toilets_h2o,B14-2006))</f>
        <v>0</v>
      </c>
      <c r="D14" s="102"/>
      <c r="E14" s="67">
        <v>2014</v>
      </c>
      <c r="F14" s="76">
        <f t="shared" si="0"/>
        <v>0</v>
      </c>
      <c r="G14" s="102"/>
      <c r="H14" s="67">
        <v>2014</v>
      </c>
      <c r="I14" s="78">
        <f t="shared" si="1"/>
        <v>0</v>
      </c>
      <c r="J14" s="102"/>
      <c r="K14" s="120">
        <v>2014</v>
      </c>
      <c r="L14" s="121">
        <f t="shared" si="2"/>
        <v>0</v>
      </c>
      <c r="M14" s="102"/>
      <c r="N14" s="102"/>
      <c r="O14" s="102"/>
      <c r="P14" s="102"/>
      <c r="Q14" s="102"/>
      <c r="R14" s="102"/>
      <c r="S14" s="102"/>
      <c r="T14" s="102"/>
      <c r="U14" s="102"/>
      <c r="V14" s="102"/>
      <c r="W14" s="102"/>
      <c r="X14" s="102"/>
      <c r="Y14" s="102"/>
      <c r="Z14" s="102"/>
      <c r="AA14" s="102"/>
    </row>
    <row r="15" spans="1:27">
      <c r="A15" s="102"/>
      <c r="B15" s="67">
        <v>2015</v>
      </c>
      <c r="C15" s="73" cm="1">
        <f t="array" ref="C15">IF(B15&gt;current_year,"",INDEX(FV_Toilets_h2o,B15-2006))</f>
        <v>0</v>
      </c>
      <c r="D15" s="102"/>
      <c r="E15" s="67">
        <v>2015</v>
      </c>
      <c r="F15" s="76">
        <f t="shared" si="0"/>
        <v>0</v>
      </c>
      <c r="G15" s="102"/>
      <c r="H15" s="67">
        <v>2015</v>
      </c>
      <c r="I15" s="78">
        <f t="shared" si="1"/>
        <v>0</v>
      </c>
      <c r="J15" s="102"/>
      <c r="K15" s="120">
        <v>2015</v>
      </c>
      <c r="L15" s="121">
        <f t="shared" si="2"/>
        <v>0</v>
      </c>
      <c r="M15" s="102"/>
      <c r="N15" s="102"/>
      <c r="O15" s="102"/>
      <c r="P15" s="102"/>
      <c r="Q15" s="102"/>
      <c r="R15" s="102"/>
      <c r="S15" s="102"/>
      <c r="T15" s="102"/>
      <c r="U15" s="102"/>
      <c r="V15" s="102"/>
      <c r="W15" s="102"/>
      <c r="X15" s="102"/>
      <c r="Y15" s="102"/>
      <c r="Z15" s="102"/>
      <c r="AA15" s="102"/>
    </row>
    <row r="16" spans="1:27">
      <c r="A16" s="102"/>
      <c r="B16" s="67">
        <v>2016</v>
      </c>
      <c r="C16" s="73" cm="1">
        <f t="array" ref="C16">IF(B16&gt;current_year,"",INDEX(FV_Toilets_h2o,B16-2006))</f>
        <v>0</v>
      </c>
      <c r="D16" s="102"/>
      <c r="E16" s="67">
        <v>2016</v>
      </c>
      <c r="F16" s="76">
        <f t="shared" si="0"/>
        <v>0</v>
      </c>
      <c r="G16" s="102"/>
      <c r="H16" s="67">
        <v>2016</v>
      </c>
      <c r="I16" s="78">
        <f t="shared" si="1"/>
        <v>0</v>
      </c>
      <c r="J16" s="102"/>
      <c r="K16" s="120">
        <v>2016</v>
      </c>
      <c r="L16" s="121">
        <f t="shared" si="2"/>
        <v>0</v>
      </c>
      <c r="M16" s="102"/>
      <c r="N16" s="102"/>
      <c r="O16" s="102"/>
      <c r="P16" s="102"/>
      <c r="Q16" s="102"/>
      <c r="R16" s="102"/>
      <c r="S16" s="102"/>
      <c r="T16" s="102"/>
      <c r="U16" s="102"/>
      <c r="V16" s="102"/>
      <c r="W16" s="102"/>
      <c r="X16" s="102"/>
      <c r="Y16" s="102"/>
      <c r="Z16" s="102"/>
      <c r="AA16" s="102"/>
    </row>
    <row r="17" spans="1:27">
      <c r="A17" s="102"/>
      <c r="B17" s="67">
        <v>2017</v>
      </c>
      <c r="C17" s="73" cm="1">
        <f t="array" ref="C17">IF(B17&gt;current_year,"",INDEX(FV_Toilets_h2o,B17-2006))</f>
        <v>0</v>
      </c>
      <c r="D17" s="102"/>
      <c r="E17" s="67">
        <v>2017</v>
      </c>
      <c r="F17" s="76">
        <f t="shared" si="0"/>
        <v>0</v>
      </c>
      <c r="G17" s="102"/>
      <c r="H17" s="67">
        <v>2017</v>
      </c>
      <c r="I17" s="78">
        <f t="shared" ref="I17:I30" si="3">IF(F17="","",(F17*tons_co2_per_kwh))</f>
        <v>0</v>
      </c>
      <c r="J17" s="102"/>
      <c r="K17" s="120">
        <v>2017</v>
      </c>
      <c r="L17" s="121">
        <f t="shared" si="2"/>
        <v>0</v>
      </c>
      <c r="M17" s="102"/>
      <c r="N17" s="102"/>
      <c r="O17" s="102"/>
      <c r="P17" s="102"/>
      <c r="Q17" s="102"/>
      <c r="R17" s="102"/>
      <c r="S17" s="102"/>
      <c r="T17" s="102"/>
      <c r="U17" s="102"/>
      <c r="V17" s="102"/>
      <c r="W17" s="102"/>
      <c r="X17" s="102"/>
      <c r="Y17" s="102"/>
      <c r="Z17" s="102"/>
      <c r="AA17" s="102"/>
    </row>
    <row r="18" spans="1:27">
      <c r="A18" s="102"/>
      <c r="B18" s="67">
        <v>2018</v>
      </c>
      <c r="C18" s="73" cm="1">
        <f t="array" ref="C18">IF(B18&gt;current_year,"",INDEX(FV_Toilets_h2o,B18-2006))</f>
        <v>0</v>
      </c>
      <c r="D18" s="102"/>
      <c r="E18" s="67">
        <v>2018</v>
      </c>
      <c r="F18" s="76">
        <f t="shared" ref="F18:F30" si="4">IF(C18="","",C18*(kwh_per_gal_drnk_water+kwh_per_gal_waste_water))</f>
        <v>0</v>
      </c>
      <c r="G18" s="102"/>
      <c r="H18" s="67">
        <v>2018</v>
      </c>
      <c r="I18" s="78">
        <f t="shared" si="3"/>
        <v>0</v>
      </c>
      <c r="J18" s="102"/>
      <c r="K18" s="120">
        <v>2018</v>
      </c>
      <c r="L18" s="121">
        <f t="shared" si="2"/>
        <v>0</v>
      </c>
      <c r="M18" s="102"/>
      <c r="N18" s="102"/>
      <c r="O18" s="102"/>
      <c r="P18" s="102"/>
      <c r="Q18" s="102"/>
      <c r="R18" s="102"/>
      <c r="S18" s="102"/>
      <c r="T18" s="102"/>
      <c r="U18" s="102"/>
      <c r="V18" s="102"/>
      <c r="W18" s="102"/>
      <c r="X18" s="102"/>
      <c r="Y18" s="102"/>
      <c r="Z18" s="102"/>
      <c r="AA18" s="102"/>
    </row>
    <row r="19" spans="1:27">
      <c r="A19" s="102"/>
      <c r="B19" s="67">
        <v>2019</v>
      </c>
      <c r="C19" s="73" cm="1">
        <f t="array" ref="C19">IF(B19&gt;current_year,"",INDEX(FV_Toilets_h2o,B19-2006))</f>
        <v>0</v>
      </c>
      <c r="D19" s="102"/>
      <c r="E19" s="67">
        <v>2019</v>
      </c>
      <c r="F19" s="76">
        <f t="shared" si="4"/>
        <v>0</v>
      </c>
      <c r="G19" s="102"/>
      <c r="H19" s="67">
        <v>2019</v>
      </c>
      <c r="I19" s="78">
        <f t="shared" si="3"/>
        <v>0</v>
      </c>
      <c r="J19" s="102"/>
      <c r="K19" s="120">
        <v>2019</v>
      </c>
      <c r="L19" s="121">
        <f t="shared" si="2"/>
        <v>0</v>
      </c>
      <c r="M19" s="102"/>
      <c r="N19" s="102"/>
      <c r="O19" s="102"/>
      <c r="P19" s="102"/>
      <c r="Q19" s="102"/>
      <c r="R19" s="102"/>
      <c r="S19" s="102"/>
      <c r="T19" s="102"/>
      <c r="U19" s="102"/>
      <c r="V19" s="102"/>
      <c r="W19" s="102"/>
      <c r="X19" s="102"/>
      <c r="Y19" s="102"/>
      <c r="Z19" s="102"/>
      <c r="AA19" s="102"/>
    </row>
    <row r="20" spans="1:27">
      <c r="A20" s="102"/>
      <c r="B20" s="67">
        <v>2020</v>
      </c>
      <c r="C20" s="73" cm="1">
        <f t="array" ref="C20">IF(B20&gt;current_year,"",INDEX(FV_Toilets_h2o,B20-2006))</f>
        <v>0</v>
      </c>
      <c r="D20" s="102"/>
      <c r="E20" s="67">
        <v>2020</v>
      </c>
      <c r="F20" s="76">
        <f t="shared" si="4"/>
        <v>0</v>
      </c>
      <c r="G20" s="102"/>
      <c r="H20" s="67">
        <v>2020</v>
      </c>
      <c r="I20" s="78">
        <f t="shared" si="3"/>
        <v>0</v>
      </c>
      <c r="J20" s="102"/>
      <c r="K20" s="120">
        <v>2020</v>
      </c>
      <c r="L20" s="121">
        <f t="shared" si="2"/>
        <v>0</v>
      </c>
      <c r="M20" s="102"/>
      <c r="N20" s="102"/>
      <c r="O20" s="102"/>
      <c r="P20" s="102"/>
      <c r="Q20" s="102"/>
      <c r="R20" s="102"/>
      <c r="S20" s="102"/>
      <c r="T20" s="102"/>
      <c r="U20" s="102"/>
      <c r="V20" s="102"/>
      <c r="W20" s="102"/>
      <c r="X20" s="102"/>
      <c r="Y20" s="102"/>
      <c r="Z20" s="102"/>
      <c r="AA20" s="102"/>
    </row>
    <row r="21" spans="1:27">
      <c r="A21" s="102"/>
      <c r="B21" s="67">
        <v>2021</v>
      </c>
      <c r="C21" s="73" cm="1">
        <f t="array" ref="C21">IF(B21&gt;current_year,"",INDEX(FV_Toilets_h2o,B21-2006))</f>
        <v>0</v>
      </c>
      <c r="D21" s="102"/>
      <c r="E21" s="67">
        <v>2021</v>
      </c>
      <c r="F21" s="76">
        <f t="shared" si="4"/>
        <v>0</v>
      </c>
      <c r="G21" s="102"/>
      <c r="H21" s="67">
        <v>2021</v>
      </c>
      <c r="I21" s="78">
        <f t="shared" si="3"/>
        <v>0</v>
      </c>
      <c r="J21" s="102"/>
      <c r="K21" s="120">
        <v>2021</v>
      </c>
      <c r="L21" s="121">
        <f t="shared" si="2"/>
        <v>0</v>
      </c>
      <c r="M21" s="102"/>
      <c r="N21" s="102"/>
      <c r="O21" s="102"/>
      <c r="P21" s="102"/>
      <c r="Q21" s="102"/>
      <c r="R21" s="102"/>
      <c r="S21" s="102"/>
      <c r="T21" s="102"/>
      <c r="U21" s="102"/>
      <c r="V21" s="102"/>
      <c r="W21" s="102"/>
      <c r="X21" s="102"/>
      <c r="Y21" s="102"/>
      <c r="Z21" s="102"/>
      <c r="AA21" s="102"/>
    </row>
    <row r="22" spans="1:27">
      <c r="A22" s="102"/>
      <c r="B22" s="67">
        <v>2022</v>
      </c>
      <c r="C22" s="73" cm="1">
        <f t="array" ref="C22">IF(B22&gt;current_year,"",INDEX(FV_Toilets_h2o,B22-2006))</f>
        <v>0</v>
      </c>
      <c r="D22" s="102"/>
      <c r="E22" s="67">
        <v>2022</v>
      </c>
      <c r="F22" s="76">
        <f t="shared" si="4"/>
        <v>0</v>
      </c>
      <c r="G22" s="102"/>
      <c r="H22" s="67">
        <v>2022</v>
      </c>
      <c r="I22" s="78">
        <f t="shared" si="3"/>
        <v>0</v>
      </c>
      <c r="J22" s="102"/>
      <c r="K22" s="120">
        <v>2022</v>
      </c>
      <c r="L22" s="121">
        <f t="shared" si="2"/>
        <v>0</v>
      </c>
      <c r="M22" s="102"/>
      <c r="N22" s="102"/>
      <c r="O22" s="102"/>
      <c r="P22" s="102"/>
      <c r="Q22" s="102"/>
      <c r="R22" s="102"/>
      <c r="S22" s="102"/>
      <c r="T22" s="102"/>
      <c r="U22" s="102"/>
      <c r="V22" s="102"/>
      <c r="W22" s="102"/>
      <c r="X22" s="102"/>
      <c r="Y22" s="102"/>
      <c r="Z22" s="102"/>
      <c r="AA22" s="102"/>
    </row>
    <row r="23" spans="1:27">
      <c r="A23" s="102"/>
      <c r="B23" s="67">
        <v>2023</v>
      </c>
      <c r="C23" s="73" cm="1">
        <f t="array" ref="C23">IF(B23&gt;current_year,"",INDEX(FV_Toilets_h2o,B23-2006))</f>
        <v>0</v>
      </c>
      <c r="D23" s="102"/>
      <c r="E23" s="67">
        <v>2023</v>
      </c>
      <c r="F23" s="76">
        <f t="shared" si="4"/>
        <v>0</v>
      </c>
      <c r="G23" s="102"/>
      <c r="H23" s="67">
        <v>2023</v>
      </c>
      <c r="I23" s="78">
        <f>IF(F23="","",(F23*tons_co2_per_kwh))</f>
        <v>0</v>
      </c>
      <c r="J23" s="102"/>
      <c r="K23" s="120">
        <v>2023</v>
      </c>
      <c r="L23" s="121">
        <f t="shared" si="2"/>
        <v>0</v>
      </c>
      <c r="M23" s="102"/>
      <c r="N23" s="102"/>
      <c r="O23" s="102"/>
      <c r="P23" s="102"/>
      <c r="Q23" s="102"/>
      <c r="R23" s="102"/>
      <c r="S23" s="102"/>
      <c r="T23" s="102"/>
      <c r="U23" s="102"/>
      <c r="V23" s="102"/>
      <c r="W23" s="102"/>
      <c r="X23" s="102"/>
      <c r="Y23" s="102"/>
      <c r="Z23" s="102"/>
      <c r="AA23" s="102"/>
    </row>
    <row r="24" spans="1:27">
      <c r="A24" s="102"/>
      <c r="B24" s="67">
        <v>2024</v>
      </c>
      <c r="C24" s="73" cm="1">
        <f t="array" ref="C24">IF(B24&gt;current_year,"",INDEX(FV_Toilets_h2o,B24-2006))</f>
        <v>0</v>
      </c>
      <c r="D24" s="102"/>
      <c r="E24" s="67">
        <v>2024</v>
      </c>
      <c r="F24" s="76">
        <f t="shared" si="4"/>
        <v>0</v>
      </c>
      <c r="G24" s="102"/>
      <c r="H24" s="67">
        <v>2024</v>
      </c>
      <c r="I24" s="78">
        <f t="shared" si="3"/>
        <v>0</v>
      </c>
      <c r="J24" s="102"/>
      <c r="K24" s="120">
        <v>2024</v>
      </c>
      <c r="L24" s="121">
        <f t="shared" si="2"/>
        <v>0</v>
      </c>
      <c r="M24" s="102"/>
      <c r="N24" s="102"/>
      <c r="O24" s="102"/>
      <c r="P24" s="102"/>
      <c r="Q24" s="102"/>
      <c r="R24" s="102"/>
      <c r="S24" s="102"/>
      <c r="T24" s="102"/>
      <c r="U24" s="102"/>
      <c r="V24" s="102"/>
      <c r="W24" s="102"/>
      <c r="X24" s="102"/>
      <c r="Y24" s="102"/>
      <c r="Z24" s="102"/>
      <c r="AA24" s="102"/>
    </row>
    <row r="25" spans="1:27">
      <c r="A25" s="102"/>
      <c r="B25" s="67">
        <v>2025</v>
      </c>
      <c r="C25" s="73" t="str" cm="1">
        <f t="array" ref="C25">IF(B25&gt;current_year,"",INDEX(FV_Toilets_h2o,B25-2006))</f>
        <v/>
      </c>
      <c r="D25" s="102"/>
      <c r="E25" s="67">
        <v>2025</v>
      </c>
      <c r="F25" s="76" t="str">
        <f t="shared" si="4"/>
        <v/>
      </c>
      <c r="G25" s="102"/>
      <c r="H25" s="67">
        <v>2025</v>
      </c>
      <c r="I25" s="78" t="str">
        <f t="shared" si="3"/>
        <v/>
      </c>
      <c r="J25" s="102"/>
      <c r="K25" s="120">
        <v>2025</v>
      </c>
      <c r="L25" s="121" t="str">
        <f t="shared" si="2"/>
        <v/>
      </c>
      <c r="M25" s="102"/>
      <c r="N25" s="102"/>
      <c r="O25" s="102"/>
      <c r="P25" s="102"/>
      <c r="Q25" s="102"/>
      <c r="R25" s="102"/>
      <c r="S25" s="102"/>
      <c r="T25" s="102"/>
      <c r="U25" s="102"/>
      <c r="V25" s="102"/>
      <c r="W25" s="102"/>
      <c r="X25" s="102"/>
      <c r="Y25" s="102"/>
      <c r="Z25" s="102"/>
      <c r="AA25" s="102"/>
    </row>
    <row r="26" spans="1:27">
      <c r="A26" s="102"/>
      <c r="B26" s="67">
        <v>2026</v>
      </c>
      <c r="C26" s="73" t="str" cm="1">
        <f t="array" ref="C26">IF(B26&gt;current_year,"",INDEX(FV_Toilets_h2o,B26-2006))</f>
        <v/>
      </c>
      <c r="D26" s="102"/>
      <c r="E26" s="67">
        <v>2026</v>
      </c>
      <c r="F26" s="76" t="str">
        <f t="shared" si="4"/>
        <v/>
      </c>
      <c r="G26" s="102"/>
      <c r="H26" s="67">
        <v>2026</v>
      </c>
      <c r="I26" s="78" t="str">
        <f t="shared" si="3"/>
        <v/>
      </c>
      <c r="J26" s="102"/>
      <c r="K26" s="120">
        <v>2026</v>
      </c>
      <c r="L26" s="121" t="str">
        <f t="shared" si="2"/>
        <v/>
      </c>
      <c r="M26" s="102"/>
      <c r="N26" s="102"/>
      <c r="O26" s="102"/>
      <c r="P26" s="102"/>
      <c r="Q26" s="102"/>
      <c r="R26" s="102"/>
      <c r="S26" s="102"/>
      <c r="T26" s="102"/>
      <c r="U26" s="102"/>
      <c r="V26" s="102"/>
      <c r="W26" s="102"/>
      <c r="X26" s="102"/>
      <c r="Y26" s="102"/>
      <c r="Z26" s="102"/>
      <c r="AA26" s="102"/>
    </row>
    <row r="27" spans="1:27">
      <c r="A27" s="102"/>
      <c r="B27" s="67">
        <v>2027</v>
      </c>
      <c r="C27" s="73" t="str" cm="1">
        <f t="array" ref="C27">IF(B27&gt;current_year,"",INDEX(FV_Toilets_h2o,B27-2006))</f>
        <v/>
      </c>
      <c r="D27" s="102"/>
      <c r="E27" s="67">
        <v>2027</v>
      </c>
      <c r="F27" s="76" t="str">
        <f t="shared" si="4"/>
        <v/>
      </c>
      <c r="G27" s="102"/>
      <c r="H27" s="67">
        <v>2027</v>
      </c>
      <c r="I27" s="78" t="str">
        <f t="shared" si="3"/>
        <v/>
      </c>
      <c r="J27" s="102"/>
      <c r="K27" s="120">
        <v>2027</v>
      </c>
      <c r="L27" s="121" t="str">
        <f t="shared" si="2"/>
        <v/>
      </c>
      <c r="M27" s="102"/>
      <c r="N27" s="102"/>
      <c r="O27" s="102"/>
      <c r="P27" s="102"/>
      <c r="Q27" s="102"/>
      <c r="R27" s="102"/>
      <c r="S27" s="102"/>
      <c r="T27" s="102"/>
      <c r="U27" s="102"/>
      <c r="V27" s="102"/>
      <c r="W27" s="102"/>
      <c r="X27" s="102"/>
      <c r="Y27" s="102"/>
      <c r="Z27" s="102"/>
      <c r="AA27" s="102"/>
    </row>
    <row r="28" spans="1:27">
      <c r="A28" s="102"/>
      <c r="B28" s="67">
        <v>2028</v>
      </c>
      <c r="C28" s="73" t="str" cm="1">
        <f t="array" ref="C28">IF(B28&gt;current_year,"",INDEX(FV_Toilets_h2o,B28-2006))</f>
        <v/>
      </c>
      <c r="D28" s="102"/>
      <c r="E28" s="67">
        <v>2028</v>
      </c>
      <c r="F28" s="76" t="str">
        <f t="shared" si="4"/>
        <v/>
      </c>
      <c r="G28" s="102"/>
      <c r="H28" s="67">
        <v>2028</v>
      </c>
      <c r="I28" s="78" t="str">
        <f t="shared" si="3"/>
        <v/>
      </c>
      <c r="J28" s="102"/>
      <c r="K28" s="120">
        <v>2028</v>
      </c>
      <c r="L28" s="121" t="str">
        <f t="shared" si="2"/>
        <v/>
      </c>
      <c r="M28" s="102"/>
      <c r="N28" s="102"/>
      <c r="O28" s="102"/>
      <c r="P28" s="102"/>
      <c r="Q28" s="102"/>
      <c r="R28" s="102"/>
      <c r="S28" s="102"/>
      <c r="T28" s="102"/>
      <c r="U28" s="102"/>
      <c r="V28" s="102"/>
      <c r="W28" s="102"/>
      <c r="X28" s="102"/>
      <c r="Y28" s="102"/>
      <c r="Z28" s="102"/>
      <c r="AA28" s="102"/>
    </row>
    <row r="29" spans="1:27">
      <c r="A29" s="102"/>
      <c r="B29" s="67">
        <v>2029</v>
      </c>
      <c r="C29" s="73" t="str" cm="1">
        <f t="array" ref="C29">IF(B29&gt;current_year,"",INDEX(FV_Toilets_h2o,B29-2006))</f>
        <v/>
      </c>
      <c r="D29" s="102"/>
      <c r="E29" s="67">
        <v>2029</v>
      </c>
      <c r="F29" s="76" t="str">
        <f t="shared" si="4"/>
        <v/>
      </c>
      <c r="G29" s="102"/>
      <c r="H29" s="67">
        <v>2029</v>
      </c>
      <c r="I29" s="78" t="str">
        <f t="shared" si="3"/>
        <v/>
      </c>
      <c r="J29" s="102"/>
      <c r="K29" s="120">
        <v>2029</v>
      </c>
      <c r="L29" s="121" t="str">
        <f t="shared" si="2"/>
        <v/>
      </c>
      <c r="M29" s="102"/>
      <c r="N29" s="102"/>
      <c r="O29" s="102"/>
      <c r="P29" s="102"/>
      <c r="Q29" s="102"/>
      <c r="R29" s="102"/>
      <c r="S29" s="102"/>
      <c r="T29" s="102"/>
      <c r="U29" s="102"/>
      <c r="V29" s="102"/>
      <c r="W29" s="102"/>
      <c r="X29" s="102"/>
      <c r="Y29" s="102"/>
      <c r="Z29" s="102"/>
      <c r="AA29" s="102"/>
    </row>
    <row r="30" spans="1:27" ht="13.5" thickBot="1">
      <c r="A30" s="102"/>
      <c r="B30" s="67">
        <v>2030</v>
      </c>
      <c r="C30" s="73" t="str" cm="1">
        <f t="array" ref="C30">IF(B30&gt;current_year,"",INDEX(FV_Toilets_h2o,B30-2006))</f>
        <v/>
      </c>
      <c r="D30" s="102"/>
      <c r="E30" s="67">
        <v>2030</v>
      </c>
      <c r="F30" s="77" t="str">
        <f t="shared" si="4"/>
        <v/>
      </c>
      <c r="G30" s="102"/>
      <c r="H30" s="67">
        <v>2030</v>
      </c>
      <c r="I30" s="79" t="str">
        <f t="shared" si="3"/>
        <v/>
      </c>
      <c r="J30" s="102"/>
      <c r="K30" s="120">
        <v>2030</v>
      </c>
      <c r="L30" s="121" t="str">
        <f t="shared" si="2"/>
        <v/>
      </c>
      <c r="M30" s="102"/>
      <c r="N30" s="102"/>
      <c r="O30" s="102"/>
      <c r="P30" s="102"/>
      <c r="Q30" s="102"/>
      <c r="R30" s="102"/>
      <c r="S30" s="102"/>
      <c r="T30" s="102"/>
      <c r="U30" s="102"/>
      <c r="V30" s="102"/>
      <c r="W30" s="102"/>
      <c r="X30" s="102"/>
      <c r="Y30" s="102"/>
      <c r="Z30" s="102"/>
      <c r="AA30" s="102"/>
    </row>
    <row r="31" spans="1:27">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row>
    <row r="32" spans="1:27">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row>
    <row r="33" spans="1:27">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row>
    <row r="34" spans="1:27">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row>
    <row r="35" spans="1:27">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row>
    <row r="36" spans="1:27">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row>
    <row r="37" spans="1:27">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row>
    <row r="38" spans="1:27">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row>
    <row r="39" spans="1:27">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row>
    <row r="40" spans="1:27">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row>
    <row r="41" spans="1:27">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row>
    <row r="42" spans="1:27">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row>
    <row r="43" spans="1:27">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row>
    <row r="44" spans="1:27">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row>
    <row r="45" spans="1:27">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row>
    <row r="46" spans="1:27">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row>
    <row r="47" spans="1:27">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row>
    <row r="48" spans="1:27">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c r="AA48" s="102"/>
    </row>
    <row r="49" spans="1:27">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row>
    <row r="50" spans="1:27">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row>
    <row r="51" spans="1:27">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row>
    <row r="52" spans="1:27">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row>
    <row r="53" spans="1:27" ht="13.5" customHeight="1">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row>
    <row r="54" spans="1:27" ht="13.5" customHeight="1">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row>
    <row r="55" spans="1:27" ht="13.5" customHeight="1">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row>
    <row r="56" spans="1:27" ht="12.75" customHeight="1">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row>
    <row r="57" spans="1:27" ht="12.75" customHeight="1">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row>
    <row r="58" spans="1:27" ht="12.75" customHeight="1">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row>
    <row r="59" spans="1:27" ht="12.75" customHeight="1">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row>
    <row r="60" spans="1:27" ht="12.75" customHeight="1">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row>
    <row r="61" spans="1:27" ht="12.75" customHeight="1">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row>
    <row r="62" spans="1:27" ht="12.75" customHeight="1">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row>
    <row r="63" spans="1:27" ht="12.75" customHeight="1">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row>
    <row r="64" spans="1:27" ht="12.75" customHeight="1">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row>
    <row r="65" spans="1:27" ht="12.75" customHeight="1">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row>
    <row r="66" spans="1:27" ht="12.75" customHeight="1">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row>
    <row r="67" spans="1:27" ht="12.75" customHeight="1">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row>
    <row r="68" spans="1:27" ht="12.75" customHeight="1">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row>
    <row r="69" spans="1:27" ht="12.75" customHeight="1">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row>
    <row r="70" spans="1:27" ht="12.75" customHeight="1">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row>
    <row r="71" spans="1:27" ht="12.75" customHeight="1">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c r="AA71" s="102"/>
    </row>
    <row r="72" spans="1:27" ht="12.75" customHeight="1">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c r="AA72" s="102"/>
    </row>
    <row r="73" spans="1:27" ht="12.75" customHeight="1">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c r="AA73" s="102"/>
    </row>
    <row r="74" spans="1:27" ht="12.75" customHeight="1">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c r="AA74" s="102"/>
    </row>
    <row r="75" spans="1:27" ht="12.75" customHeight="1">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c r="AA75" s="102"/>
    </row>
    <row r="76" spans="1:27" ht="12.75" customHeight="1">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row>
    <row r="77" spans="1:27" ht="12.75" customHeight="1">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c r="AA77" s="102"/>
    </row>
    <row r="78" spans="1:27" ht="12.75" customHeight="1">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row>
    <row r="79" spans="1:27" ht="12.75" customHeight="1">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c r="AA79" s="102"/>
    </row>
    <row r="80" spans="1:27" ht="12.75" customHeight="1">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c r="AA80" s="102"/>
    </row>
    <row r="81" spans="1:27" ht="12.75" customHeight="1">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c r="AA81" s="102"/>
    </row>
    <row r="82" spans="1:27" ht="12.75" customHeight="1">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row>
    <row r="83" spans="1:27" ht="12.75" customHeight="1">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c r="AA83" s="102"/>
    </row>
    <row r="84" spans="1:27" ht="12.75" customHeight="1">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c r="AA84" s="102"/>
    </row>
    <row r="85" spans="1:27">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row>
    <row r="86" spans="1:27">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c r="AA86" s="102"/>
    </row>
    <row r="87" spans="1:27">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c r="AA87" s="102"/>
    </row>
    <row r="88" spans="1:27">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row>
    <row r="89" spans="1:27">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c r="AA89" s="102"/>
    </row>
    <row r="90" spans="1:27">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c r="AA90" s="102"/>
    </row>
    <row r="91" spans="1:27">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A91" s="102"/>
    </row>
    <row r="92" spans="1:27">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c r="AA92" s="102"/>
    </row>
    <row r="93" spans="1:27">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c r="AA93" s="102"/>
    </row>
    <row r="94" spans="1:27">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c r="AA94" s="102"/>
    </row>
    <row r="95" spans="1:27">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c r="AA95" s="102"/>
    </row>
    <row r="96" spans="1:27">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c r="AA96" s="102"/>
    </row>
    <row r="97" spans="1:27">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c r="AA97" s="102"/>
    </row>
    <row r="98" spans="1:27">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c r="AA98" s="102"/>
    </row>
    <row r="99" spans="1:27">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row>
  </sheetData>
  <phoneticPr fontId="43" type="noConversion"/>
  <pageMargins left="0.75" right="0.75" top="1" bottom="1" header="0.5" footer="0.5"/>
  <pageSetup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theme="7" tint="0.39997558519241921"/>
  </sheetPr>
  <dimension ref="A1:Z84"/>
  <sheetViews>
    <sheetView workbookViewId="0">
      <selection activeCell="C7" sqref="C7"/>
    </sheetView>
  </sheetViews>
  <sheetFormatPr defaultColWidth="8.85546875" defaultRowHeight="12.75"/>
  <cols>
    <col min="2" max="2" width="5.140625" bestFit="1" customWidth="1"/>
    <col min="3" max="3" width="30.85546875" customWidth="1"/>
    <col min="4" max="4" width="3.85546875" customWidth="1"/>
    <col min="5" max="5" width="5.140625" bestFit="1" customWidth="1"/>
    <col min="6" max="6" width="30.85546875" customWidth="1"/>
    <col min="7" max="7" width="5.140625" style="102" customWidth="1"/>
    <col min="8" max="8" width="5.140625" bestFit="1" customWidth="1"/>
    <col min="9" max="9" width="30.85546875" customWidth="1"/>
    <col min="10" max="10" width="4.42578125" customWidth="1"/>
    <col min="12" max="12" width="25.140625" customWidth="1"/>
  </cols>
  <sheetData>
    <row r="1" spans="1:26">
      <c r="A1" s="102"/>
      <c r="B1" s="102"/>
      <c r="C1" s="102"/>
      <c r="D1" s="102"/>
      <c r="E1" s="102"/>
      <c r="F1" s="102"/>
      <c r="H1" s="102"/>
      <c r="I1" s="102"/>
      <c r="J1" s="102"/>
      <c r="K1" s="102"/>
      <c r="L1" s="102"/>
      <c r="M1" s="102"/>
      <c r="N1" s="102"/>
      <c r="O1" s="102"/>
      <c r="P1" s="102"/>
      <c r="Q1" s="102"/>
      <c r="R1" s="102"/>
      <c r="S1" s="102"/>
      <c r="T1" s="102"/>
      <c r="U1" s="102"/>
      <c r="V1" s="102"/>
      <c r="W1" s="102"/>
      <c r="X1" s="102"/>
      <c r="Y1" s="102"/>
      <c r="Z1" s="102"/>
    </row>
    <row r="2" spans="1:26">
      <c r="A2" s="102"/>
      <c r="B2" s="18"/>
      <c r="C2" s="68" t="s">
        <v>195</v>
      </c>
      <c r="D2" s="102"/>
      <c r="E2" s="18"/>
      <c r="F2" s="68" t="s">
        <v>236</v>
      </c>
      <c r="H2" s="18"/>
      <c r="I2" s="18"/>
      <c r="J2" s="102"/>
      <c r="K2" s="18"/>
      <c r="L2" s="18"/>
      <c r="M2" s="102"/>
      <c r="N2" s="102"/>
      <c r="O2" s="102"/>
      <c r="P2" s="102"/>
      <c r="Q2" s="102"/>
      <c r="R2" s="102"/>
      <c r="S2" s="102"/>
      <c r="T2" s="102"/>
      <c r="U2" s="102"/>
      <c r="V2" s="102"/>
      <c r="W2" s="102"/>
      <c r="X2" s="102"/>
      <c r="Y2" s="102"/>
      <c r="Z2" s="102"/>
    </row>
    <row r="3" spans="1:26">
      <c r="A3" s="102"/>
      <c r="B3" s="18"/>
      <c r="C3" s="18"/>
      <c r="D3" s="102"/>
      <c r="E3" s="18"/>
      <c r="F3" s="18"/>
      <c r="H3" s="18"/>
      <c r="I3" s="18"/>
      <c r="J3" s="102"/>
      <c r="K3" s="18"/>
      <c r="L3" s="18"/>
      <c r="M3" s="102"/>
      <c r="N3" s="102"/>
      <c r="O3" s="102"/>
      <c r="P3" s="102"/>
      <c r="Q3" s="102"/>
      <c r="R3" s="102"/>
      <c r="S3" s="102"/>
      <c r="T3" s="102"/>
      <c r="U3" s="102"/>
      <c r="V3" s="102"/>
      <c r="W3" s="102"/>
      <c r="X3" s="102"/>
      <c r="Y3" s="102"/>
      <c r="Z3" s="102"/>
    </row>
    <row r="4" spans="1:26" ht="26.25" thickBot="1">
      <c r="A4" s="102"/>
      <c r="B4" s="18"/>
      <c r="C4" s="18"/>
      <c r="D4" s="102"/>
      <c r="E4" s="18"/>
      <c r="F4" s="71" t="s">
        <v>237</v>
      </c>
      <c r="H4" s="68"/>
      <c r="I4" s="61" t="s">
        <v>238</v>
      </c>
      <c r="J4" s="102"/>
      <c r="K4" s="112"/>
      <c r="L4" s="61" t="s">
        <v>239</v>
      </c>
      <c r="M4" s="102"/>
      <c r="N4" s="102"/>
      <c r="O4" s="102"/>
      <c r="P4" s="102"/>
      <c r="Q4" s="102"/>
      <c r="R4" s="102"/>
      <c r="S4" s="102"/>
      <c r="T4" s="102"/>
      <c r="U4" s="102"/>
      <c r="V4" s="102"/>
      <c r="W4" s="102"/>
      <c r="X4" s="102"/>
      <c r="Y4" s="102"/>
      <c r="Z4" s="102"/>
    </row>
    <row r="5" spans="1:26" ht="51.75" thickBot="1">
      <c r="A5" s="102"/>
      <c r="B5" s="68"/>
      <c r="C5" s="71" t="s">
        <v>249</v>
      </c>
      <c r="D5" s="102"/>
      <c r="E5" s="18"/>
      <c r="F5" s="3" t="s">
        <v>210</v>
      </c>
      <c r="H5" s="69"/>
      <c r="I5" s="2" t="s">
        <v>213</v>
      </c>
      <c r="J5" s="102"/>
      <c r="K5" s="126"/>
      <c r="L5" s="50" t="str">
        <f>"USD ($" &amp;current_year &amp; ")"</f>
        <v>USD ($2024)</v>
      </c>
      <c r="M5" s="102"/>
      <c r="N5" s="102"/>
      <c r="O5" s="102"/>
      <c r="P5" s="102"/>
      <c r="Q5" s="102"/>
      <c r="R5" s="102"/>
      <c r="S5" s="102"/>
      <c r="T5" s="102"/>
      <c r="U5" s="102"/>
      <c r="V5" s="102"/>
      <c r="W5" s="102"/>
      <c r="X5" s="102"/>
      <c r="Y5" s="102"/>
      <c r="Z5" s="102"/>
    </row>
    <row r="6" spans="1:26" ht="13.5" thickBot="1">
      <c r="A6" s="102"/>
      <c r="B6" s="67" t="s">
        <v>11</v>
      </c>
      <c r="C6" s="72" t="s">
        <v>93</v>
      </c>
      <c r="D6" s="102"/>
      <c r="E6" s="67" t="s">
        <v>11</v>
      </c>
      <c r="F6" s="75" t="s">
        <v>93</v>
      </c>
      <c r="H6" s="67" t="s">
        <v>11</v>
      </c>
      <c r="I6" s="75" t="s">
        <v>93</v>
      </c>
      <c r="J6" s="102"/>
      <c r="K6" s="120" t="s">
        <v>11</v>
      </c>
      <c r="L6" s="75" t="s">
        <v>93</v>
      </c>
      <c r="M6" s="102"/>
      <c r="N6" s="102"/>
      <c r="O6" s="102"/>
      <c r="P6" s="102"/>
      <c r="Q6" s="102"/>
      <c r="R6" s="102"/>
      <c r="S6" s="102"/>
      <c r="T6" s="102"/>
      <c r="U6" s="102"/>
      <c r="V6" s="102"/>
      <c r="W6" s="102"/>
      <c r="X6" s="102"/>
      <c r="Y6" s="102"/>
      <c r="Z6" s="102"/>
    </row>
    <row r="7" spans="1:26">
      <c r="A7" s="102"/>
      <c r="B7" s="67">
        <v>2007</v>
      </c>
      <c r="C7" s="73" cm="1">
        <f t="array" ref="C7">IF(B7&gt;current_year,"",INDEX(Urinals_h2o,B7-2006))</f>
        <v>0</v>
      </c>
      <c r="D7" s="102"/>
      <c r="E7" s="66">
        <v>2007</v>
      </c>
      <c r="F7" s="114">
        <f t="shared" ref="F7:F17" si="0">C7*(kwh_per_gal_drnk_water+kwh_per_gal_waste_water)</f>
        <v>0</v>
      </c>
      <c r="H7" s="70">
        <v>2007</v>
      </c>
      <c r="I7" s="113">
        <f t="shared" ref="I7:I17" si="1">(F7*tons_co2_per_kwh)</f>
        <v>0</v>
      </c>
      <c r="J7" s="102"/>
      <c r="K7" s="1">
        <v>2007</v>
      </c>
      <c r="L7" s="121">
        <f t="shared" ref="L7:L30" si="2">IF(C7="","",(C7*10^-3*INDEX(water_com,K7-2006))*(IF(K7&lt;current_year,INDEX(GDP,current_year-2006),1)))</f>
        <v>0</v>
      </c>
      <c r="M7" s="102"/>
      <c r="N7" s="102"/>
      <c r="O7" s="102"/>
      <c r="P7" s="102"/>
      <c r="Q7" s="102"/>
      <c r="R7" s="102"/>
      <c r="S7" s="102"/>
      <c r="T7" s="102"/>
      <c r="U7" s="102"/>
      <c r="V7" s="102"/>
      <c r="W7" s="102"/>
      <c r="X7" s="102"/>
      <c r="Y7" s="102"/>
      <c r="Z7" s="102"/>
    </row>
    <row r="8" spans="1:26">
      <c r="A8" s="102"/>
      <c r="B8" s="67">
        <v>2008</v>
      </c>
      <c r="C8" s="73" cm="1">
        <f t="array" ref="C8">IF(B8&gt;current_year,"",INDEX(Urinals_h2o,B8-2006))</f>
        <v>0</v>
      </c>
      <c r="D8" s="102"/>
      <c r="E8" s="66">
        <v>2008</v>
      </c>
      <c r="F8" s="76">
        <f t="shared" si="0"/>
        <v>0</v>
      </c>
      <c r="H8" s="70">
        <v>2008</v>
      </c>
      <c r="I8" s="78">
        <f t="shared" si="1"/>
        <v>0</v>
      </c>
      <c r="J8" s="102"/>
      <c r="K8" s="1">
        <v>2008</v>
      </c>
      <c r="L8" s="121">
        <f t="shared" si="2"/>
        <v>0</v>
      </c>
      <c r="M8" s="102"/>
      <c r="N8" s="102"/>
      <c r="O8" s="102"/>
      <c r="P8" s="102"/>
      <c r="Q8" s="102"/>
      <c r="R8" s="102"/>
      <c r="S8" s="102"/>
      <c r="T8" s="102"/>
      <c r="U8" s="102"/>
      <c r="V8" s="102"/>
      <c r="W8" s="102"/>
      <c r="X8" s="102"/>
      <c r="Y8" s="102"/>
      <c r="Z8" s="102"/>
    </row>
    <row r="9" spans="1:26">
      <c r="A9" s="102"/>
      <c r="B9" s="66">
        <v>2009</v>
      </c>
      <c r="C9" s="73" cm="1">
        <f t="array" ref="C9">IF(B9&gt;current_year,"",INDEX(Urinals_h2o,B9-2006))</f>
        <v>0</v>
      </c>
      <c r="D9" s="102"/>
      <c r="E9" s="66">
        <v>2009</v>
      </c>
      <c r="F9" s="76">
        <f t="shared" si="0"/>
        <v>0</v>
      </c>
      <c r="H9" s="70">
        <v>2009</v>
      </c>
      <c r="I9" s="78">
        <f t="shared" si="1"/>
        <v>0</v>
      </c>
      <c r="J9" s="102"/>
      <c r="K9" s="1">
        <v>2009</v>
      </c>
      <c r="L9" s="121">
        <f t="shared" si="2"/>
        <v>0</v>
      </c>
      <c r="M9" s="102"/>
      <c r="N9" s="102"/>
      <c r="O9" s="102"/>
      <c r="P9" s="102"/>
      <c r="Q9" s="102"/>
      <c r="R9" s="102"/>
      <c r="S9" s="102"/>
      <c r="T9" s="102"/>
      <c r="U9" s="102"/>
      <c r="V9" s="102"/>
      <c r="W9" s="102"/>
      <c r="X9" s="102"/>
      <c r="Y9" s="102"/>
      <c r="Z9" s="102"/>
    </row>
    <row r="10" spans="1:26">
      <c r="A10" s="102"/>
      <c r="B10" s="66">
        <v>2010</v>
      </c>
      <c r="C10" s="73" cm="1">
        <f t="array" ref="C10">IF(B10&gt;current_year,"",INDEX(Urinals_h2o,B10-2006))</f>
        <v>0</v>
      </c>
      <c r="D10" s="102"/>
      <c r="E10" s="66">
        <v>2010</v>
      </c>
      <c r="F10" s="76">
        <f t="shared" si="0"/>
        <v>0</v>
      </c>
      <c r="H10" s="70">
        <v>2010</v>
      </c>
      <c r="I10" s="78">
        <f t="shared" si="1"/>
        <v>0</v>
      </c>
      <c r="J10" s="102"/>
      <c r="K10" s="1">
        <v>2010</v>
      </c>
      <c r="L10" s="121">
        <f t="shared" si="2"/>
        <v>0</v>
      </c>
      <c r="M10" s="102"/>
      <c r="N10" s="102"/>
      <c r="O10" s="102"/>
      <c r="P10" s="102"/>
      <c r="Q10" s="102"/>
      <c r="R10" s="102"/>
      <c r="S10" s="102"/>
      <c r="T10" s="102"/>
      <c r="U10" s="102"/>
      <c r="V10" s="102"/>
      <c r="W10" s="102"/>
      <c r="X10" s="102"/>
      <c r="Y10" s="102"/>
      <c r="Z10" s="102"/>
    </row>
    <row r="11" spans="1:26">
      <c r="A11" s="102"/>
      <c r="B11" s="66">
        <v>2011</v>
      </c>
      <c r="C11" s="73" cm="1">
        <f t="array" ref="C11">IF(B11&gt;current_year,"",INDEX(Urinals_h2o,B11-2006))</f>
        <v>0</v>
      </c>
      <c r="D11" s="102"/>
      <c r="E11" s="66">
        <v>2011</v>
      </c>
      <c r="F11" s="76">
        <f t="shared" si="0"/>
        <v>0</v>
      </c>
      <c r="H11" s="70">
        <v>2011</v>
      </c>
      <c r="I11" s="78">
        <f t="shared" si="1"/>
        <v>0</v>
      </c>
      <c r="J11" s="102"/>
      <c r="K11" s="1">
        <v>2011</v>
      </c>
      <c r="L11" s="121">
        <f t="shared" si="2"/>
        <v>0</v>
      </c>
      <c r="M11" s="102"/>
      <c r="N11" s="102"/>
      <c r="O11" s="102"/>
      <c r="P11" s="102"/>
      <c r="Q11" s="102"/>
      <c r="R11" s="102"/>
      <c r="S11" s="102"/>
      <c r="T11" s="102"/>
      <c r="U11" s="102"/>
      <c r="V11" s="102"/>
      <c r="W11" s="102"/>
      <c r="X11" s="102"/>
      <c r="Y11" s="102"/>
      <c r="Z11" s="102"/>
    </row>
    <row r="12" spans="1:26">
      <c r="A12" s="102"/>
      <c r="B12" s="67">
        <v>2012</v>
      </c>
      <c r="C12" s="73" cm="1">
        <f t="array" ref="C12">IF(B12&gt;current_year,"",INDEX(Urinals_h2o,B12-2006))</f>
        <v>0</v>
      </c>
      <c r="D12" s="102"/>
      <c r="E12" s="66">
        <v>2012</v>
      </c>
      <c r="F12" s="76">
        <f t="shared" si="0"/>
        <v>0</v>
      </c>
      <c r="H12" s="70">
        <v>2012</v>
      </c>
      <c r="I12" s="78">
        <f t="shared" si="1"/>
        <v>0</v>
      </c>
      <c r="J12" s="102"/>
      <c r="K12" s="1">
        <v>2012</v>
      </c>
      <c r="L12" s="121">
        <f t="shared" si="2"/>
        <v>0</v>
      </c>
      <c r="M12" s="102"/>
      <c r="N12" s="102"/>
      <c r="O12" s="102"/>
      <c r="P12" s="102"/>
      <c r="Q12" s="102"/>
      <c r="R12" s="102"/>
      <c r="S12" s="102"/>
      <c r="T12" s="102"/>
      <c r="U12" s="102"/>
      <c r="V12" s="102"/>
      <c r="W12" s="102"/>
      <c r="X12" s="102"/>
      <c r="Y12" s="102"/>
      <c r="Z12" s="102"/>
    </row>
    <row r="13" spans="1:26">
      <c r="A13" s="102"/>
      <c r="B13" s="67">
        <v>2013</v>
      </c>
      <c r="C13" s="73" cm="1">
        <f t="array" ref="C13">IF(B13&gt;current_year,"",INDEX(Urinals_h2o,B13-2006))</f>
        <v>0</v>
      </c>
      <c r="D13" s="102"/>
      <c r="E13" s="67">
        <v>2013</v>
      </c>
      <c r="F13" s="76">
        <f t="shared" si="0"/>
        <v>0</v>
      </c>
      <c r="H13" s="67">
        <v>2013</v>
      </c>
      <c r="I13" s="78">
        <f t="shared" si="1"/>
        <v>0</v>
      </c>
      <c r="J13" s="102"/>
      <c r="K13" s="120">
        <v>2013</v>
      </c>
      <c r="L13" s="121">
        <f t="shared" si="2"/>
        <v>0</v>
      </c>
      <c r="M13" s="102"/>
      <c r="N13" s="102"/>
      <c r="O13" s="102"/>
      <c r="P13" s="102"/>
      <c r="Q13" s="102"/>
      <c r="R13" s="102"/>
      <c r="S13" s="102"/>
      <c r="T13" s="102"/>
      <c r="U13" s="102"/>
      <c r="V13" s="102"/>
      <c r="W13" s="102"/>
      <c r="X13" s="102"/>
      <c r="Y13" s="102"/>
      <c r="Z13" s="102"/>
    </row>
    <row r="14" spans="1:26">
      <c r="A14" s="102"/>
      <c r="B14" s="67">
        <v>2014</v>
      </c>
      <c r="C14" s="73" cm="1">
        <f t="array" ref="C14">IF(B14&gt;current_year,"",INDEX(Urinals_h2o,B14-2006))</f>
        <v>0</v>
      </c>
      <c r="D14" s="102"/>
      <c r="E14" s="67">
        <v>2014</v>
      </c>
      <c r="F14" s="76">
        <f t="shared" si="0"/>
        <v>0</v>
      </c>
      <c r="H14" s="67">
        <v>2014</v>
      </c>
      <c r="I14" s="78">
        <f t="shared" si="1"/>
        <v>0</v>
      </c>
      <c r="J14" s="102"/>
      <c r="K14" s="120">
        <v>2014</v>
      </c>
      <c r="L14" s="121">
        <f t="shared" si="2"/>
        <v>0</v>
      </c>
      <c r="M14" s="102"/>
      <c r="N14" s="102"/>
      <c r="O14" s="102"/>
      <c r="P14" s="102"/>
      <c r="Q14" s="102"/>
      <c r="R14" s="102"/>
      <c r="S14" s="102"/>
      <c r="T14" s="102"/>
      <c r="U14" s="102"/>
      <c r="V14" s="102"/>
      <c r="W14" s="102"/>
      <c r="X14" s="102"/>
      <c r="Y14" s="102"/>
      <c r="Z14" s="102"/>
    </row>
    <row r="15" spans="1:26">
      <c r="A15" s="102"/>
      <c r="B15" s="67">
        <v>2015</v>
      </c>
      <c r="C15" s="73" cm="1">
        <f t="array" ref="C15">IF(B15&gt;current_year,"",INDEX(Urinals_h2o,B15-2006))</f>
        <v>0</v>
      </c>
      <c r="D15" s="102"/>
      <c r="E15" s="67">
        <v>2015</v>
      </c>
      <c r="F15" s="76">
        <f t="shared" si="0"/>
        <v>0</v>
      </c>
      <c r="H15" s="67">
        <v>2015</v>
      </c>
      <c r="I15" s="78">
        <f t="shared" si="1"/>
        <v>0</v>
      </c>
      <c r="J15" s="102"/>
      <c r="K15" s="120">
        <v>2015</v>
      </c>
      <c r="L15" s="121">
        <f t="shared" si="2"/>
        <v>0</v>
      </c>
      <c r="M15" s="102"/>
      <c r="N15" s="102"/>
      <c r="O15" s="102"/>
      <c r="P15" s="102"/>
      <c r="Q15" s="102"/>
      <c r="R15" s="102"/>
      <c r="S15" s="102"/>
      <c r="T15" s="102"/>
      <c r="U15" s="102"/>
      <c r="V15" s="102"/>
      <c r="W15" s="102"/>
      <c r="X15" s="102"/>
      <c r="Y15" s="102"/>
      <c r="Z15" s="102"/>
    </row>
    <row r="16" spans="1:26">
      <c r="A16" s="102"/>
      <c r="B16" s="67">
        <v>2016</v>
      </c>
      <c r="C16" s="73" cm="1">
        <f t="array" ref="C16">IF(B16&gt;current_year,"",INDEX(Urinals_h2o,B16-2006))</f>
        <v>0</v>
      </c>
      <c r="D16" s="102"/>
      <c r="E16" s="67">
        <v>2016</v>
      </c>
      <c r="F16" s="76">
        <f t="shared" si="0"/>
        <v>0</v>
      </c>
      <c r="H16" s="67">
        <v>2016</v>
      </c>
      <c r="I16" s="78">
        <f t="shared" si="1"/>
        <v>0</v>
      </c>
      <c r="J16" s="102"/>
      <c r="K16" s="120">
        <v>2016</v>
      </c>
      <c r="L16" s="121">
        <f t="shared" si="2"/>
        <v>0</v>
      </c>
      <c r="M16" s="102"/>
      <c r="N16" s="102"/>
      <c r="O16" s="102"/>
      <c r="P16" s="102"/>
      <c r="Q16" s="102"/>
      <c r="R16" s="102"/>
      <c r="S16" s="102"/>
      <c r="T16" s="102"/>
      <c r="U16" s="102"/>
      <c r="V16" s="102"/>
      <c r="W16" s="102"/>
      <c r="X16" s="102"/>
      <c r="Y16" s="102"/>
      <c r="Z16" s="102"/>
    </row>
    <row r="17" spans="1:26">
      <c r="A17" s="102"/>
      <c r="B17" s="67">
        <v>2017</v>
      </c>
      <c r="C17" s="73" cm="1">
        <f t="array" ref="C17">IF(B17&gt;current_year,"",INDEX(Urinals_h2o,B17-2006))</f>
        <v>0</v>
      </c>
      <c r="D17" s="102"/>
      <c r="E17" s="67">
        <v>2017</v>
      </c>
      <c r="F17" s="76">
        <f t="shared" si="0"/>
        <v>0</v>
      </c>
      <c r="H17" s="67">
        <v>2017</v>
      </c>
      <c r="I17" s="78">
        <f t="shared" si="1"/>
        <v>0</v>
      </c>
      <c r="J17" s="102"/>
      <c r="K17" s="120">
        <v>2017</v>
      </c>
      <c r="L17" s="121">
        <f t="shared" si="2"/>
        <v>0</v>
      </c>
      <c r="M17" s="102"/>
      <c r="N17" s="102"/>
      <c r="O17" s="102"/>
      <c r="P17" s="102"/>
      <c r="Q17" s="102"/>
      <c r="R17" s="102"/>
      <c r="S17" s="102"/>
      <c r="T17" s="102"/>
      <c r="U17" s="102"/>
      <c r="V17" s="102"/>
      <c r="W17" s="102"/>
      <c r="X17" s="102"/>
      <c r="Y17" s="102"/>
      <c r="Z17" s="102"/>
    </row>
    <row r="18" spans="1:26">
      <c r="A18" s="102"/>
      <c r="B18" s="67">
        <v>2018</v>
      </c>
      <c r="C18" s="73" cm="1">
        <f t="array" ref="C18">IF(B18&gt;current_year,"",INDEX(Urinals_h2o,B18-2006))</f>
        <v>0</v>
      </c>
      <c r="D18" s="102"/>
      <c r="E18" s="67">
        <v>2018</v>
      </c>
      <c r="F18" s="76">
        <f t="shared" ref="F18:F30" si="3">IF(C18="","",C18*(kwh_per_gal_drnk_water+kwh_per_gal_waste_water))</f>
        <v>0</v>
      </c>
      <c r="H18" s="67">
        <v>2018</v>
      </c>
      <c r="I18" s="78">
        <f t="shared" ref="I18:I30" si="4">IF(C18="","",(F18*tons_co2_per_kwh))</f>
        <v>0</v>
      </c>
      <c r="J18" s="102"/>
      <c r="K18" s="120">
        <v>2018</v>
      </c>
      <c r="L18" s="121">
        <f t="shared" si="2"/>
        <v>0</v>
      </c>
      <c r="M18" s="102"/>
      <c r="N18" s="102"/>
      <c r="O18" s="102"/>
      <c r="P18" s="102"/>
      <c r="Q18" s="102"/>
      <c r="R18" s="102"/>
      <c r="S18" s="102"/>
      <c r="T18" s="102"/>
      <c r="U18" s="102"/>
      <c r="V18" s="102"/>
      <c r="W18" s="102"/>
      <c r="X18" s="102"/>
      <c r="Y18" s="102"/>
      <c r="Z18" s="102"/>
    </row>
    <row r="19" spans="1:26">
      <c r="A19" s="102"/>
      <c r="B19" s="67">
        <v>2019</v>
      </c>
      <c r="C19" s="73" cm="1">
        <f t="array" ref="C19">IF(B19&gt;current_year,"",INDEX(Urinals_h2o,B19-2006))</f>
        <v>0</v>
      </c>
      <c r="D19" s="102"/>
      <c r="E19" s="67">
        <v>2019</v>
      </c>
      <c r="F19" s="76">
        <f t="shared" si="3"/>
        <v>0</v>
      </c>
      <c r="H19" s="67">
        <v>2019</v>
      </c>
      <c r="I19" s="78">
        <f t="shared" si="4"/>
        <v>0</v>
      </c>
      <c r="J19" s="102"/>
      <c r="K19" s="120">
        <v>2019</v>
      </c>
      <c r="L19" s="121">
        <f t="shared" si="2"/>
        <v>0</v>
      </c>
      <c r="M19" s="102"/>
      <c r="N19" s="102"/>
      <c r="O19" s="102"/>
      <c r="P19" s="102"/>
      <c r="Q19" s="102"/>
      <c r="R19" s="102"/>
      <c r="S19" s="102"/>
      <c r="T19" s="102"/>
      <c r="U19" s="102"/>
      <c r="V19" s="102"/>
      <c r="W19" s="102"/>
      <c r="X19" s="102"/>
      <c r="Y19" s="102"/>
      <c r="Z19" s="102"/>
    </row>
    <row r="20" spans="1:26">
      <c r="A20" s="102"/>
      <c r="B20" s="67">
        <v>2020</v>
      </c>
      <c r="C20" s="73" cm="1">
        <f t="array" ref="C20">IF(B20&gt;current_year,"",INDEX(Urinals_h2o,B20-2006))</f>
        <v>0</v>
      </c>
      <c r="D20" s="102"/>
      <c r="E20" s="67">
        <v>2020</v>
      </c>
      <c r="F20" s="76">
        <f t="shared" si="3"/>
        <v>0</v>
      </c>
      <c r="H20" s="67">
        <v>2020</v>
      </c>
      <c r="I20" s="78">
        <f t="shared" si="4"/>
        <v>0</v>
      </c>
      <c r="J20" s="102"/>
      <c r="K20" s="120">
        <v>2020</v>
      </c>
      <c r="L20" s="121">
        <f t="shared" si="2"/>
        <v>0</v>
      </c>
      <c r="M20" s="102"/>
      <c r="N20" s="102"/>
      <c r="O20" s="102"/>
      <c r="P20" s="102"/>
      <c r="Q20" s="102"/>
      <c r="R20" s="102"/>
      <c r="S20" s="102"/>
      <c r="T20" s="102"/>
      <c r="U20" s="102"/>
      <c r="V20" s="102"/>
      <c r="W20" s="102"/>
      <c r="X20" s="102"/>
      <c r="Y20" s="102"/>
      <c r="Z20" s="102"/>
    </row>
    <row r="21" spans="1:26">
      <c r="A21" s="102"/>
      <c r="B21" s="67">
        <v>2021</v>
      </c>
      <c r="C21" s="73" cm="1">
        <f t="array" ref="C21">IF(B21&gt;current_year,"",INDEX(Urinals_h2o,B21-2006))</f>
        <v>0</v>
      </c>
      <c r="D21" s="102"/>
      <c r="E21" s="67">
        <v>2021</v>
      </c>
      <c r="F21" s="76">
        <f t="shared" si="3"/>
        <v>0</v>
      </c>
      <c r="H21" s="67">
        <v>2021</v>
      </c>
      <c r="I21" s="78">
        <f t="shared" si="4"/>
        <v>0</v>
      </c>
      <c r="J21" s="102"/>
      <c r="K21" s="120">
        <v>2021</v>
      </c>
      <c r="L21" s="121">
        <f t="shared" si="2"/>
        <v>0</v>
      </c>
      <c r="M21" s="102"/>
      <c r="N21" s="102"/>
      <c r="O21" s="102"/>
      <c r="P21" s="102"/>
      <c r="Q21" s="102"/>
      <c r="R21" s="102"/>
      <c r="S21" s="102"/>
      <c r="T21" s="102"/>
      <c r="U21" s="102"/>
      <c r="V21" s="102"/>
      <c r="W21" s="102"/>
      <c r="X21" s="102"/>
      <c r="Y21" s="102"/>
      <c r="Z21" s="102"/>
    </row>
    <row r="22" spans="1:26">
      <c r="A22" s="102"/>
      <c r="B22" s="67">
        <v>2022</v>
      </c>
      <c r="C22" s="73" cm="1">
        <f t="array" ref="C22">IF(B22&gt;current_year,"",INDEX(Urinals_h2o,B22-2006))</f>
        <v>0</v>
      </c>
      <c r="D22" s="102"/>
      <c r="E22" s="67">
        <v>2022</v>
      </c>
      <c r="F22" s="76">
        <f t="shared" si="3"/>
        <v>0</v>
      </c>
      <c r="H22" s="67">
        <v>2022</v>
      </c>
      <c r="I22" s="78">
        <f t="shared" si="4"/>
        <v>0</v>
      </c>
      <c r="J22" s="102"/>
      <c r="K22" s="120">
        <v>2022</v>
      </c>
      <c r="L22" s="121">
        <f t="shared" si="2"/>
        <v>0</v>
      </c>
      <c r="M22" s="102"/>
      <c r="N22" s="102"/>
      <c r="O22" s="102"/>
      <c r="P22" s="102"/>
      <c r="Q22" s="102"/>
      <c r="R22" s="102"/>
      <c r="S22" s="102"/>
      <c r="T22" s="102"/>
      <c r="U22" s="102"/>
      <c r="V22" s="102"/>
      <c r="W22" s="102"/>
      <c r="X22" s="102"/>
      <c r="Y22" s="102"/>
      <c r="Z22" s="102"/>
    </row>
    <row r="23" spans="1:26">
      <c r="A23" s="102"/>
      <c r="B23" s="67">
        <v>2023</v>
      </c>
      <c r="C23" s="73" cm="1">
        <f t="array" ref="C23">IF(B23&gt;current_year,"",INDEX(Urinals_h2o,B23-2006))</f>
        <v>0</v>
      </c>
      <c r="D23" s="102"/>
      <c r="E23" s="67">
        <v>2023</v>
      </c>
      <c r="F23" s="76">
        <f t="shared" si="3"/>
        <v>0</v>
      </c>
      <c r="H23" s="67">
        <v>2023</v>
      </c>
      <c r="I23" s="78">
        <f t="shared" si="4"/>
        <v>0</v>
      </c>
      <c r="J23" s="102"/>
      <c r="K23" s="120">
        <v>2023</v>
      </c>
      <c r="L23" s="121">
        <f t="shared" si="2"/>
        <v>0</v>
      </c>
      <c r="M23" s="102"/>
      <c r="N23" s="102"/>
      <c r="O23" s="102"/>
      <c r="P23" s="102"/>
      <c r="Q23" s="102"/>
      <c r="R23" s="102"/>
      <c r="S23" s="102"/>
      <c r="T23" s="102"/>
      <c r="U23" s="102"/>
      <c r="V23" s="102"/>
      <c r="W23" s="102"/>
      <c r="X23" s="102"/>
      <c r="Y23" s="102"/>
      <c r="Z23" s="102"/>
    </row>
    <row r="24" spans="1:26">
      <c r="A24" s="102"/>
      <c r="B24" s="67">
        <v>2024</v>
      </c>
      <c r="C24" s="73" cm="1">
        <f t="array" ref="C24">IF(B24&gt;current_year,"",INDEX(Urinals_h2o,B24-2006))</f>
        <v>0</v>
      </c>
      <c r="D24" s="102"/>
      <c r="E24" s="67">
        <v>2024</v>
      </c>
      <c r="F24" s="76">
        <f t="shared" si="3"/>
        <v>0</v>
      </c>
      <c r="H24" s="67">
        <v>2024</v>
      </c>
      <c r="I24" s="78">
        <f t="shared" si="4"/>
        <v>0</v>
      </c>
      <c r="J24" s="102"/>
      <c r="K24" s="120">
        <v>2024</v>
      </c>
      <c r="L24" s="121">
        <f t="shared" si="2"/>
        <v>0</v>
      </c>
      <c r="M24" s="102"/>
      <c r="N24" s="102"/>
      <c r="O24" s="102"/>
      <c r="P24" s="102"/>
      <c r="Q24" s="102"/>
      <c r="R24" s="102"/>
      <c r="S24" s="102"/>
      <c r="T24" s="102"/>
      <c r="U24" s="102"/>
      <c r="V24" s="102"/>
      <c r="W24" s="102"/>
      <c r="X24" s="102"/>
      <c r="Y24" s="102"/>
      <c r="Z24" s="102"/>
    </row>
    <row r="25" spans="1:26">
      <c r="A25" s="102"/>
      <c r="B25" s="67">
        <v>2025</v>
      </c>
      <c r="C25" s="73" t="str" cm="1">
        <f t="array" ref="C25">IF(B25&gt;current_year,"",INDEX(Urinals_h2o,B25-2006))</f>
        <v/>
      </c>
      <c r="D25" s="102"/>
      <c r="E25" s="67">
        <v>2025</v>
      </c>
      <c r="F25" s="76" t="str">
        <f t="shared" si="3"/>
        <v/>
      </c>
      <c r="H25" s="67">
        <v>2025</v>
      </c>
      <c r="I25" s="78" t="str">
        <f t="shared" si="4"/>
        <v/>
      </c>
      <c r="J25" s="102"/>
      <c r="K25" s="120">
        <v>2025</v>
      </c>
      <c r="L25" s="121" t="str">
        <f t="shared" si="2"/>
        <v/>
      </c>
      <c r="M25" s="102"/>
      <c r="N25" s="102"/>
      <c r="O25" s="102"/>
      <c r="P25" s="102"/>
      <c r="Q25" s="102"/>
      <c r="R25" s="102"/>
      <c r="S25" s="102"/>
      <c r="T25" s="102"/>
      <c r="U25" s="102"/>
      <c r="V25" s="102"/>
      <c r="W25" s="102"/>
      <c r="X25" s="102"/>
      <c r="Y25" s="102"/>
      <c r="Z25" s="102"/>
    </row>
    <row r="26" spans="1:26">
      <c r="A26" s="102"/>
      <c r="B26" s="67">
        <v>2026</v>
      </c>
      <c r="C26" s="73" t="str" cm="1">
        <f t="array" ref="C26">IF(B26&gt;current_year,"",INDEX(Urinals_h2o,B26-2006))</f>
        <v/>
      </c>
      <c r="D26" s="102"/>
      <c r="E26" s="67">
        <v>2026</v>
      </c>
      <c r="F26" s="76" t="str">
        <f t="shared" si="3"/>
        <v/>
      </c>
      <c r="H26" s="67">
        <v>2026</v>
      </c>
      <c r="I26" s="78" t="str">
        <f t="shared" si="4"/>
        <v/>
      </c>
      <c r="J26" s="102"/>
      <c r="K26" s="120">
        <v>2026</v>
      </c>
      <c r="L26" s="121" t="str">
        <f t="shared" si="2"/>
        <v/>
      </c>
      <c r="M26" s="102"/>
      <c r="N26" s="102"/>
      <c r="O26" s="102"/>
      <c r="P26" s="102"/>
      <c r="Q26" s="102"/>
      <c r="R26" s="102"/>
      <c r="S26" s="102"/>
      <c r="T26" s="102"/>
      <c r="U26" s="102"/>
      <c r="V26" s="102"/>
      <c r="W26" s="102"/>
      <c r="X26" s="102"/>
      <c r="Y26" s="102"/>
      <c r="Z26" s="102"/>
    </row>
    <row r="27" spans="1:26">
      <c r="A27" s="102"/>
      <c r="B27" s="67">
        <v>2027</v>
      </c>
      <c r="C27" s="73" t="str" cm="1">
        <f t="array" ref="C27">IF(B27&gt;current_year,"",INDEX(Urinals_h2o,B27-2006))</f>
        <v/>
      </c>
      <c r="D27" s="102"/>
      <c r="E27" s="67">
        <v>2027</v>
      </c>
      <c r="F27" s="76" t="str">
        <f t="shared" si="3"/>
        <v/>
      </c>
      <c r="H27" s="67">
        <v>2027</v>
      </c>
      <c r="I27" s="78" t="str">
        <f t="shared" si="4"/>
        <v/>
      </c>
      <c r="J27" s="102"/>
      <c r="K27" s="120">
        <v>2027</v>
      </c>
      <c r="L27" s="121" t="str">
        <f t="shared" si="2"/>
        <v/>
      </c>
      <c r="M27" s="102"/>
      <c r="N27" s="102"/>
      <c r="O27" s="102"/>
      <c r="P27" s="102"/>
      <c r="Q27" s="102"/>
      <c r="R27" s="102"/>
      <c r="S27" s="102"/>
      <c r="T27" s="102"/>
      <c r="U27" s="102"/>
      <c r="V27" s="102"/>
      <c r="W27" s="102"/>
      <c r="X27" s="102"/>
      <c r="Y27" s="102"/>
      <c r="Z27" s="102"/>
    </row>
    <row r="28" spans="1:26">
      <c r="A28" s="102"/>
      <c r="B28" s="67">
        <v>2028</v>
      </c>
      <c r="C28" s="73" t="str" cm="1">
        <f t="array" ref="C28">IF(B28&gt;current_year,"",INDEX(Urinals_h2o,B28-2006))</f>
        <v/>
      </c>
      <c r="D28" s="102"/>
      <c r="E28" s="67">
        <v>2028</v>
      </c>
      <c r="F28" s="76" t="str">
        <f t="shared" si="3"/>
        <v/>
      </c>
      <c r="H28" s="67">
        <v>2028</v>
      </c>
      <c r="I28" s="78" t="str">
        <f t="shared" si="4"/>
        <v/>
      </c>
      <c r="J28" s="102"/>
      <c r="K28" s="120">
        <v>2028</v>
      </c>
      <c r="L28" s="121" t="str">
        <f t="shared" si="2"/>
        <v/>
      </c>
      <c r="M28" s="102"/>
      <c r="N28" s="102"/>
      <c r="O28" s="102"/>
      <c r="P28" s="102"/>
      <c r="Q28" s="102"/>
      <c r="R28" s="102"/>
      <c r="S28" s="102"/>
      <c r="T28" s="102"/>
      <c r="U28" s="102"/>
      <c r="V28" s="102"/>
      <c r="W28" s="102"/>
      <c r="X28" s="102"/>
      <c r="Y28" s="102"/>
      <c r="Z28" s="102"/>
    </row>
    <row r="29" spans="1:26">
      <c r="A29" s="102"/>
      <c r="B29" s="67">
        <v>2029</v>
      </c>
      <c r="C29" s="73" t="str" cm="1">
        <f t="array" ref="C29">IF(B29&gt;current_year,"",INDEX(Urinals_h2o,B29-2006))</f>
        <v/>
      </c>
      <c r="D29" s="102"/>
      <c r="E29" s="67">
        <v>2029</v>
      </c>
      <c r="F29" s="76" t="str">
        <f t="shared" si="3"/>
        <v/>
      </c>
      <c r="H29" s="67">
        <v>2029</v>
      </c>
      <c r="I29" s="78" t="str">
        <f t="shared" si="4"/>
        <v/>
      </c>
      <c r="J29" s="102"/>
      <c r="K29" s="120">
        <v>2029</v>
      </c>
      <c r="L29" s="121" t="str">
        <f t="shared" si="2"/>
        <v/>
      </c>
      <c r="M29" s="102"/>
      <c r="N29" s="102"/>
      <c r="O29" s="102"/>
      <c r="P29" s="102"/>
      <c r="Q29" s="102"/>
      <c r="R29" s="102"/>
      <c r="S29" s="102"/>
      <c r="T29" s="102"/>
      <c r="U29" s="102"/>
      <c r="V29" s="102"/>
      <c r="W29" s="102"/>
      <c r="X29" s="102"/>
      <c r="Y29" s="102"/>
      <c r="Z29" s="102"/>
    </row>
    <row r="30" spans="1:26" ht="13.5" thickBot="1">
      <c r="A30" s="102"/>
      <c r="B30" s="67">
        <v>2030</v>
      </c>
      <c r="C30" s="73" t="str" cm="1">
        <f t="array" ref="C30">IF(B30&gt;current_year,"",INDEX(Urinals_h2o,B30-2006))</f>
        <v/>
      </c>
      <c r="D30" s="102"/>
      <c r="E30" s="67">
        <v>2030</v>
      </c>
      <c r="F30" s="77" t="str">
        <f t="shared" si="3"/>
        <v/>
      </c>
      <c r="H30" s="67">
        <v>2030</v>
      </c>
      <c r="I30" s="79" t="str">
        <f t="shared" si="4"/>
        <v/>
      </c>
      <c r="J30" s="102"/>
      <c r="K30" s="120">
        <v>2030</v>
      </c>
      <c r="L30" s="121" t="str">
        <f t="shared" si="2"/>
        <v/>
      </c>
      <c r="M30" s="102"/>
      <c r="N30" s="102"/>
      <c r="O30" s="102"/>
      <c r="P30" s="102"/>
      <c r="Q30" s="102"/>
      <c r="R30" s="102"/>
      <c r="S30" s="102"/>
      <c r="T30" s="102"/>
      <c r="U30" s="102"/>
      <c r="V30" s="102"/>
      <c r="W30" s="102"/>
      <c r="X30" s="102"/>
      <c r="Y30" s="102"/>
      <c r="Z30" s="102"/>
    </row>
    <row r="31" spans="1:26">
      <c r="A31" s="102"/>
      <c r="B31" s="102"/>
      <c r="C31" s="102"/>
      <c r="D31" s="102"/>
      <c r="E31" s="102"/>
      <c r="F31" s="102"/>
      <c r="H31" s="102"/>
      <c r="I31" s="102"/>
      <c r="J31" s="102"/>
      <c r="K31" s="102"/>
      <c r="L31" s="102"/>
      <c r="M31" s="102"/>
      <c r="N31" s="102"/>
      <c r="O31" s="102"/>
      <c r="P31" s="102"/>
      <c r="Q31" s="102"/>
      <c r="R31" s="102"/>
      <c r="S31" s="102"/>
      <c r="T31" s="102"/>
      <c r="U31" s="102"/>
      <c r="V31" s="102"/>
      <c r="W31" s="102"/>
      <c r="X31" s="102"/>
      <c r="Y31" s="102"/>
      <c r="Z31" s="102"/>
    </row>
    <row r="32" spans="1:26">
      <c r="A32" s="102"/>
      <c r="B32" s="102"/>
      <c r="C32" s="102"/>
      <c r="D32" s="102"/>
      <c r="E32" s="102"/>
      <c r="F32" s="102"/>
      <c r="H32" s="102"/>
      <c r="I32" s="102"/>
      <c r="J32" s="102"/>
      <c r="K32" s="102"/>
      <c r="L32" s="102"/>
      <c r="M32" s="102"/>
      <c r="N32" s="102"/>
      <c r="O32" s="102"/>
      <c r="P32" s="102"/>
      <c r="Q32" s="102"/>
      <c r="R32" s="102"/>
      <c r="S32" s="102"/>
      <c r="T32" s="102"/>
      <c r="U32" s="102"/>
      <c r="V32" s="102"/>
      <c r="W32" s="102"/>
      <c r="X32" s="102"/>
      <c r="Y32" s="102"/>
      <c r="Z32" s="102"/>
    </row>
    <row r="33" spans="1:26">
      <c r="A33" s="102"/>
      <c r="B33" s="102"/>
      <c r="C33" s="102"/>
      <c r="D33" s="102"/>
      <c r="E33" s="102"/>
      <c r="F33" s="102"/>
      <c r="H33" s="102"/>
      <c r="I33" s="102"/>
      <c r="J33" s="102"/>
      <c r="K33" s="102"/>
      <c r="L33" s="102"/>
      <c r="M33" s="102"/>
      <c r="N33" s="102"/>
      <c r="O33" s="102"/>
      <c r="P33" s="102"/>
      <c r="Q33" s="102"/>
      <c r="R33" s="102"/>
      <c r="S33" s="102"/>
      <c r="T33" s="102"/>
      <c r="U33" s="102"/>
      <c r="V33" s="102"/>
      <c r="W33" s="102"/>
      <c r="X33" s="102"/>
      <c r="Y33" s="102"/>
      <c r="Z33" s="102"/>
    </row>
    <row r="34" spans="1:26">
      <c r="A34" s="102"/>
      <c r="B34" s="102"/>
      <c r="C34" s="102"/>
      <c r="D34" s="102"/>
      <c r="E34" s="102"/>
      <c r="F34" s="102"/>
      <c r="H34" s="102"/>
      <c r="I34" s="102"/>
      <c r="J34" s="102"/>
      <c r="K34" s="102"/>
      <c r="L34" s="102"/>
      <c r="M34" s="102"/>
      <c r="N34" s="102"/>
      <c r="O34" s="102"/>
      <c r="P34" s="102"/>
      <c r="Q34" s="102"/>
      <c r="R34" s="102"/>
      <c r="S34" s="102"/>
      <c r="T34" s="102"/>
      <c r="U34" s="102"/>
      <c r="V34" s="102"/>
      <c r="W34" s="102"/>
      <c r="X34" s="102"/>
      <c r="Y34" s="102"/>
      <c r="Z34" s="102"/>
    </row>
    <row r="35" spans="1:26">
      <c r="A35" s="102"/>
      <c r="B35" s="102"/>
      <c r="C35" s="102"/>
      <c r="D35" s="102"/>
      <c r="E35" s="102"/>
      <c r="F35" s="102"/>
      <c r="H35" s="102"/>
      <c r="I35" s="102"/>
      <c r="J35" s="102"/>
      <c r="K35" s="102"/>
      <c r="L35" s="102"/>
      <c r="M35" s="102"/>
      <c r="N35" s="102"/>
      <c r="O35" s="102"/>
      <c r="P35" s="102"/>
      <c r="Q35" s="102"/>
      <c r="R35" s="102"/>
      <c r="S35" s="102"/>
      <c r="T35" s="102"/>
      <c r="U35" s="102"/>
      <c r="V35" s="102"/>
      <c r="W35" s="102"/>
      <c r="X35" s="102"/>
      <c r="Y35" s="102"/>
      <c r="Z35" s="102"/>
    </row>
    <row r="36" spans="1:26">
      <c r="A36" s="102"/>
      <c r="B36" s="102"/>
      <c r="C36" s="102"/>
      <c r="D36" s="102"/>
      <c r="E36" s="102"/>
      <c r="F36" s="102"/>
      <c r="H36" s="102"/>
      <c r="I36" s="102"/>
      <c r="J36" s="102"/>
      <c r="K36" s="102"/>
      <c r="L36" s="102"/>
      <c r="M36" s="102"/>
      <c r="N36" s="102"/>
      <c r="O36" s="102"/>
      <c r="P36" s="102"/>
      <c r="Q36" s="102"/>
      <c r="R36" s="102"/>
      <c r="S36" s="102"/>
      <c r="T36" s="102"/>
      <c r="U36" s="102"/>
      <c r="V36" s="102"/>
      <c r="W36" s="102"/>
      <c r="X36" s="102"/>
      <c r="Y36" s="102"/>
      <c r="Z36" s="102"/>
    </row>
    <row r="37" spans="1:26">
      <c r="A37" s="102"/>
      <c r="B37" s="102"/>
      <c r="C37" s="102"/>
      <c r="D37" s="102"/>
      <c r="E37" s="102"/>
      <c r="F37" s="102"/>
      <c r="H37" s="102"/>
      <c r="I37" s="102"/>
      <c r="J37" s="102"/>
      <c r="K37" s="102"/>
      <c r="L37" s="102"/>
      <c r="M37" s="102"/>
      <c r="N37" s="102"/>
      <c r="O37" s="102"/>
      <c r="P37" s="102"/>
      <c r="Q37" s="102"/>
      <c r="R37" s="102"/>
      <c r="S37" s="102"/>
      <c r="T37" s="102"/>
      <c r="U37" s="102"/>
      <c r="V37" s="102"/>
      <c r="W37" s="102"/>
      <c r="X37" s="102"/>
      <c r="Y37" s="102"/>
      <c r="Z37" s="102"/>
    </row>
    <row r="38" spans="1:26">
      <c r="A38" s="102"/>
      <c r="B38" s="102"/>
      <c r="C38" s="102"/>
      <c r="D38" s="102"/>
      <c r="E38" s="102"/>
      <c r="F38" s="102"/>
      <c r="H38" s="102"/>
      <c r="I38" s="102"/>
      <c r="J38" s="102"/>
      <c r="K38" s="102"/>
      <c r="L38" s="102"/>
      <c r="M38" s="102"/>
      <c r="N38" s="102"/>
      <c r="O38" s="102"/>
      <c r="P38" s="102"/>
      <c r="Q38" s="102"/>
      <c r="R38" s="102"/>
      <c r="S38" s="102"/>
      <c r="T38" s="102"/>
      <c r="U38" s="102"/>
      <c r="V38" s="102"/>
      <c r="W38" s="102"/>
      <c r="X38" s="102"/>
      <c r="Y38" s="102"/>
      <c r="Z38" s="102"/>
    </row>
    <row r="39" spans="1:26">
      <c r="A39" s="102"/>
      <c r="B39" s="102"/>
      <c r="C39" s="102"/>
      <c r="D39" s="102"/>
      <c r="E39" s="102"/>
      <c r="F39" s="102"/>
      <c r="H39" s="102"/>
      <c r="I39" s="102"/>
      <c r="J39" s="102"/>
      <c r="K39" s="102"/>
      <c r="L39" s="102"/>
      <c r="M39" s="102"/>
      <c r="N39" s="102"/>
      <c r="O39" s="102"/>
      <c r="P39" s="102"/>
      <c r="Q39" s="102"/>
      <c r="R39" s="102"/>
      <c r="S39" s="102"/>
      <c r="T39" s="102"/>
      <c r="U39" s="102"/>
      <c r="V39" s="102"/>
      <c r="W39" s="102"/>
      <c r="X39" s="102"/>
      <c r="Y39" s="102"/>
      <c r="Z39" s="102"/>
    </row>
    <row r="40" spans="1:26">
      <c r="A40" s="102"/>
      <c r="B40" s="102"/>
      <c r="C40" s="102"/>
      <c r="D40" s="102"/>
      <c r="E40" s="102"/>
      <c r="F40" s="102"/>
      <c r="H40" s="102"/>
      <c r="I40" s="102"/>
      <c r="J40" s="102"/>
      <c r="K40" s="102"/>
      <c r="L40" s="102"/>
      <c r="M40" s="102"/>
      <c r="N40" s="102"/>
      <c r="O40" s="102"/>
      <c r="P40" s="102"/>
      <c r="Q40" s="102"/>
      <c r="R40" s="102"/>
      <c r="S40" s="102"/>
      <c r="T40" s="102"/>
      <c r="U40" s="102"/>
      <c r="V40" s="102"/>
      <c r="W40" s="102"/>
      <c r="X40" s="102"/>
      <c r="Y40" s="102"/>
      <c r="Z40" s="102"/>
    </row>
    <row r="41" spans="1:26">
      <c r="A41" s="102"/>
      <c r="B41" s="102"/>
      <c r="C41" s="102"/>
      <c r="D41" s="102"/>
      <c r="E41" s="102"/>
      <c r="F41" s="102"/>
      <c r="H41" s="102"/>
      <c r="I41" s="102"/>
      <c r="J41" s="102"/>
      <c r="K41" s="102"/>
      <c r="L41" s="102"/>
      <c r="M41" s="102"/>
      <c r="N41" s="102"/>
      <c r="O41" s="102"/>
      <c r="P41" s="102"/>
      <c r="Q41" s="102"/>
      <c r="R41" s="102"/>
      <c r="S41" s="102"/>
      <c r="T41" s="102"/>
      <c r="U41" s="102"/>
      <c r="V41" s="102"/>
      <c r="W41" s="102"/>
      <c r="X41" s="102"/>
      <c r="Y41" s="102"/>
      <c r="Z41" s="102"/>
    </row>
    <row r="42" spans="1:26">
      <c r="A42" s="102"/>
      <c r="B42" s="102"/>
      <c r="C42" s="102"/>
      <c r="D42" s="102"/>
      <c r="E42" s="102"/>
      <c r="F42" s="102"/>
      <c r="H42" s="102"/>
      <c r="I42" s="102"/>
      <c r="J42" s="102"/>
      <c r="K42" s="102"/>
      <c r="L42" s="102"/>
      <c r="M42" s="102"/>
      <c r="N42" s="102"/>
      <c r="O42" s="102"/>
      <c r="P42" s="102"/>
      <c r="Q42" s="102"/>
      <c r="R42" s="102"/>
      <c r="S42" s="102"/>
      <c r="T42" s="102"/>
      <c r="U42" s="102"/>
      <c r="V42" s="102"/>
      <c r="W42" s="102"/>
      <c r="X42" s="102"/>
      <c r="Y42" s="102"/>
      <c r="Z42" s="102"/>
    </row>
    <row r="43" spans="1:26">
      <c r="A43" s="102"/>
      <c r="B43" s="102"/>
      <c r="C43" s="102"/>
      <c r="D43" s="102"/>
      <c r="E43" s="102"/>
      <c r="F43" s="102"/>
      <c r="H43" s="102"/>
      <c r="I43" s="102"/>
      <c r="J43" s="102"/>
      <c r="K43" s="102"/>
      <c r="L43" s="102"/>
      <c r="M43" s="102"/>
      <c r="N43" s="102"/>
      <c r="O43" s="102"/>
      <c r="P43" s="102"/>
      <c r="Q43" s="102"/>
      <c r="R43" s="102"/>
      <c r="S43" s="102"/>
      <c r="T43" s="102"/>
      <c r="U43" s="102"/>
      <c r="V43" s="102"/>
      <c r="W43" s="102"/>
      <c r="X43" s="102"/>
      <c r="Y43" s="102"/>
      <c r="Z43" s="102"/>
    </row>
    <row r="44" spans="1:26">
      <c r="A44" s="102"/>
      <c r="B44" s="102"/>
      <c r="C44" s="102"/>
      <c r="D44" s="102"/>
      <c r="E44" s="102"/>
      <c r="F44" s="102"/>
      <c r="H44" s="102"/>
      <c r="I44" s="102"/>
      <c r="J44" s="102"/>
      <c r="K44" s="102"/>
      <c r="L44" s="102"/>
      <c r="M44" s="102"/>
      <c r="N44" s="102"/>
      <c r="O44" s="102"/>
      <c r="P44" s="102"/>
      <c r="Q44" s="102"/>
      <c r="R44" s="102"/>
      <c r="S44" s="102"/>
      <c r="T44" s="102"/>
      <c r="U44" s="102"/>
      <c r="V44" s="102"/>
      <c r="W44" s="102"/>
      <c r="X44" s="102"/>
      <c r="Y44" s="102"/>
      <c r="Z44" s="102"/>
    </row>
    <row r="45" spans="1:26">
      <c r="A45" s="102"/>
      <c r="B45" s="102"/>
      <c r="C45" s="102"/>
      <c r="D45" s="102"/>
      <c r="E45" s="102"/>
      <c r="F45" s="102"/>
      <c r="H45" s="102"/>
      <c r="I45" s="102"/>
      <c r="J45" s="102"/>
      <c r="K45" s="102"/>
      <c r="L45" s="102"/>
      <c r="M45" s="102"/>
      <c r="N45" s="102"/>
      <c r="O45" s="102"/>
      <c r="P45" s="102"/>
      <c r="Q45" s="102"/>
      <c r="R45" s="102"/>
      <c r="S45" s="102"/>
      <c r="T45" s="102"/>
      <c r="U45" s="102"/>
      <c r="V45" s="102"/>
      <c r="W45" s="102"/>
      <c r="X45" s="102"/>
      <c r="Y45" s="102"/>
      <c r="Z45" s="102"/>
    </row>
    <row r="46" spans="1:26">
      <c r="A46" s="102"/>
      <c r="B46" s="102"/>
      <c r="C46" s="102"/>
      <c r="D46" s="102"/>
      <c r="E46" s="102"/>
      <c r="F46" s="102"/>
      <c r="H46" s="102"/>
      <c r="I46" s="102"/>
      <c r="J46" s="102"/>
      <c r="K46" s="102"/>
      <c r="L46" s="102"/>
      <c r="M46" s="102"/>
      <c r="N46" s="102"/>
      <c r="O46" s="102"/>
      <c r="P46" s="102"/>
      <c r="Q46" s="102"/>
      <c r="R46" s="102"/>
      <c r="S46" s="102"/>
      <c r="T46" s="102"/>
      <c r="U46" s="102"/>
      <c r="V46" s="102"/>
      <c r="W46" s="102"/>
      <c r="X46" s="102"/>
      <c r="Y46" s="102"/>
      <c r="Z46" s="102"/>
    </row>
    <row r="47" spans="1:26">
      <c r="A47" s="102"/>
      <c r="B47" s="102"/>
      <c r="C47" s="102"/>
      <c r="D47" s="102"/>
      <c r="E47" s="102"/>
      <c r="F47" s="102"/>
      <c r="H47" s="102"/>
      <c r="I47" s="102"/>
      <c r="J47" s="102"/>
      <c r="K47" s="102"/>
      <c r="L47" s="102"/>
      <c r="M47" s="102"/>
      <c r="N47" s="102"/>
      <c r="O47" s="102"/>
      <c r="P47" s="102"/>
      <c r="Q47" s="102"/>
      <c r="R47" s="102"/>
      <c r="S47" s="102"/>
      <c r="T47" s="102"/>
      <c r="U47" s="102"/>
      <c r="V47" s="102"/>
      <c r="W47" s="102"/>
      <c r="X47" s="102"/>
      <c r="Y47" s="102"/>
      <c r="Z47" s="102"/>
    </row>
    <row r="48" spans="1:26">
      <c r="A48" s="102"/>
      <c r="B48" s="102"/>
      <c r="C48" s="102"/>
      <c r="D48" s="102"/>
      <c r="E48" s="102"/>
      <c r="F48" s="102"/>
      <c r="H48" s="102"/>
      <c r="I48" s="102"/>
      <c r="J48" s="102"/>
      <c r="K48" s="102"/>
      <c r="L48" s="102"/>
      <c r="M48" s="102"/>
      <c r="N48" s="102"/>
      <c r="O48" s="102"/>
      <c r="P48" s="102"/>
      <c r="Q48" s="102"/>
      <c r="R48" s="102"/>
      <c r="S48" s="102"/>
      <c r="T48" s="102"/>
      <c r="U48" s="102"/>
      <c r="V48" s="102"/>
      <c r="W48" s="102"/>
      <c r="X48" s="102"/>
      <c r="Y48" s="102"/>
      <c r="Z48" s="102"/>
    </row>
    <row r="49" spans="1:26">
      <c r="A49" s="102"/>
      <c r="B49" s="102"/>
      <c r="C49" s="102"/>
      <c r="D49" s="102"/>
      <c r="E49" s="102"/>
      <c r="F49" s="102"/>
      <c r="H49" s="102"/>
      <c r="I49" s="102"/>
      <c r="J49" s="102"/>
      <c r="K49" s="102"/>
      <c r="L49" s="102"/>
      <c r="M49" s="102"/>
      <c r="N49" s="102"/>
      <c r="O49" s="102"/>
      <c r="P49" s="102"/>
      <c r="Q49" s="102"/>
      <c r="R49" s="102"/>
      <c r="S49" s="102"/>
      <c r="T49" s="102"/>
      <c r="U49" s="102"/>
      <c r="V49" s="102"/>
      <c r="W49" s="102"/>
      <c r="X49" s="102"/>
      <c r="Y49" s="102"/>
      <c r="Z49" s="102"/>
    </row>
    <row r="50" spans="1:26">
      <c r="A50" s="102"/>
      <c r="B50" s="102"/>
      <c r="C50" s="102"/>
      <c r="D50" s="102"/>
      <c r="E50" s="102"/>
      <c r="F50" s="102"/>
      <c r="H50" s="102"/>
      <c r="I50" s="102"/>
      <c r="J50" s="102"/>
      <c r="K50" s="102"/>
      <c r="L50" s="102"/>
      <c r="M50" s="102"/>
      <c r="N50" s="102"/>
      <c r="O50" s="102"/>
      <c r="P50" s="102"/>
      <c r="Q50" s="102"/>
      <c r="R50" s="102"/>
      <c r="S50" s="102"/>
      <c r="T50" s="102"/>
      <c r="U50" s="102"/>
      <c r="V50" s="102"/>
      <c r="W50" s="102"/>
      <c r="X50" s="102"/>
      <c r="Y50" s="102"/>
      <c r="Z50" s="102"/>
    </row>
    <row r="53" spans="1:26" ht="13.5" customHeight="1"/>
    <row r="54" spans="1:26" ht="13.5" customHeight="1"/>
    <row r="55" spans="1:26" ht="13.5" customHeight="1"/>
    <row r="56" spans="1:26" ht="12.75" customHeight="1"/>
    <row r="57" spans="1:26" ht="12.75" customHeight="1"/>
    <row r="58" spans="1:26" ht="12.75" customHeight="1"/>
    <row r="59" spans="1:26" ht="12.75" customHeight="1"/>
    <row r="60" spans="1:26" ht="12.75" customHeight="1"/>
    <row r="61" spans="1:26" ht="12.75" customHeight="1"/>
    <row r="62" spans="1:26" ht="12.75" customHeight="1"/>
    <row r="63" spans="1:26" ht="12.75" customHeight="1"/>
    <row r="64" spans="1:26"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sheetData>
  <phoneticPr fontId="43" type="noConversion"/>
  <pageMargins left="0.75" right="0.75" top="1" bottom="1" header="0.5" footer="0.5"/>
  <pageSetup orientation="portrait"/>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7" tint="0.39997558519241921"/>
  </sheetPr>
  <dimension ref="A1:Z99"/>
  <sheetViews>
    <sheetView topLeftCell="A12" workbookViewId="0">
      <selection activeCell="C7" sqref="C7"/>
    </sheetView>
  </sheetViews>
  <sheetFormatPr defaultColWidth="8.85546875" defaultRowHeight="12.75"/>
  <cols>
    <col min="2" max="2" width="5.140625" bestFit="1" customWidth="1"/>
    <col min="3" max="3" width="30.85546875" customWidth="1"/>
    <col min="4" max="4" width="8.85546875" customWidth="1"/>
    <col min="5" max="5" width="5.140625" bestFit="1" customWidth="1"/>
    <col min="6" max="6" width="30.85546875" customWidth="1"/>
    <col min="8" max="8" width="5.140625" bestFit="1" customWidth="1"/>
    <col min="9" max="9" width="30.85546875" customWidth="1"/>
    <col min="10" max="10" width="4" customWidth="1"/>
    <col min="12" max="12" width="25.140625" customWidth="1"/>
  </cols>
  <sheetData>
    <row r="1" spans="1:26">
      <c r="A1" s="102"/>
      <c r="B1" s="102"/>
      <c r="C1" s="102"/>
      <c r="D1" s="102"/>
      <c r="E1" s="102"/>
      <c r="F1" s="102"/>
      <c r="G1" s="102"/>
      <c r="H1" s="102"/>
      <c r="I1" s="102"/>
      <c r="J1" s="102"/>
      <c r="K1" s="102"/>
      <c r="L1" s="102"/>
      <c r="M1" s="102"/>
      <c r="N1" s="102"/>
      <c r="O1" s="102"/>
      <c r="P1" s="102"/>
      <c r="Q1" s="102"/>
      <c r="R1" s="102"/>
      <c r="S1" s="102"/>
      <c r="T1" s="102"/>
      <c r="U1" s="102"/>
      <c r="V1" s="102"/>
      <c r="W1" s="102"/>
      <c r="X1" s="102"/>
      <c r="Y1" s="102"/>
      <c r="Z1" s="102"/>
    </row>
    <row r="2" spans="1:26">
      <c r="A2" s="102"/>
      <c r="B2" s="18"/>
      <c r="C2" s="68" t="s">
        <v>195</v>
      </c>
      <c r="D2" s="102"/>
      <c r="E2" s="18"/>
      <c r="F2" s="68" t="s">
        <v>236</v>
      </c>
      <c r="G2" s="102"/>
      <c r="H2" s="102"/>
      <c r="I2" s="102"/>
      <c r="J2" s="102"/>
      <c r="K2" s="102"/>
      <c r="L2" s="102"/>
      <c r="M2" s="102"/>
      <c r="N2" s="102"/>
      <c r="O2" s="102"/>
      <c r="P2" s="102"/>
      <c r="Q2" s="102"/>
      <c r="R2" s="102"/>
      <c r="S2" s="102"/>
      <c r="T2" s="102"/>
      <c r="U2" s="102"/>
      <c r="V2" s="102"/>
      <c r="W2" s="102"/>
      <c r="X2" s="102"/>
      <c r="Y2" s="102"/>
      <c r="Z2" s="102"/>
    </row>
    <row r="3" spans="1:26">
      <c r="A3" s="102"/>
      <c r="B3" s="18"/>
      <c r="C3" s="68"/>
      <c r="D3" s="102"/>
      <c r="E3" s="18"/>
      <c r="F3" s="68"/>
      <c r="G3" s="102"/>
      <c r="H3" s="18"/>
      <c r="I3" s="18"/>
      <c r="J3" s="102"/>
      <c r="K3" s="18"/>
      <c r="L3" s="18"/>
      <c r="M3" s="102"/>
      <c r="N3" s="102"/>
      <c r="O3" s="102"/>
      <c r="P3" s="102"/>
      <c r="Q3" s="102"/>
      <c r="R3" s="102"/>
      <c r="S3" s="102"/>
      <c r="T3" s="102"/>
      <c r="U3" s="102"/>
      <c r="V3" s="102"/>
      <c r="W3" s="102"/>
      <c r="X3" s="102"/>
      <c r="Y3" s="102"/>
      <c r="Z3" s="102"/>
    </row>
    <row r="4" spans="1:26" ht="26.25" thickBot="1">
      <c r="A4" s="102"/>
      <c r="B4" s="18"/>
      <c r="C4" s="18"/>
      <c r="D4" s="102"/>
      <c r="E4" s="18"/>
      <c r="F4" s="71" t="s">
        <v>237</v>
      </c>
      <c r="G4" s="102"/>
      <c r="H4" s="68"/>
      <c r="I4" s="68" t="s">
        <v>238</v>
      </c>
      <c r="J4" s="102"/>
      <c r="K4" s="112"/>
      <c r="L4" s="61" t="s">
        <v>239</v>
      </c>
      <c r="M4" s="102"/>
      <c r="N4" s="102"/>
      <c r="O4" s="102"/>
      <c r="P4" s="102"/>
      <c r="Q4" s="102"/>
      <c r="R4" s="102"/>
      <c r="S4" s="102"/>
      <c r="T4" s="102"/>
      <c r="U4" s="102"/>
      <c r="V4" s="102"/>
      <c r="W4" s="102"/>
      <c r="X4" s="102"/>
      <c r="Y4" s="102"/>
      <c r="Z4" s="102"/>
    </row>
    <row r="5" spans="1:26" ht="51.75" thickBot="1">
      <c r="A5" s="102"/>
      <c r="B5" s="68"/>
      <c r="C5" s="116" t="s">
        <v>249</v>
      </c>
      <c r="D5" s="102"/>
      <c r="E5" s="18"/>
      <c r="F5" s="3" t="s">
        <v>210</v>
      </c>
      <c r="G5" s="102"/>
      <c r="H5" s="69"/>
      <c r="I5" s="2" t="s">
        <v>213</v>
      </c>
      <c r="J5" s="102"/>
      <c r="K5" s="126"/>
      <c r="L5" s="50" t="str">
        <f>"USD ($" &amp;current_year &amp; ")"</f>
        <v>USD ($2024)</v>
      </c>
      <c r="M5" s="102"/>
      <c r="N5" s="102"/>
      <c r="O5" s="102"/>
      <c r="P5" s="102"/>
      <c r="Q5" s="102"/>
      <c r="R5" s="102"/>
      <c r="S5" s="102"/>
      <c r="T5" s="102"/>
      <c r="U5" s="102"/>
      <c r="V5" s="102"/>
      <c r="W5" s="102"/>
      <c r="X5" s="102"/>
      <c r="Y5" s="102"/>
      <c r="Z5" s="102"/>
    </row>
    <row r="6" spans="1:26" ht="13.5" thickBot="1">
      <c r="A6" s="102"/>
      <c r="B6" s="67" t="s">
        <v>11</v>
      </c>
      <c r="C6" s="115" t="s">
        <v>86</v>
      </c>
      <c r="D6" s="102"/>
      <c r="E6" s="67" t="s">
        <v>11</v>
      </c>
      <c r="F6" s="72" t="s">
        <v>86</v>
      </c>
      <c r="G6" s="102"/>
      <c r="H6" s="67" t="s">
        <v>11</v>
      </c>
      <c r="I6" s="72" t="s">
        <v>86</v>
      </c>
      <c r="J6" s="102"/>
      <c r="K6" s="120" t="s">
        <v>11</v>
      </c>
      <c r="L6" s="75" t="s">
        <v>86</v>
      </c>
      <c r="M6" s="102"/>
      <c r="N6" s="102"/>
      <c r="O6" s="102"/>
      <c r="P6" s="102"/>
      <c r="Q6" s="102"/>
      <c r="R6" s="102"/>
      <c r="S6" s="102"/>
      <c r="T6" s="102"/>
      <c r="U6" s="102"/>
      <c r="V6" s="102"/>
      <c r="W6" s="102"/>
      <c r="X6" s="102"/>
      <c r="Y6" s="102"/>
      <c r="Z6" s="102"/>
    </row>
    <row r="7" spans="1:26" ht="13.5" thickBot="1">
      <c r="A7" s="102"/>
      <c r="B7" s="67">
        <v>2007</v>
      </c>
      <c r="C7" s="80" cm="1">
        <f t="array" ref="C7">IF(B7&gt;current_year,"",INDEX(WBICs_h2o,B7-2006))</f>
        <v>0</v>
      </c>
      <c r="D7" s="102"/>
      <c r="E7" s="66">
        <v>2007</v>
      </c>
      <c r="F7" s="76">
        <f t="shared" ref="F7:F30" si="0">IF(C7="","",C7*(kwh_per_gal_drnk_water))</f>
        <v>0</v>
      </c>
      <c r="G7" s="102"/>
      <c r="H7" s="70">
        <v>2007</v>
      </c>
      <c r="I7" s="78">
        <f t="shared" ref="I7:I17" si="1">(F7*tons_co2_per_kwh)</f>
        <v>0</v>
      </c>
      <c r="J7" s="102"/>
      <c r="K7" s="1">
        <v>2007</v>
      </c>
      <c r="L7" s="121">
        <f t="shared" ref="L7:L30" si="2">IF(C7="","",(C7*10^-3*INDEX(water_res,K7-2006))*(IF(K7&lt;current_year,INDEX(GDP,current_year-2006),1)))</f>
        <v>0</v>
      </c>
      <c r="M7" s="102"/>
      <c r="N7" s="102"/>
      <c r="O7" s="102"/>
      <c r="P7" s="102"/>
      <c r="Q7" s="102"/>
      <c r="R7" s="102"/>
      <c r="S7" s="102"/>
      <c r="T7" s="102"/>
      <c r="U7" s="102"/>
      <c r="V7" s="102"/>
      <c r="W7" s="102"/>
      <c r="X7" s="102"/>
      <c r="Y7" s="102"/>
      <c r="Z7" s="102"/>
    </row>
    <row r="8" spans="1:26" ht="13.5" thickBot="1">
      <c r="A8" s="102"/>
      <c r="B8" s="67">
        <v>2008</v>
      </c>
      <c r="C8" s="80" cm="1">
        <f t="array" ref="C8">IF(B8&gt;current_year,"",INDEX(WBICs_h2o,B8-2006))</f>
        <v>0</v>
      </c>
      <c r="D8" s="102"/>
      <c r="E8" s="66">
        <v>2008</v>
      </c>
      <c r="F8" s="76">
        <f t="shared" si="0"/>
        <v>0</v>
      </c>
      <c r="G8" s="102"/>
      <c r="H8" s="70">
        <v>2008</v>
      </c>
      <c r="I8" s="78">
        <f t="shared" si="1"/>
        <v>0</v>
      </c>
      <c r="J8" s="102"/>
      <c r="K8" s="1">
        <v>2008</v>
      </c>
      <c r="L8" s="121">
        <f t="shared" si="2"/>
        <v>0</v>
      </c>
      <c r="M8" s="102"/>
      <c r="N8" s="102"/>
      <c r="O8" s="102"/>
      <c r="P8" s="102"/>
      <c r="Q8" s="102"/>
      <c r="R8" s="102"/>
      <c r="S8" s="102"/>
      <c r="T8" s="102"/>
      <c r="U8" s="102"/>
      <c r="V8" s="102"/>
      <c r="W8" s="102"/>
      <c r="X8" s="102"/>
      <c r="Y8" s="102"/>
      <c r="Z8" s="102"/>
    </row>
    <row r="9" spans="1:26" ht="13.5" thickBot="1">
      <c r="A9" s="102"/>
      <c r="B9" s="66">
        <v>2009</v>
      </c>
      <c r="C9" s="80" cm="1">
        <f t="array" ref="C9">IF(B9&gt;current_year,"",INDEX(WBICs_h2o,B9-2006))</f>
        <v>0</v>
      </c>
      <c r="D9" s="102"/>
      <c r="E9" s="66">
        <v>2009</v>
      </c>
      <c r="F9" s="76">
        <f t="shared" si="0"/>
        <v>0</v>
      </c>
      <c r="G9" s="102"/>
      <c r="H9" s="70">
        <v>2009</v>
      </c>
      <c r="I9" s="78">
        <f t="shared" si="1"/>
        <v>0</v>
      </c>
      <c r="J9" s="102"/>
      <c r="K9" s="1">
        <v>2009</v>
      </c>
      <c r="L9" s="121">
        <f t="shared" si="2"/>
        <v>0</v>
      </c>
      <c r="M9" s="102"/>
      <c r="N9" s="102"/>
      <c r="O9" s="102"/>
      <c r="P9" s="102"/>
      <c r="Q9" s="102"/>
      <c r="R9" s="102"/>
      <c r="S9" s="102"/>
      <c r="T9" s="102"/>
      <c r="U9" s="102"/>
      <c r="V9" s="102"/>
      <c r="W9" s="102"/>
      <c r="X9" s="102"/>
      <c r="Y9" s="102"/>
      <c r="Z9" s="102"/>
    </row>
    <row r="10" spans="1:26" ht="13.5" thickBot="1">
      <c r="A10" s="102"/>
      <c r="B10" s="66">
        <v>2010</v>
      </c>
      <c r="C10" s="80" cm="1">
        <f t="array" ref="C10">IF(B10&gt;current_year,"",INDEX(WBICs_h2o,B10-2006))</f>
        <v>0</v>
      </c>
      <c r="D10" s="102"/>
      <c r="E10" s="66">
        <v>2010</v>
      </c>
      <c r="F10" s="76">
        <f t="shared" si="0"/>
        <v>0</v>
      </c>
      <c r="G10" s="102"/>
      <c r="H10" s="70">
        <v>2010</v>
      </c>
      <c r="I10" s="78">
        <f t="shared" si="1"/>
        <v>0</v>
      </c>
      <c r="J10" s="102"/>
      <c r="K10" s="1">
        <v>2010</v>
      </c>
      <c r="L10" s="121">
        <f t="shared" si="2"/>
        <v>0</v>
      </c>
      <c r="M10" s="102"/>
      <c r="N10" s="102"/>
      <c r="O10" s="102"/>
      <c r="P10" s="102"/>
      <c r="Q10" s="102"/>
      <c r="R10" s="102"/>
      <c r="S10" s="102"/>
      <c r="T10" s="102"/>
      <c r="U10" s="102"/>
      <c r="V10" s="102"/>
      <c r="W10" s="102"/>
      <c r="X10" s="102"/>
      <c r="Y10" s="102"/>
      <c r="Z10" s="102"/>
    </row>
    <row r="11" spans="1:26" ht="13.5" thickBot="1">
      <c r="A11" s="102"/>
      <c r="B11" s="66">
        <v>2011</v>
      </c>
      <c r="C11" s="80" cm="1">
        <f t="array" ref="C11">IF(B11&gt;current_year,"",INDEX(WBICs_h2o,B11-2006))</f>
        <v>0</v>
      </c>
      <c r="D11" s="102"/>
      <c r="E11" s="66">
        <v>2011</v>
      </c>
      <c r="F11" s="76">
        <f t="shared" si="0"/>
        <v>0</v>
      </c>
      <c r="G11" s="102"/>
      <c r="H11" s="70">
        <v>2011</v>
      </c>
      <c r="I11" s="78">
        <f t="shared" si="1"/>
        <v>0</v>
      </c>
      <c r="J11" s="102"/>
      <c r="K11" s="1">
        <v>2011</v>
      </c>
      <c r="L11" s="121">
        <f t="shared" si="2"/>
        <v>0</v>
      </c>
      <c r="M11" s="102"/>
      <c r="N11" s="102"/>
      <c r="O11" s="102"/>
      <c r="P11" s="102"/>
      <c r="Q11" s="102"/>
      <c r="R11" s="102"/>
      <c r="S11" s="102"/>
      <c r="T11" s="102"/>
      <c r="U11" s="102"/>
      <c r="V11" s="102"/>
      <c r="W11" s="102"/>
      <c r="X11" s="102"/>
      <c r="Y11" s="102"/>
      <c r="Z11" s="102"/>
    </row>
    <row r="12" spans="1:26" ht="13.5" thickBot="1">
      <c r="A12" s="102"/>
      <c r="B12" s="67">
        <v>2012</v>
      </c>
      <c r="C12" s="80" cm="1">
        <f t="array" ref="C12">IF(B12&gt;current_year,"",INDEX(WBICs_h2o,B12-2006))</f>
        <v>0</v>
      </c>
      <c r="D12" s="102"/>
      <c r="E12" s="66">
        <v>2012</v>
      </c>
      <c r="F12" s="76">
        <f t="shared" si="0"/>
        <v>0</v>
      </c>
      <c r="G12" s="102"/>
      <c r="H12" s="70">
        <v>2012</v>
      </c>
      <c r="I12" s="78">
        <f t="shared" si="1"/>
        <v>0</v>
      </c>
      <c r="J12" s="102"/>
      <c r="K12" s="1">
        <v>2012</v>
      </c>
      <c r="L12" s="121">
        <f t="shared" si="2"/>
        <v>0</v>
      </c>
      <c r="M12" s="102"/>
      <c r="N12" s="102"/>
      <c r="O12" s="102"/>
      <c r="P12" s="102"/>
      <c r="Q12" s="102"/>
      <c r="R12" s="102"/>
      <c r="S12" s="102"/>
      <c r="T12" s="102"/>
      <c r="U12" s="102"/>
      <c r="V12" s="102"/>
      <c r="W12" s="102"/>
      <c r="X12" s="102"/>
      <c r="Y12" s="102"/>
      <c r="Z12" s="102"/>
    </row>
    <row r="13" spans="1:26" ht="13.5" thickBot="1">
      <c r="A13" s="102"/>
      <c r="B13" s="67">
        <v>2013</v>
      </c>
      <c r="C13" s="80" cm="1">
        <f t="array" ref="C13">IF(B13&gt;current_year,"",INDEX(WBICs_h2o,B13-2006))</f>
        <v>0</v>
      </c>
      <c r="D13" s="102"/>
      <c r="E13" s="66">
        <v>2013</v>
      </c>
      <c r="F13" s="76">
        <f t="shared" si="0"/>
        <v>0</v>
      </c>
      <c r="G13" s="102"/>
      <c r="H13" s="70">
        <v>2013</v>
      </c>
      <c r="I13" s="78">
        <f t="shared" si="1"/>
        <v>0</v>
      </c>
      <c r="J13" s="102"/>
      <c r="K13" s="120">
        <v>2013</v>
      </c>
      <c r="L13" s="121">
        <f t="shared" si="2"/>
        <v>0</v>
      </c>
      <c r="M13" s="102"/>
      <c r="N13" s="102"/>
      <c r="O13" s="102"/>
      <c r="P13" s="102"/>
      <c r="Q13" s="102"/>
      <c r="R13" s="102"/>
      <c r="S13" s="102"/>
      <c r="T13" s="102"/>
      <c r="U13" s="102"/>
      <c r="V13" s="102"/>
      <c r="W13" s="102"/>
      <c r="X13" s="102"/>
      <c r="Y13" s="102"/>
      <c r="Z13" s="102"/>
    </row>
    <row r="14" spans="1:26" ht="13.5" thickBot="1">
      <c r="A14" s="102"/>
      <c r="B14" s="67">
        <v>2014</v>
      </c>
      <c r="C14" s="80" cm="1">
        <f t="array" ref="C14">IF(B14&gt;current_year,"",INDEX(WBICs_h2o,B14-2006))</f>
        <v>0</v>
      </c>
      <c r="D14" s="102"/>
      <c r="E14" s="66">
        <v>2014</v>
      </c>
      <c r="F14" s="76">
        <f t="shared" si="0"/>
        <v>0</v>
      </c>
      <c r="G14" s="102"/>
      <c r="H14" s="66">
        <v>2014</v>
      </c>
      <c r="I14" s="78">
        <f t="shared" si="1"/>
        <v>0</v>
      </c>
      <c r="J14" s="102"/>
      <c r="K14" s="120">
        <v>2014</v>
      </c>
      <c r="L14" s="121">
        <f t="shared" si="2"/>
        <v>0</v>
      </c>
      <c r="M14" s="102"/>
      <c r="N14" s="102"/>
      <c r="O14" s="102"/>
      <c r="P14" s="102"/>
      <c r="Q14" s="102"/>
      <c r="R14" s="102"/>
      <c r="S14" s="102"/>
      <c r="T14" s="102"/>
      <c r="U14" s="102"/>
      <c r="V14" s="102"/>
      <c r="W14" s="102"/>
      <c r="X14" s="102"/>
      <c r="Y14" s="102"/>
      <c r="Z14" s="102"/>
    </row>
    <row r="15" spans="1:26" ht="13.5" thickBot="1">
      <c r="A15" s="102"/>
      <c r="B15" s="67">
        <v>2015</v>
      </c>
      <c r="C15" s="80" cm="1">
        <f t="array" ref="C15">IF(B15&gt;current_year,"",INDEX(WBICs_h2o,B15-2006))</f>
        <v>0</v>
      </c>
      <c r="D15" s="102"/>
      <c r="E15" s="66">
        <v>2015</v>
      </c>
      <c r="F15" s="76">
        <f t="shared" si="0"/>
        <v>0</v>
      </c>
      <c r="G15" s="102"/>
      <c r="H15" s="66">
        <v>2015</v>
      </c>
      <c r="I15" s="78">
        <f t="shared" si="1"/>
        <v>0</v>
      </c>
      <c r="J15" s="102"/>
      <c r="K15" s="120">
        <v>2015</v>
      </c>
      <c r="L15" s="121">
        <f t="shared" si="2"/>
        <v>0</v>
      </c>
      <c r="M15" s="102"/>
      <c r="N15" s="102"/>
      <c r="O15" s="102"/>
      <c r="P15" s="102"/>
      <c r="Q15" s="102"/>
      <c r="R15" s="102"/>
      <c r="S15" s="102"/>
      <c r="T15" s="102"/>
      <c r="U15" s="102"/>
      <c r="V15" s="102"/>
      <c r="W15" s="102"/>
      <c r="X15" s="102"/>
      <c r="Y15" s="102"/>
      <c r="Z15" s="102"/>
    </row>
    <row r="16" spans="1:26" ht="13.5" thickBot="1">
      <c r="A16" s="102"/>
      <c r="B16" s="67">
        <v>2016</v>
      </c>
      <c r="C16" s="80" cm="1">
        <f t="array" ref="C16">IF(B16&gt;current_year,"",INDEX(WBICs_h2o,B16-2006))</f>
        <v>0</v>
      </c>
      <c r="D16" s="102"/>
      <c r="E16" s="66">
        <v>2016</v>
      </c>
      <c r="F16" s="76">
        <f t="shared" si="0"/>
        <v>0</v>
      </c>
      <c r="G16" s="102"/>
      <c r="H16" s="66">
        <v>2016</v>
      </c>
      <c r="I16" s="78">
        <f t="shared" si="1"/>
        <v>0</v>
      </c>
      <c r="J16" s="102"/>
      <c r="K16" s="120">
        <v>2016</v>
      </c>
      <c r="L16" s="121">
        <f t="shared" si="2"/>
        <v>0</v>
      </c>
      <c r="M16" s="102"/>
      <c r="N16" s="102"/>
      <c r="O16" s="102"/>
      <c r="P16" s="102"/>
      <c r="Q16" s="102"/>
      <c r="R16" s="102"/>
      <c r="S16" s="102"/>
      <c r="T16" s="102"/>
      <c r="U16" s="102"/>
      <c r="V16" s="102"/>
      <c r="W16" s="102"/>
      <c r="X16" s="102"/>
      <c r="Y16" s="102"/>
      <c r="Z16" s="102"/>
    </row>
    <row r="17" spans="1:26" ht="13.5" thickBot="1">
      <c r="A17" s="102"/>
      <c r="B17" s="67">
        <v>2017</v>
      </c>
      <c r="C17" s="80" cm="1">
        <f t="array" ref="C17">IF(B17&gt;current_year,"",INDEX(WBICs_h2o,B17-2006))</f>
        <v>0</v>
      </c>
      <c r="D17" s="102"/>
      <c r="E17" s="66">
        <v>2017</v>
      </c>
      <c r="F17" s="76">
        <f t="shared" si="0"/>
        <v>0</v>
      </c>
      <c r="G17" s="102"/>
      <c r="H17" s="66">
        <v>2017</v>
      </c>
      <c r="I17" s="78">
        <f t="shared" si="1"/>
        <v>0</v>
      </c>
      <c r="J17" s="102"/>
      <c r="K17" s="120">
        <v>2017</v>
      </c>
      <c r="L17" s="121">
        <f t="shared" si="2"/>
        <v>0</v>
      </c>
      <c r="M17" s="102"/>
      <c r="N17" s="102"/>
      <c r="O17" s="102"/>
      <c r="P17" s="102"/>
      <c r="Q17" s="102"/>
      <c r="R17" s="102"/>
      <c r="S17" s="102"/>
      <c r="T17" s="102"/>
      <c r="U17" s="102"/>
      <c r="V17" s="102"/>
      <c r="W17" s="102"/>
      <c r="X17" s="102"/>
      <c r="Y17" s="102"/>
      <c r="Z17" s="102"/>
    </row>
    <row r="18" spans="1:26" ht="13.5" thickBot="1">
      <c r="A18" s="102"/>
      <c r="B18" s="67">
        <v>2018</v>
      </c>
      <c r="C18" s="80" cm="1">
        <f t="array" ref="C18">IF(B18&gt;current_year,"",INDEX(WBICs_h2o,B18-2006))</f>
        <v>0</v>
      </c>
      <c r="D18" s="102"/>
      <c r="E18" s="66">
        <v>2018</v>
      </c>
      <c r="F18" s="76">
        <f t="shared" si="0"/>
        <v>0</v>
      </c>
      <c r="G18" s="102"/>
      <c r="H18" s="66">
        <v>2018</v>
      </c>
      <c r="I18" s="78">
        <f t="shared" ref="I18:I30" si="3">IF(F18="","",(F18*tons_co2_per_kwh))</f>
        <v>0</v>
      </c>
      <c r="J18" s="102"/>
      <c r="K18" s="120">
        <v>2018</v>
      </c>
      <c r="L18" s="121">
        <f t="shared" si="2"/>
        <v>0</v>
      </c>
      <c r="M18" s="102"/>
      <c r="N18" s="102"/>
      <c r="O18" s="102"/>
      <c r="P18" s="102"/>
      <c r="Q18" s="102"/>
      <c r="R18" s="102"/>
      <c r="S18" s="102"/>
      <c r="T18" s="102"/>
      <c r="U18" s="102"/>
      <c r="V18" s="102"/>
      <c r="W18" s="102"/>
      <c r="X18" s="102"/>
      <c r="Y18" s="102"/>
      <c r="Z18" s="102"/>
    </row>
    <row r="19" spans="1:26" ht="13.5" thickBot="1">
      <c r="A19" s="102"/>
      <c r="B19" s="67">
        <v>2019</v>
      </c>
      <c r="C19" s="80" cm="1">
        <f t="array" ref="C19">IF(B19&gt;current_year,"",INDEX(WBICs_h2o,B19-2006))</f>
        <v>0</v>
      </c>
      <c r="D19" s="102"/>
      <c r="E19" s="66">
        <v>2019</v>
      </c>
      <c r="F19" s="76">
        <f t="shared" si="0"/>
        <v>0</v>
      </c>
      <c r="G19" s="102"/>
      <c r="H19" s="66">
        <v>2019</v>
      </c>
      <c r="I19" s="78">
        <f t="shared" si="3"/>
        <v>0</v>
      </c>
      <c r="J19" s="102"/>
      <c r="K19" s="120">
        <v>2019</v>
      </c>
      <c r="L19" s="121">
        <f t="shared" si="2"/>
        <v>0</v>
      </c>
      <c r="M19" s="102"/>
      <c r="N19" s="102"/>
      <c r="O19" s="102"/>
      <c r="P19" s="102"/>
      <c r="Q19" s="102"/>
      <c r="R19" s="102"/>
      <c r="S19" s="102"/>
      <c r="T19" s="102"/>
      <c r="U19" s="102"/>
      <c r="V19" s="102"/>
      <c r="W19" s="102"/>
      <c r="X19" s="102"/>
      <c r="Y19" s="102"/>
      <c r="Z19" s="102"/>
    </row>
    <row r="20" spans="1:26" ht="13.5" thickBot="1">
      <c r="A20" s="102"/>
      <c r="B20" s="67">
        <v>2020</v>
      </c>
      <c r="C20" s="80" cm="1">
        <f t="array" ref="C20">IF(B20&gt;current_year,"",INDEX(WBICs_h2o,B20-2006))</f>
        <v>0</v>
      </c>
      <c r="D20" s="102"/>
      <c r="E20" s="66">
        <v>2020</v>
      </c>
      <c r="F20" s="76">
        <f t="shared" si="0"/>
        <v>0</v>
      </c>
      <c r="G20" s="102"/>
      <c r="H20" s="66">
        <v>2020</v>
      </c>
      <c r="I20" s="78">
        <f t="shared" si="3"/>
        <v>0</v>
      </c>
      <c r="J20" s="102"/>
      <c r="K20" s="120">
        <v>2020</v>
      </c>
      <c r="L20" s="121">
        <f t="shared" si="2"/>
        <v>0</v>
      </c>
      <c r="M20" s="102"/>
      <c r="N20" s="102"/>
      <c r="O20" s="102"/>
      <c r="P20" s="102"/>
      <c r="Q20" s="102"/>
      <c r="R20" s="102"/>
      <c r="S20" s="102"/>
      <c r="T20" s="102"/>
      <c r="U20" s="102"/>
      <c r="V20" s="102"/>
      <c r="W20" s="102"/>
      <c r="X20" s="102"/>
      <c r="Y20" s="102"/>
      <c r="Z20" s="102"/>
    </row>
    <row r="21" spans="1:26" ht="13.5" thickBot="1">
      <c r="A21" s="102"/>
      <c r="B21" s="67">
        <v>2021</v>
      </c>
      <c r="C21" s="80" cm="1">
        <f t="array" ref="C21">IF(B21&gt;current_year,"",INDEX(WBICs_h2o,B21-2006))</f>
        <v>0</v>
      </c>
      <c r="D21" s="102"/>
      <c r="E21" s="66">
        <v>2021</v>
      </c>
      <c r="F21" s="76">
        <f t="shared" si="0"/>
        <v>0</v>
      </c>
      <c r="G21" s="102"/>
      <c r="H21" s="66">
        <v>2021</v>
      </c>
      <c r="I21" s="78">
        <f t="shared" si="3"/>
        <v>0</v>
      </c>
      <c r="J21" s="102"/>
      <c r="K21" s="120">
        <v>2021</v>
      </c>
      <c r="L21" s="121">
        <f t="shared" si="2"/>
        <v>0</v>
      </c>
      <c r="M21" s="102"/>
      <c r="N21" s="102"/>
      <c r="O21" s="102"/>
      <c r="P21" s="102"/>
      <c r="Q21" s="102"/>
      <c r="R21" s="102"/>
      <c r="S21" s="102"/>
      <c r="T21" s="102"/>
      <c r="U21" s="102"/>
      <c r="V21" s="102"/>
      <c r="W21" s="102"/>
      <c r="X21" s="102"/>
      <c r="Y21" s="102"/>
      <c r="Z21" s="102"/>
    </row>
    <row r="22" spans="1:26" ht="13.5" thickBot="1">
      <c r="A22" s="102"/>
      <c r="B22" s="67">
        <v>2022</v>
      </c>
      <c r="C22" s="80" cm="1">
        <f t="array" ref="C22">IF(B22&gt;current_year,"",INDEX(WBICs_h2o,B22-2006))</f>
        <v>0</v>
      </c>
      <c r="D22" s="102"/>
      <c r="E22" s="66">
        <v>2022</v>
      </c>
      <c r="F22" s="76">
        <f t="shared" si="0"/>
        <v>0</v>
      </c>
      <c r="G22" s="102"/>
      <c r="H22" s="66">
        <v>2022</v>
      </c>
      <c r="I22" s="78">
        <f t="shared" si="3"/>
        <v>0</v>
      </c>
      <c r="J22" s="102"/>
      <c r="K22" s="120">
        <v>2022</v>
      </c>
      <c r="L22" s="121">
        <f t="shared" si="2"/>
        <v>0</v>
      </c>
      <c r="M22" s="102"/>
      <c r="N22" s="102"/>
      <c r="O22" s="102"/>
      <c r="P22" s="102"/>
      <c r="Q22" s="102"/>
      <c r="R22" s="102"/>
      <c r="S22" s="102"/>
      <c r="T22" s="102"/>
      <c r="U22" s="102"/>
      <c r="V22" s="102"/>
      <c r="W22" s="102"/>
      <c r="X22" s="102"/>
      <c r="Y22" s="102"/>
      <c r="Z22" s="102"/>
    </row>
    <row r="23" spans="1:26" ht="13.5" thickBot="1">
      <c r="A23" s="102"/>
      <c r="B23" s="67">
        <v>2023</v>
      </c>
      <c r="C23" s="80" cm="1">
        <f t="array" ref="C23">IF(B23&gt;current_year,"",INDEX(WBICs_h2o,B23-2006))</f>
        <v>0</v>
      </c>
      <c r="D23" s="102"/>
      <c r="E23" s="66">
        <v>2023</v>
      </c>
      <c r="F23" s="76">
        <f t="shared" si="0"/>
        <v>0</v>
      </c>
      <c r="G23" s="102"/>
      <c r="H23" s="66">
        <v>2023</v>
      </c>
      <c r="I23" s="78">
        <f t="shared" si="3"/>
        <v>0</v>
      </c>
      <c r="J23" s="102"/>
      <c r="K23" s="120">
        <v>2023</v>
      </c>
      <c r="L23" s="121">
        <f t="shared" si="2"/>
        <v>0</v>
      </c>
      <c r="M23" s="102"/>
      <c r="N23" s="102"/>
      <c r="O23" s="102"/>
      <c r="P23" s="102"/>
      <c r="Q23" s="102"/>
      <c r="R23" s="102"/>
      <c r="S23" s="102"/>
      <c r="T23" s="102"/>
      <c r="U23" s="102"/>
      <c r="V23" s="102"/>
      <c r="W23" s="102"/>
      <c r="X23" s="102"/>
      <c r="Y23" s="102"/>
      <c r="Z23" s="102"/>
    </row>
    <row r="24" spans="1:26" ht="13.5" thickBot="1">
      <c r="A24" s="102"/>
      <c r="B24" s="67">
        <v>2024</v>
      </c>
      <c r="C24" s="80" cm="1">
        <f t="array" ref="C24">IF(B24&gt;current_year,"",INDEX(WBICs_h2o,B24-2006))</f>
        <v>0</v>
      </c>
      <c r="D24" s="102"/>
      <c r="E24" s="66">
        <v>2024</v>
      </c>
      <c r="F24" s="76">
        <f t="shared" si="0"/>
        <v>0</v>
      </c>
      <c r="G24" s="102"/>
      <c r="H24" s="66">
        <v>2024</v>
      </c>
      <c r="I24" s="78">
        <f t="shared" si="3"/>
        <v>0</v>
      </c>
      <c r="J24" s="102"/>
      <c r="K24" s="120">
        <v>2024</v>
      </c>
      <c r="L24" s="121">
        <f t="shared" si="2"/>
        <v>0</v>
      </c>
      <c r="M24" s="102"/>
      <c r="N24" s="102"/>
      <c r="O24" s="102"/>
      <c r="P24" s="102"/>
      <c r="Q24" s="102"/>
      <c r="R24" s="102"/>
      <c r="S24" s="102"/>
      <c r="T24" s="102"/>
      <c r="U24" s="102"/>
      <c r="V24" s="102"/>
      <c r="W24" s="102"/>
      <c r="X24" s="102"/>
      <c r="Y24" s="102"/>
      <c r="Z24" s="102"/>
    </row>
    <row r="25" spans="1:26" ht="13.5" thickBot="1">
      <c r="A25" s="102"/>
      <c r="B25" s="67">
        <v>2025</v>
      </c>
      <c r="C25" s="80" t="str" cm="1">
        <f t="array" ref="C25">IF(B25&gt;current_year,"",INDEX(WBICs_h2o,B25-2006))</f>
        <v/>
      </c>
      <c r="D25" s="102"/>
      <c r="E25" s="66">
        <v>2025</v>
      </c>
      <c r="F25" s="76" t="str">
        <f t="shared" si="0"/>
        <v/>
      </c>
      <c r="G25" s="102"/>
      <c r="H25" s="66">
        <v>2025</v>
      </c>
      <c r="I25" s="78" t="str">
        <f t="shared" si="3"/>
        <v/>
      </c>
      <c r="J25" s="102"/>
      <c r="K25" s="120">
        <v>2025</v>
      </c>
      <c r="L25" s="121" t="str">
        <f t="shared" si="2"/>
        <v/>
      </c>
      <c r="M25" s="102"/>
      <c r="N25" s="102"/>
      <c r="O25" s="102"/>
      <c r="P25" s="102"/>
      <c r="Q25" s="102"/>
      <c r="R25" s="102"/>
      <c r="S25" s="102"/>
      <c r="T25" s="102"/>
      <c r="U25" s="102"/>
      <c r="V25" s="102"/>
      <c r="W25" s="102"/>
      <c r="X25" s="102"/>
      <c r="Y25" s="102"/>
      <c r="Z25" s="102"/>
    </row>
    <row r="26" spans="1:26" ht="13.5" thickBot="1">
      <c r="A26" s="102"/>
      <c r="B26" s="67">
        <v>2026</v>
      </c>
      <c r="C26" s="80" t="str" cm="1">
        <f t="array" ref="C26">IF(B26&gt;current_year,"",INDEX(WBICs_h2o,B26-2006))</f>
        <v/>
      </c>
      <c r="D26" s="102"/>
      <c r="E26" s="66">
        <v>2026</v>
      </c>
      <c r="F26" s="76" t="str">
        <f t="shared" si="0"/>
        <v/>
      </c>
      <c r="G26" s="102"/>
      <c r="H26" s="66">
        <v>2026</v>
      </c>
      <c r="I26" s="78" t="str">
        <f t="shared" si="3"/>
        <v/>
      </c>
      <c r="J26" s="102"/>
      <c r="K26" s="120">
        <v>2026</v>
      </c>
      <c r="L26" s="121" t="str">
        <f t="shared" si="2"/>
        <v/>
      </c>
      <c r="M26" s="102"/>
      <c r="N26" s="102"/>
      <c r="O26" s="102"/>
      <c r="P26" s="102"/>
      <c r="Q26" s="102"/>
      <c r="R26" s="102"/>
      <c r="S26" s="102"/>
      <c r="T26" s="102"/>
      <c r="U26" s="102"/>
      <c r="V26" s="102"/>
      <c r="W26" s="102"/>
      <c r="X26" s="102"/>
      <c r="Y26" s="102"/>
      <c r="Z26" s="102"/>
    </row>
    <row r="27" spans="1:26" ht="13.5" thickBot="1">
      <c r="A27" s="102"/>
      <c r="B27" s="67">
        <v>2027</v>
      </c>
      <c r="C27" s="80" t="str" cm="1">
        <f t="array" ref="C27">IF(B27&gt;current_year,"",INDEX(WBICs_h2o,B27-2006))</f>
        <v/>
      </c>
      <c r="D27" s="102"/>
      <c r="E27" s="66">
        <v>2027</v>
      </c>
      <c r="F27" s="76" t="str">
        <f t="shared" si="0"/>
        <v/>
      </c>
      <c r="G27" s="102"/>
      <c r="H27" s="66">
        <v>2027</v>
      </c>
      <c r="I27" s="78" t="str">
        <f t="shared" si="3"/>
        <v/>
      </c>
      <c r="J27" s="102"/>
      <c r="K27" s="120">
        <v>2027</v>
      </c>
      <c r="L27" s="121" t="str">
        <f t="shared" si="2"/>
        <v/>
      </c>
      <c r="M27" s="102"/>
      <c r="N27" s="102"/>
      <c r="O27" s="102"/>
      <c r="P27" s="102"/>
      <c r="Q27" s="102"/>
      <c r="R27" s="102"/>
      <c r="S27" s="102"/>
      <c r="T27" s="102"/>
      <c r="U27" s="102"/>
      <c r="V27" s="102"/>
      <c r="W27" s="102"/>
      <c r="X27" s="102"/>
      <c r="Y27" s="102"/>
      <c r="Z27" s="102"/>
    </row>
    <row r="28" spans="1:26" ht="13.5" thickBot="1">
      <c r="A28" s="102"/>
      <c r="B28" s="67">
        <v>2028</v>
      </c>
      <c r="C28" s="80" t="str" cm="1">
        <f t="array" ref="C28">IF(B28&gt;current_year,"",INDEX(WBICs_h2o,B28-2006))</f>
        <v/>
      </c>
      <c r="D28" s="102"/>
      <c r="E28" s="66">
        <v>2028</v>
      </c>
      <c r="F28" s="76" t="str">
        <f t="shared" si="0"/>
        <v/>
      </c>
      <c r="G28" s="102"/>
      <c r="H28" s="66">
        <v>2028</v>
      </c>
      <c r="I28" s="78" t="str">
        <f t="shared" si="3"/>
        <v/>
      </c>
      <c r="J28" s="102"/>
      <c r="K28" s="120">
        <v>2028</v>
      </c>
      <c r="L28" s="121" t="str">
        <f t="shared" si="2"/>
        <v/>
      </c>
      <c r="M28" s="102"/>
      <c r="N28" s="102"/>
      <c r="O28" s="102"/>
      <c r="P28" s="102"/>
      <c r="Q28" s="102"/>
      <c r="R28" s="102"/>
      <c r="S28" s="102"/>
      <c r="T28" s="102"/>
      <c r="U28" s="102"/>
      <c r="V28" s="102"/>
      <c r="W28" s="102"/>
      <c r="X28" s="102"/>
      <c r="Y28" s="102"/>
      <c r="Z28" s="102"/>
    </row>
    <row r="29" spans="1:26" ht="13.5" thickBot="1">
      <c r="A29" s="102"/>
      <c r="B29" s="67">
        <v>2029</v>
      </c>
      <c r="C29" s="80" t="str" cm="1">
        <f t="array" ref="C29">IF(B29&gt;current_year,"",INDEX(WBICs_h2o,B29-2006))</f>
        <v/>
      </c>
      <c r="D29" s="102"/>
      <c r="E29" s="66">
        <v>2029</v>
      </c>
      <c r="F29" s="76" t="str">
        <f t="shared" si="0"/>
        <v/>
      </c>
      <c r="G29" s="102"/>
      <c r="H29" s="66">
        <v>2029</v>
      </c>
      <c r="I29" s="78" t="str">
        <f t="shared" si="3"/>
        <v/>
      </c>
      <c r="J29" s="102"/>
      <c r="K29" s="120">
        <v>2029</v>
      </c>
      <c r="L29" s="121" t="str">
        <f t="shared" si="2"/>
        <v/>
      </c>
      <c r="M29" s="102"/>
      <c r="N29" s="102"/>
      <c r="O29" s="102"/>
      <c r="P29" s="102"/>
      <c r="Q29" s="102"/>
      <c r="R29" s="102"/>
      <c r="S29" s="102"/>
      <c r="T29" s="102"/>
      <c r="U29" s="102"/>
      <c r="V29" s="102"/>
      <c r="W29" s="102"/>
      <c r="X29" s="102"/>
      <c r="Y29" s="102"/>
      <c r="Z29" s="102"/>
    </row>
    <row r="30" spans="1:26" ht="13.5" thickBot="1">
      <c r="A30" s="102"/>
      <c r="B30" s="67">
        <v>2030</v>
      </c>
      <c r="C30" s="80" t="str" cm="1">
        <f t="array" ref="C30">IF(B30&gt;current_year,"",INDEX(WBICs_h2o,B30-2006))</f>
        <v/>
      </c>
      <c r="D30" s="102"/>
      <c r="E30" s="66">
        <v>2030</v>
      </c>
      <c r="F30" s="76" t="str">
        <f t="shared" si="0"/>
        <v/>
      </c>
      <c r="G30" s="102"/>
      <c r="H30" s="66">
        <v>2030</v>
      </c>
      <c r="I30" s="79" t="str">
        <f t="shared" si="3"/>
        <v/>
      </c>
      <c r="J30" s="102"/>
      <c r="K30" s="120">
        <v>2030</v>
      </c>
      <c r="L30" s="121" t="str">
        <f t="shared" si="2"/>
        <v/>
      </c>
      <c r="M30" s="102"/>
      <c r="N30" s="102"/>
      <c r="O30" s="102"/>
      <c r="P30" s="102"/>
      <c r="Q30" s="102"/>
      <c r="R30" s="102"/>
      <c r="S30" s="102"/>
      <c r="T30" s="102"/>
      <c r="U30" s="102"/>
      <c r="V30" s="102"/>
      <c r="W30" s="102"/>
      <c r="X30" s="102"/>
      <c r="Y30" s="102"/>
      <c r="Z30" s="102"/>
    </row>
    <row r="31" spans="1:26">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row>
    <row r="32" spans="1:26">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1:26">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34" spans="1:26">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row>
    <row r="35" spans="1:26">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row>
    <row r="36" spans="1:26">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row>
    <row r="37" spans="1:26">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row>
    <row r="38" spans="1:26">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row>
    <row r="39" spans="1:26">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row>
    <row r="40" spans="1:26">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row>
    <row r="41" spans="1:26">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row>
    <row r="42" spans="1:26">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row>
    <row r="43" spans="1:26">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row>
    <row r="44" spans="1:26">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row>
    <row r="45" spans="1:26">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row>
    <row r="46" spans="1:26">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1:26">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row>
    <row r="48" spans="1:26">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row>
    <row r="49" spans="1:26">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row>
    <row r="51" spans="1:26">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1:26">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row>
    <row r="53" spans="1:26">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row>
    <row r="54" spans="1:26">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row>
    <row r="55" spans="1:26">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row>
    <row r="56" spans="1:26">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row>
    <row r="57" spans="1:26">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row>
    <row r="58" spans="1:26">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row>
    <row r="59" spans="1:26">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row>
    <row r="60" spans="1:26">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row>
    <row r="61" spans="1:26">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row>
    <row r="62" spans="1:26">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row>
    <row r="63" spans="1:26">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row>
    <row r="64" spans="1:26">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row>
    <row r="65" spans="1:26">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row>
    <row r="66" spans="1:26">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row>
    <row r="67" spans="1:26">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row>
    <row r="68" spans="1:26">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row>
    <row r="69" spans="1:26">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row>
    <row r="70" spans="1:26">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row>
    <row r="71" spans="1:26">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row>
    <row r="72" spans="1:26">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row>
    <row r="73" spans="1:26">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row>
    <row r="74" spans="1:26">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row>
    <row r="75" spans="1:26">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row>
    <row r="76" spans="1:26">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row>
    <row r="77" spans="1:26">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row>
    <row r="78" spans="1:26">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row>
    <row r="79" spans="1:26">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row>
    <row r="80" spans="1:26">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row>
    <row r="81" spans="1:26">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row>
    <row r="82" spans="1:26">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row>
    <row r="83" spans="1:26" ht="13.5" customHeight="1">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row>
    <row r="84" spans="1:26">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row>
    <row r="85" spans="1:26">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row>
    <row r="86" spans="1:26">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row>
    <row r="87" spans="1:26">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row>
    <row r="88" spans="1:26">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row>
    <row r="89" spans="1:26">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row>
    <row r="90" spans="1:26">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row>
    <row r="91" spans="1:26">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row>
    <row r="92" spans="1:26">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row>
    <row r="93" spans="1:26">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row>
    <row r="94" spans="1:26">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row>
    <row r="95" spans="1:26">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row>
    <row r="96" spans="1:26">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row>
    <row r="97" spans="1:26">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row>
    <row r="98" spans="1:26">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row>
    <row r="99" spans="1:26">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row>
  </sheetData>
  <sheetProtection selectLockedCells="1"/>
  <phoneticPr fontId="43" type="noConversion"/>
  <pageMargins left="0.75" right="0.75" top="1" bottom="1" header="0.5" footer="0.5"/>
  <pageSetup orientation="portrait"/>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BA13F-DB16-4C38-8B5A-561BC82172A3}">
  <sheetPr codeName="Sheet16">
    <tabColor theme="7" tint="0.39997558519241921"/>
  </sheetPr>
  <dimension ref="A1:Z99"/>
  <sheetViews>
    <sheetView workbookViewId="0">
      <selection activeCell="C7" sqref="C7"/>
    </sheetView>
  </sheetViews>
  <sheetFormatPr defaultColWidth="8.85546875" defaultRowHeight="12.75"/>
  <cols>
    <col min="2" max="2" width="5.140625" bestFit="1" customWidth="1"/>
    <col min="3" max="3" width="30.85546875" customWidth="1"/>
    <col min="4" max="4" width="8.85546875" customWidth="1"/>
    <col min="5" max="5" width="5.140625" bestFit="1" customWidth="1"/>
    <col min="6" max="6" width="30.85546875" customWidth="1"/>
    <col min="8" max="8" width="5.140625" bestFit="1" customWidth="1"/>
    <col min="9" max="9" width="30.85546875" customWidth="1"/>
    <col min="10" max="10" width="4" customWidth="1"/>
    <col min="12" max="12" width="25.140625" customWidth="1"/>
  </cols>
  <sheetData>
    <row r="1" spans="1:26">
      <c r="A1" s="102"/>
      <c r="B1" s="102"/>
      <c r="C1" s="102"/>
      <c r="D1" s="102"/>
      <c r="E1" s="102"/>
      <c r="F1" s="102"/>
      <c r="G1" s="102"/>
      <c r="H1" s="102"/>
      <c r="I1" s="102"/>
      <c r="J1" s="102"/>
      <c r="K1" s="102"/>
      <c r="L1" s="102"/>
      <c r="M1" s="102"/>
      <c r="N1" s="102"/>
      <c r="O1" s="102"/>
      <c r="P1" s="102"/>
      <c r="Q1" s="102"/>
      <c r="R1" s="102"/>
      <c r="S1" s="102"/>
      <c r="T1" s="102"/>
      <c r="U1" s="102"/>
      <c r="V1" s="102"/>
      <c r="W1" s="102"/>
      <c r="X1" s="102"/>
      <c r="Y1" s="102"/>
      <c r="Z1" s="102"/>
    </row>
    <row r="2" spans="1:26">
      <c r="A2" s="102"/>
      <c r="B2" s="18"/>
      <c r="C2" s="68" t="s">
        <v>195</v>
      </c>
      <c r="D2" s="102"/>
      <c r="E2" s="18"/>
      <c r="F2" s="68" t="s">
        <v>236</v>
      </c>
      <c r="G2" s="102"/>
      <c r="H2" s="102"/>
      <c r="I2" s="102"/>
      <c r="J2" s="102"/>
      <c r="K2" s="102"/>
      <c r="L2" s="102"/>
      <c r="M2" s="102"/>
      <c r="N2" s="102"/>
      <c r="O2" s="102"/>
      <c r="P2" s="102"/>
      <c r="Q2" s="102"/>
      <c r="R2" s="102"/>
      <c r="S2" s="102"/>
      <c r="T2" s="102"/>
      <c r="U2" s="102"/>
      <c r="V2" s="102"/>
      <c r="W2" s="102"/>
      <c r="X2" s="102"/>
      <c r="Y2" s="102"/>
      <c r="Z2" s="102"/>
    </row>
    <row r="3" spans="1:26">
      <c r="A3" s="102"/>
      <c r="B3" s="18"/>
      <c r="C3" s="68"/>
      <c r="D3" s="102"/>
      <c r="E3" s="18"/>
      <c r="F3" s="68"/>
      <c r="G3" s="102"/>
      <c r="H3" s="18"/>
      <c r="I3" s="18"/>
      <c r="J3" s="102"/>
      <c r="K3" s="18"/>
      <c r="L3" s="18"/>
      <c r="M3" s="102"/>
      <c r="N3" s="102"/>
      <c r="O3" s="102"/>
      <c r="P3" s="102"/>
      <c r="Q3" s="102"/>
      <c r="R3" s="102"/>
      <c r="S3" s="102"/>
      <c r="T3" s="102"/>
      <c r="U3" s="102"/>
      <c r="V3" s="102"/>
      <c r="W3" s="102"/>
      <c r="X3" s="102"/>
      <c r="Y3" s="102"/>
      <c r="Z3" s="102"/>
    </row>
    <row r="4" spans="1:26" ht="26.25" thickBot="1">
      <c r="A4" s="102"/>
      <c r="B4" s="18"/>
      <c r="C4" s="18"/>
      <c r="D4" s="102"/>
      <c r="E4" s="18"/>
      <c r="F4" s="71" t="s">
        <v>237</v>
      </c>
      <c r="G4" s="102"/>
      <c r="H4" s="68"/>
      <c r="I4" s="68" t="s">
        <v>238</v>
      </c>
      <c r="J4" s="102"/>
      <c r="K4" s="112"/>
      <c r="L4" s="61" t="s">
        <v>239</v>
      </c>
      <c r="M4" s="102"/>
      <c r="N4" s="102"/>
      <c r="O4" s="102"/>
      <c r="P4" s="102"/>
      <c r="Q4" s="102"/>
      <c r="R4" s="102"/>
      <c r="S4" s="102"/>
      <c r="T4" s="102"/>
      <c r="U4" s="102"/>
      <c r="V4" s="102"/>
      <c r="W4" s="102"/>
      <c r="X4" s="102"/>
      <c r="Y4" s="102"/>
      <c r="Z4" s="102"/>
    </row>
    <row r="5" spans="1:26" ht="51.75" thickBot="1">
      <c r="A5" s="102"/>
      <c r="B5" s="68"/>
      <c r="C5" s="116" t="s">
        <v>249</v>
      </c>
      <c r="D5" s="102"/>
      <c r="E5" s="18"/>
      <c r="F5" s="3" t="s">
        <v>210</v>
      </c>
      <c r="G5" s="102"/>
      <c r="H5" s="69"/>
      <c r="I5" s="2" t="s">
        <v>213</v>
      </c>
      <c r="J5" s="102"/>
      <c r="K5" s="126"/>
      <c r="L5" s="50" t="str">
        <f>"USD ($" &amp;current_year &amp; ")"</f>
        <v>USD ($2024)</v>
      </c>
      <c r="M5" s="102"/>
      <c r="N5" s="102"/>
      <c r="O5" s="102"/>
      <c r="P5" s="102"/>
      <c r="Q5" s="102"/>
      <c r="R5" s="102"/>
      <c r="S5" s="102"/>
      <c r="T5" s="102"/>
      <c r="U5" s="102"/>
      <c r="V5" s="102"/>
      <c r="W5" s="102"/>
      <c r="X5" s="102"/>
      <c r="Y5" s="102"/>
      <c r="Z5" s="102"/>
    </row>
    <row r="6" spans="1:26" ht="13.5" thickBot="1">
      <c r="A6" s="102"/>
      <c r="B6" s="67" t="s">
        <v>11</v>
      </c>
      <c r="C6" s="115" t="s">
        <v>87</v>
      </c>
      <c r="D6" s="102"/>
      <c r="E6" s="67" t="s">
        <v>11</v>
      </c>
      <c r="F6" s="115" t="s">
        <v>87</v>
      </c>
      <c r="G6" s="102"/>
      <c r="H6" s="67" t="s">
        <v>11</v>
      </c>
      <c r="I6" s="115" t="s">
        <v>87</v>
      </c>
      <c r="J6" s="102"/>
      <c r="K6" s="120" t="s">
        <v>11</v>
      </c>
      <c r="L6" s="115" t="s">
        <v>87</v>
      </c>
      <c r="M6" s="102"/>
      <c r="N6" s="102"/>
      <c r="O6" s="102"/>
      <c r="P6" s="102"/>
      <c r="Q6" s="102"/>
      <c r="R6" s="102"/>
      <c r="S6" s="102"/>
      <c r="T6" s="102"/>
      <c r="U6" s="102"/>
      <c r="V6" s="102"/>
      <c r="W6" s="102"/>
      <c r="X6" s="102"/>
      <c r="Y6" s="102"/>
      <c r="Z6" s="102"/>
    </row>
    <row r="7" spans="1:26" ht="13.5" thickBot="1">
      <c r="A7" s="102"/>
      <c r="B7" s="67">
        <v>2007</v>
      </c>
      <c r="C7" s="80" cm="1">
        <f t="array" ref="C7">IF(B7&gt;current_year,"",INDEX(SMSs_h2o,B7-2006))</f>
        <v>0</v>
      </c>
      <c r="D7" s="102"/>
      <c r="E7" s="66">
        <v>2007</v>
      </c>
      <c r="F7" s="76">
        <f t="shared" ref="F7:F30" si="0">IF(C7="","",C7*(kwh_per_gal_drnk_water))</f>
        <v>0</v>
      </c>
      <c r="G7" s="102"/>
      <c r="H7" s="70">
        <v>2007</v>
      </c>
      <c r="I7" s="78">
        <f t="shared" ref="I7:I17" si="1">(F7*tons_co2_per_kwh)</f>
        <v>0</v>
      </c>
      <c r="J7" s="102"/>
      <c r="K7" s="1">
        <v>2007</v>
      </c>
      <c r="L7" s="121">
        <f t="shared" ref="L7:L30" si="2">IF(C7="","",(C7*10^-3*INDEX(water_res,K7-2006))*(IF(K7&lt;current_year,INDEX(GDP,current_year-2006),1)))</f>
        <v>0</v>
      </c>
      <c r="M7" s="102"/>
      <c r="N7" s="102"/>
      <c r="O7" s="102"/>
      <c r="P7" s="102"/>
      <c r="Q7" s="102"/>
      <c r="R7" s="102"/>
      <c r="S7" s="102"/>
      <c r="T7" s="102"/>
      <c r="U7" s="102"/>
      <c r="V7" s="102"/>
      <c r="W7" s="102"/>
      <c r="X7" s="102"/>
      <c r="Y7" s="102"/>
      <c r="Z7" s="102"/>
    </row>
    <row r="8" spans="1:26" ht="13.5" thickBot="1">
      <c r="A8" s="102"/>
      <c r="B8" s="67">
        <v>2008</v>
      </c>
      <c r="C8" s="80" cm="1">
        <f t="array" ref="C8">IF(B8&gt;current_year,"",INDEX(SMSs_h2o,B8-2006))</f>
        <v>0</v>
      </c>
      <c r="D8" s="102"/>
      <c r="E8" s="66">
        <v>2008</v>
      </c>
      <c r="F8" s="76">
        <f t="shared" si="0"/>
        <v>0</v>
      </c>
      <c r="G8" s="102"/>
      <c r="H8" s="70">
        <v>2008</v>
      </c>
      <c r="I8" s="78">
        <f t="shared" si="1"/>
        <v>0</v>
      </c>
      <c r="J8" s="102"/>
      <c r="K8" s="1">
        <v>2008</v>
      </c>
      <c r="L8" s="121">
        <f t="shared" si="2"/>
        <v>0</v>
      </c>
      <c r="M8" s="102"/>
      <c r="N8" s="102"/>
      <c r="O8" s="102"/>
      <c r="P8" s="102"/>
      <c r="Q8" s="102"/>
      <c r="R8" s="102"/>
      <c r="S8" s="102"/>
      <c r="T8" s="102"/>
      <c r="U8" s="102"/>
      <c r="V8" s="102"/>
      <c r="W8" s="102"/>
      <c r="X8" s="102"/>
      <c r="Y8" s="102"/>
      <c r="Z8" s="102"/>
    </row>
    <row r="9" spans="1:26" ht="13.5" thickBot="1">
      <c r="A9" s="102"/>
      <c r="B9" s="66">
        <v>2009</v>
      </c>
      <c r="C9" s="80" cm="1">
        <f t="array" ref="C9">IF(B9&gt;current_year,"",INDEX(SMSs_h2o,B9-2006))</f>
        <v>0</v>
      </c>
      <c r="D9" s="102"/>
      <c r="E9" s="66">
        <v>2009</v>
      </c>
      <c r="F9" s="76">
        <f t="shared" si="0"/>
        <v>0</v>
      </c>
      <c r="G9" s="102"/>
      <c r="H9" s="70">
        <v>2009</v>
      </c>
      <c r="I9" s="78">
        <f t="shared" si="1"/>
        <v>0</v>
      </c>
      <c r="J9" s="102"/>
      <c r="K9" s="1">
        <v>2009</v>
      </c>
      <c r="L9" s="121">
        <f t="shared" si="2"/>
        <v>0</v>
      </c>
      <c r="M9" s="102"/>
      <c r="N9" s="102"/>
      <c r="O9" s="102"/>
      <c r="P9" s="102"/>
      <c r="Q9" s="102"/>
      <c r="R9" s="102"/>
      <c r="S9" s="102"/>
      <c r="T9" s="102"/>
      <c r="U9" s="102"/>
      <c r="V9" s="102"/>
      <c r="W9" s="102"/>
      <c r="X9" s="102"/>
      <c r="Y9" s="102"/>
      <c r="Z9" s="102"/>
    </row>
    <row r="10" spans="1:26" ht="13.5" thickBot="1">
      <c r="A10" s="102"/>
      <c r="B10" s="66">
        <v>2010</v>
      </c>
      <c r="C10" s="80" cm="1">
        <f t="array" ref="C10">IF(B10&gt;current_year,"",INDEX(SMSs_h2o,B10-2006))</f>
        <v>0</v>
      </c>
      <c r="D10" s="102"/>
      <c r="E10" s="66">
        <v>2010</v>
      </c>
      <c r="F10" s="76">
        <f t="shared" si="0"/>
        <v>0</v>
      </c>
      <c r="G10" s="102"/>
      <c r="H10" s="70">
        <v>2010</v>
      </c>
      <c r="I10" s="78">
        <f t="shared" si="1"/>
        <v>0</v>
      </c>
      <c r="J10" s="102"/>
      <c r="K10" s="1">
        <v>2010</v>
      </c>
      <c r="L10" s="121">
        <f t="shared" si="2"/>
        <v>0</v>
      </c>
      <c r="M10" s="102"/>
      <c r="N10" s="102"/>
      <c r="O10" s="102"/>
      <c r="P10" s="102"/>
      <c r="Q10" s="102"/>
      <c r="R10" s="102"/>
      <c r="S10" s="102"/>
      <c r="T10" s="102"/>
      <c r="U10" s="102"/>
      <c r="V10" s="102"/>
      <c r="W10" s="102"/>
      <c r="X10" s="102"/>
      <c r="Y10" s="102"/>
      <c r="Z10" s="102"/>
    </row>
    <row r="11" spans="1:26" ht="13.5" thickBot="1">
      <c r="A11" s="102"/>
      <c r="B11" s="66">
        <v>2011</v>
      </c>
      <c r="C11" s="80" cm="1">
        <f t="array" ref="C11">IF(B11&gt;current_year,"",INDEX(SMSs_h2o,B11-2006))</f>
        <v>0</v>
      </c>
      <c r="D11" s="102"/>
      <c r="E11" s="66">
        <v>2011</v>
      </c>
      <c r="F11" s="76">
        <f t="shared" si="0"/>
        <v>0</v>
      </c>
      <c r="G11" s="102"/>
      <c r="H11" s="70">
        <v>2011</v>
      </c>
      <c r="I11" s="78">
        <f t="shared" si="1"/>
        <v>0</v>
      </c>
      <c r="J11" s="102"/>
      <c r="K11" s="1">
        <v>2011</v>
      </c>
      <c r="L11" s="121">
        <f t="shared" si="2"/>
        <v>0</v>
      </c>
      <c r="M11" s="102"/>
      <c r="N11" s="102"/>
      <c r="O11" s="102"/>
      <c r="P11" s="102"/>
      <c r="Q11" s="102"/>
      <c r="R11" s="102"/>
      <c r="S11" s="102"/>
      <c r="T11" s="102"/>
      <c r="U11" s="102"/>
      <c r="V11" s="102"/>
      <c r="W11" s="102"/>
      <c r="X11" s="102"/>
      <c r="Y11" s="102"/>
      <c r="Z11" s="102"/>
    </row>
    <row r="12" spans="1:26" ht="13.5" thickBot="1">
      <c r="A12" s="102"/>
      <c r="B12" s="67">
        <v>2012</v>
      </c>
      <c r="C12" s="80" cm="1">
        <f t="array" ref="C12">IF(B12&gt;current_year,"",INDEX(SMSs_h2o,B12-2006))</f>
        <v>0</v>
      </c>
      <c r="D12" s="102"/>
      <c r="E12" s="66">
        <v>2012</v>
      </c>
      <c r="F12" s="76">
        <f t="shared" si="0"/>
        <v>0</v>
      </c>
      <c r="G12" s="102"/>
      <c r="H12" s="70">
        <v>2012</v>
      </c>
      <c r="I12" s="78">
        <f t="shared" si="1"/>
        <v>0</v>
      </c>
      <c r="J12" s="102"/>
      <c r="K12" s="1">
        <v>2012</v>
      </c>
      <c r="L12" s="121">
        <f t="shared" si="2"/>
        <v>0</v>
      </c>
      <c r="M12" s="102"/>
      <c r="N12" s="102"/>
      <c r="O12" s="102"/>
      <c r="P12" s="102"/>
      <c r="Q12" s="102"/>
      <c r="R12" s="102"/>
      <c r="S12" s="102"/>
      <c r="T12" s="102"/>
      <c r="U12" s="102"/>
      <c r="V12" s="102"/>
      <c r="W12" s="102"/>
      <c r="X12" s="102"/>
      <c r="Y12" s="102"/>
      <c r="Z12" s="102"/>
    </row>
    <row r="13" spans="1:26" ht="13.5" thickBot="1">
      <c r="A13" s="102"/>
      <c r="B13" s="67">
        <v>2013</v>
      </c>
      <c r="C13" s="80" cm="1">
        <f t="array" ref="C13">IF(B13&gt;current_year,"",INDEX(SMSs_h2o,B13-2006))</f>
        <v>0</v>
      </c>
      <c r="D13" s="102"/>
      <c r="E13" s="66">
        <v>2013</v>
      </c>
      <c r="F13" s="76">
        <f t="shared" si="0"/>
        <v>0</v>
      </c>
      <c r="G13" s="102"/>
      <c r="H13" s="70">
        <v>2013</v>
      </c>
      <c r="I13" s="78">
        <f t="shared" si="1"/>
        <v>0</v>
      </c>
      <c r="J13" s="102"/>
      <c r="K13" s="120">
        <v>2013</v>
      </c>
      <c r="L13" s="121">
        <f t="shared" si="2"/>
        <v>0</v>
      </c>
      <c r="M13" s="102"/>
      <c r="N13" s="102"/>
      <c r="O13" s="102"/>
      <c r="P13" s="102"/>
      <c r="Q13" s="102"/>
      <c r="R13" s="102"/>
      <c r="S13" s="102"/>
      <c r="T13" s="102"/>
      <c r="U13" s="102"/>
      <c r="V13" s="102"/>
      <c r="W13" s="102"/>
      <c r="X13" s="102"/>
      <c r="Y13" s="102"/>
      <c r="Z13" s="102"/>
    </row>
    <row r="14" spans="1:26" ht="13.5" thickBot="1">
      <c r="A14" s="102"/>
      <c r="B14" s="67">
        <v>2014</v>
      </c>
      <c r="C14" s="80" cm="1">
        <f t="array" ref="C14">IF(B14&gt;current_year,"",INDEX(SMSs_h2o,B14-2006))</f>
        <v>0</v>
      </c>
      <c r="D14" s="102"/>
      <c r="E14" s="66">
        <v>2014</v>
      </c>
      <c r="F14" s="76">
        <f t="shared" si="0"/>
        <v>0</v>
      </c>
      <c r="G14" s="102"/>
      <c r="H14" s="66">
        <v>2014</v>
      </c>
      <c r="I14" s="78">
        <f t="shared" si="1"/>
        <v>0</v>
      </c>
      <c r="J14" s="102"/>
      <c r="K14" s="120">
        <v>2014</v>
      </c>
      <c r="L14" s="121">
        <f t="shared" si="2"/>
        <v>0</v>
      </c>
      <c r="M14" s="102"/>
      <c r="N14" s="102"/>
      <c r="O14" s="102"/>
      <c r="P14" s="102"/>
      <c r="Q14" s="102"/>
      <c r="R14" s="102"/>
      <c r="S14" s="102"/>
      <c r="T14" s="102"/>
      <c r="U14" s="102"/>
      <c r="V14" s="102"/>
      <c r="W14" s="102"/>
      <c r="X14" s="102"/>
      <c r="Y14" s="102"/>
      <c r="Z14" s="102"/>
    </row>
    <row r="15" spans="1:26" ht="13.5" thickBot="1">
      <c r="A15" s="102"/>
      <c r="B15" s="67">
        <v>2015</v>
      </c>
      <c r="C15" s="80" cm="1">
        <f t="array" ref="C15">IF(B15&gt;current_year,"",INDEX(SMSs_h2o,B15-2006))</f>
        <v>0</v>
      </c>
      <c r="D15" s="102"/>
      <c r="E15" s="66">
        <v>2015</v>
      </c>
      <c r="F15" s="76">
        <f t="shared" si="0"/>
        <v>0</v>
      </c>
      <c r="G15" s="102"/>
      <c r="H15" s="66">
        <v>2015</v>
      </c>
      <c r="I15" s="78">
        <f t="shared" si="1"/>
        <v>0</v>
      </c>
      <c r="J15" s="102"/>
      <c r="K15" s="120">
        <v>2015</v>
      </c>
      <c r="L15" s="121">
        <f t="shared" si="2"/>
        <v>0</v>
      </c>
      <c r="M15" s="102"/>
      <c r="N15" s="102"/>
      <c r="O15" s="102"/>
      <c r="P15" s="102"/>
      <c r="Q15" s="102"/>
      <c r="R15" s="102"/>
      <c r="S15" s="102"/>
      <c r="T15" s="102"/>
      <c r="U15" s="102"/>
      <c r="V15" s="102"/>
      <c r="W15" s="102"/>
      <c r="X15" s="102"/>
      <c r="Y15" s="102"/>
      <c r="Z15" s="102"/>
    </row>
    <row r="16" spans="1:26" ht="13.5" thickBot="1">
      <c r="A16" s="102"/>
      <c r="B16" s="67">
        <v>2016</v>
      </c>
      <c r="C16" s="80" cm="1">
        <f t="array" ref="C16">IF(B16&gt;current_year,"",INDEX(SMSs_h2o,B16-2006))</f>
        <v>0</v>
      </c>
      <c r="D16" s="102"/>
      <c r="E16" s="66">
        <v>2016</v>
      </c>
      <c r="F16" s="76">
        <f t="shared" si="0"/>
        <v>0</v>
      </c>
      <c r="G16" s="102"/>
      <c r="H16" s="66">
        <v>2016</v>
      </c>
      <c r="I16" s="78">
        <f t="shared" si="1"/>
        <v>0</v>
      </c>
      <c r="J16" s="102"/>
      <c r="K16" s="120">
        <v>2016</v>
      </c>
      <c r="L16" s="121">
        <f t="shared" si="2"/>
        <v>0</v>
      </c>
      <c r="M16" s="102"/>
      <c r="N16" s="102"/>
      <c r="O16" s="102"/>
      <c r="P16" s="102"/>
      <c r="Q16" s="102"/>
      <c r="R16" s="102"/>
      <c r="S16" s="102"/>
      <c r="T16" s="102"/>
      <c r="U16" s="102"/>
      <c r="V16" s="102"/>
      <c r="W16" s="102"/>
      <c r="X16" s="102"/>
      <c r="Y16" s="102"/>
      <c r="Z16" s="102"/>
    </row>
    <row r="17" spans="1:26" ht="13.5" thickBot="1">
      <c r="A17" s="102"/>
      <c r="B17" s="67">
        <v>2017</v>
      </c>
      <c r="C17" s="80" cm="1">
        <f t="array" ref="C17">IF(B17&gt;current_year,"",INDEX(SMSs_h2o,B17-2006))</f>
        <v>0</v>
      </c>
      <c r="D17" s="102"/>
      <c r="E17" s="66">
        <v>2017</v>
      </c>
      <c r="F17" s="76">
        <f t="shared" si="0"/>
        <v>0</v>
      </c>
      <c r="G17" s="102"/>
      <c r="H17" s="66">
        <v>2017</v>
      </c>
      <c r="I17" s="78">
        <f t="shared" si="1"/>
        <v>0</v>
      </c>
      <c r="J17" s="102"/>
      <c r="K17" s="120">
        <v>2017</v>
      </c>
      <c r="L17" s="121">
        <f t="shared" si="2"/>
        <v>0</v>
      </c>
      <c r="M17" s="102"/>
      <c r="N17" s="102"/>
      <c r="O17" s="102"/>
      <c r="P17" s="102"/>
      <c r="Q17" s="102"/>
      <c r="R17" s="102"/>
      <c r="S17" s="102"/>
      <c r="T17" s="102"/>
      <c r="U17" s="102"/>
      <c r="V17" s="102"/>
      <c r="W17" s="102"/>
      <c r="X17" s="102"/>
      <c r="Y17" s="102"/>
      <c r="Z17" s="102"/>
    </row>
    <row r="18" spans="1:26" ht="13.5" thickBot="1">
      <c r="A18" s="102"/>
      <c r="B18" s="67">
        <v>2018</v>
      </c>
      <c r="C18" s="80" cm="1">
        <f t="array" ref="C18">IF(B18&gt;current_year,"",INDEX(SMSs_h2o,B18-2006))</f>
        <v>0</v>
      </c>
      <c r="D18" s="102"/>
      <c r="E18" s="66">
        <v>2018</v>
      </c>
      <c r="F18" s="76">
        <f t="shared" si="0"/>
        <v>0</v>
      </c>
      <c r="G18" s="102"/>
      <c r="H18" s="66">
        <v>2018</v>
      </c>
      <c r="I18" s="78">
        <f t="shared" ref="I18:I30" si="3">IF(F18="","",(F18*tons_co2_per_kwh))</f>
        <v>0</v>
      </c>
      <c r="J18" s="102"/>
      <c r="K18" s="120">
        <v>2018</v>
      </c>
      <c r="L18" s="121">
        <f t="shared" si="2"/>
        <v>0</v>
      </c>
      <c r="M18" s="102"/>
      <c r="N18" s="102"/>
      <c r="O18" s="102"/>
      <c r="P18" s="102"/>
      <c r="Q18" s="102"/>
      <c r="R18" s="102"/>
      <c r="S18" s="102"/>
      <c r="T18" s="102"/>
      <c r="U18" s="102"/>
      <c r="V18" s="102"/>
      <c r="W18" s="102"/>
      <c r="X18" s="102"/>
      <c r="Y18" s="102"/>
      <c r="Z18" s="102"/>
    </row>
    <row r="19" spans="1:26" ht="13.5" thickBot="1">
      <c r="A19" s="102"/>
      <c r="B19" s="67">
        <v>2019</v>
      </c>
      <c r="C19" s="80" cm="1">
        <f t="array" ref="C19">IF(B19&gt;current_year,"",INDEX(SMSs_h2o,B19-2006))</f>
        <v>0</v>
      </c>
      <c r="D19" s="102"/>
      <c r="E19" s="66">
        <v>2019</v>
      </c>
      <c r="F19" s="76">
        <f t="shared" si="0"/>
        <v>0</v>
      </c>
      <c r="G19" s="102"/>
      <c r="H19" s="66">
        <v>2019</v>
      </c>
      <c r="I19" s="78">
        <f t="shared" si="3"/>
        <v>0</v>
      </c>
      <c r="J19" s="102"/>
      <c r="K19" s="120">
        <v>2019</v>
      </c>
      <c r="L19" s="121">
        <f t="shared" si="2"/>
        <v>0</v>
      </c>
      <c r="M19" s="102"/>
      <c r="N19" s="102"/>
      <c r="O19" s="102"/>
      <c r="P19" s="102"/>
      <c r="Q19" s="102"/>
      <c r="R19" s="102"/>
      <c r="S19" s="102"/>
      <c r="T19" s="102"/>
      <c r="U19" s="102"/>
      <c r="V19" s="102"/>
      <c r="W19" s="102"/>
      <c r="X19" s="102"/>
      <c r="Y19" s="102"/>
      <c r="Z19" s="102"/>
    </row>
    <row r="20" spans="1:26" ht="13.5" thickBot="1">
      <c r="A20" s="102"/>
      <c r="B20" s="67">
        <v>2020</v>
      </c>
      <c r="C20" s="80" cm="1">
        <f t="array" ref="C20">IF(B20&gt;current_year,"",INDEX(SMSs_h2o,B20-2006))</f>
        <v>0</v>
      </c>
      <c r="D20" s="102"/>
      <c r="E20" s="66">
        <v>2020</v>
      </c>
      <c r="F20" s="76">
        <f t="shared" si="0"/>
        <v>0</v>
      </c>
      <c r="G20" s="102"/>
      <c r="H20" s="66">
        <v>2020</v>
      </c>
      <c r="I20" s="78">
        <f t="shared" si="3"/>
        <v>0</v>
      </c>
      <c r="J20" s="102"/>
      <c r="K20" s="120">
        <v>2020</v>
      </c>
      <c r="L20" s="121">
        <f t="shared" si="2"/>
        <v>0</v>
      </c>
      <c r="M20" s="102"/>
      <c r="N20" s="102"/>
      <c r="O20" s="102"/>
      <c r="P20" s="102"/>
      <c r="Q20" s="102"/>
      <c r="R20" s="102"/>
      <c r="S20" s="102"/>
      <c r="T20" s="102"/>
      <c r="U20" s="102"/>
      <c r="V20" s="102"/>
      <c r="W20" s="102"/>
      <c r="X20" s="102"/>
      <c r="Y20" s="102"/>
      <c r="Z20" s="102"/>
    </row>
    <row r="21" spans="1:26" ht="13.5" thickBot="1">
      <c r="A21" s="102"/>
      <c r="B21" s="67">
        <v>2021</v>
      </c>
      <c r="C21" s="80" cm="1">
        <f t="array" ref="C21">IF(B21&gt;current_year,"",INDEX(SMSs_h2o,B21-2006))</f>
        <v>0</v>
      </c>
      <c r="D21" s="102"/>
      <c r="E21" s="66">
        <v>2021</v>
      </c>
      <c r="F21" s="76">
        <f t="shared" si="0"/>
        <v>0</v>
      </c>
      <c r="G21" s="102"/>
      <c r="H21" s="66">
        <v>2021</v>
      </c>
      <c r="I21" s="78">
        <f t="shared" si="3"/>
        <v>0</v>
      </c>
      <c r="J21" s="102"/>
      <c r="K21" s="120">
        <v>2021</v>
      </c>
      <c r="L21" s="121">
        <f t="shared" si="2"/>
        <v>0</v>
      </c>
      <c r="M21" s="102"/>
      <c r="N21" s="102"/>
      <c r="O21" s="102"/>
      <c r="P21" s="102"/>
      <c r="Q21" s="102"/>
      <c r="R21" s="102"/>
      <c r="S21" s="102"/>
      <c r="T21" s="102"/>
      <c r="U21" s="102"/>
      <c r="V21" s="102"/>
      <c r="W21" s="102"/>
      <c r="X21" s="102"/>
      <c r="Y21" s="102"/>
      <c r="Z21" s="102"/>
    </row>
    <row r="22" spans="1:26" ht="13.5" thickBot="1">
      <c r="A22" s="102"/>
      <c r="B22" s="67">
        <v>2022</v>
      </c>
      <c r="C22" s="80" cm="1">
        <f t="array" ref="C22">IF(B22&gt;current_year,"",INDEX(SMSs_h2o,B22-2006))</f>
        <v>0</v>
      </c>
      <c r="D22" s="102"/>
      <c r="E22" s="66">
        <v>2022</v>
      </c>
      <c r="F22" s="76">
        <f t="shared" si="0"/>
        <v>0</v>
      </c>
      <c r="G22" s="102"/>
      <c r="H22" s="66">
        <v>2022</v>
      </c>
      <c r="I22" s="78">
        <f t="shared" si="3"/>
        <v>0</v>
      </c>
      <c r="J22" s="102"/>
      <c r="K22" s="120">
        <v>2022</v>
      </c>
      <c r="L22" s="121">
        <f t="shared" si="2"/>
        <v>0</v>
      </c>
      <c r="M22" s="102"/>
      <c r="N22" s="102"/>
      <c r="O22" s="102"/>
      <c r="P22" s="102"/>
      <c r="Q22" s="102"/>
      <c r="R22" s="102"/>
      <c r="S22" s="102"/>
      <c r="T22" s="102"/>
      <c r="U22" s="102"/>
      <c r="V22" s="102"/>
      <c r="W22" s="102"/>
      <c r="X22" s="102"/>
      <c r="Y22" s="102"/>
      <c r="Z22" s="102"/>
    </row>
    <row r="23" spans="1:26" ht="13.5" thickBot="1">
      <c r="A23" s="102"/>
      <c r="B23" s="67">
        <v>2023</v>
      </c>
      <c r="C23" s="80" cm="1">
        <f t="array" ref="C23">IF(B23&gt;current_year,"",INDEX(SMSs_h2o,B23-2006))</f>
        <v>0</v>
      </c>
      <c r="D23" s="102"/>
      <c r="E23" s="66">
        <v>2023</v>
      </c>
      <c r="F23" s="76">
        <f t="shared" si="0"/>
        <v>0</v>
      </c>
      <c r="G23" s="102"/>
      <c r="H23" s="66">
        <v>2023</v>
      </c>
      <c r="I23" s="78">
        <f t="shared" si="3"/>
        <v>0</v>
      </c>
      <c r="J23" s="102"/>
      <c r="K23" s="120">
        <v>2023</v>
      </c>
      <c r="L23" s="121">
        <f t="shared" si="2"/>
        <v>0</v>
      </c>
      <c r="M23" s="102"/>
      <c r="N23" s="102"/>
      <c r="O23" s="102"/>
      <c r="P23" s="102"/>
      <c r="Q23" s="102"/>
      <c r="R23" s="102"/>
      <c r="S23" s="102"/>
      <c r="T23" s="102"/>
      <c r="U23" s="102"/>
      <c r="V23" s="102"/>
      <c r="W23" s="102"/>
      <c r="X23" s="102"/>
      <c r="Y23" s="102"/>
      <c r="Z23" s="102"/>
    </row>
    <row r="24" spans="1:26" ht="13.5" thickBot="1">
      <c r="A24" s="102"/>
      <c r="B24" s="67">
        <v>2024</v>
      </c>
      <c r="C24" s="80" cm="1">
        <f t="array" ref="C24">IF(B24&gt;current_year,"",INDEX(SMSs_h2o,B24-2006))</f>
        <v>0</v>
      </c>
      <c r="D24" s="102"/>
      <c r="E24" s="66">
        <v>2024</v>
      </c>
      <c r="F24" s="76">
        <f t="shared" si="0"/>
        <v>0</v>
      </c>
      <c r="G24" s="102"/>
      <c r="H24" s="66">
        <v>2024</v>
      </c>
      <c r="I24" s="78">
        <f t="shared" si="3"/>
        <v>0</v>
      </c>
      <c r="J24" s="102"/>
      <c r="K24" s="120">
        <v>2024</v>
      </c>
      <c r="L24" s="121">
        <f t="shared" si="2"/>
        <v>0</v>
      </c>
      <c r="M24" s="102"/>
      <c r="N24" s="102"/>
      <c r="O24" s="102"/>
      <c r="P24" s="102"/>
      <c r="Q24" s="102"/>
      <c r="R24" s="102"/>
      <c r="S24" s="102"/>
      <c r="T24" s="102"/>
      <c r="U24" s="102"/>
      <c r="V24" s="102"/>
      <c r="W24" s="102"/>
      <c r="X24" s="102"/>
      <c r="Y24" s="102"/>
      <c r="Z24" s="102"/>
    </row>
    <row r="25" spans="1:26" ht="13.5" thickBot="1">
      <c r="A25" s="102"/>
      <c r="B25" s="67">
        <v>2025</v>
      </c>
      <c r="C25" s="80" t="str" cm="1">
        <f t="array" ref="C25">IF(B25&gt;current_year,"",INDEX(SMSs_h2o,B25-2006))</f>
        <v/>
      </c>
      <c r="D25" s="102"/>
      <c r="E25" s="66">
        <v>2025</v>
      </c>
      <c r="F25" s="76" t="str">
        <f t="shared" si="0"/>
        <v/>
      </c>
      <c r="G25" s="102"/>
      <c r="H25" s="66">
        <v>2025</v>
      </c>
      <c r="I25" s="78" t="str">
        <f t="shared" si="3"/>
        <v/>
      </c>
      <c r="J25" s="102"/>
      <c r="K25" s="120">
        <v>2025</v>
      </c>
      <c r="L25" s="121" t="str">
        <f t="shared" si="2"/>
        <v/>
      </c>
      <c r="M25" s="102"/>
      <c r="N25" s="102"/>
      <c r="O25" s="102"/>
      <c r="P25" s="102"/>
      <c r="Q25" s="102"/>
      <c r="R25" s="102"/>
      <c r="S25" s="102"/>
      <c r="T25" s="102"/>
      <c r="U25" s="102"/>
      <c r="V25" s="102"/>
      <c r="W25" s="102"/>
      <c r="X25" s="102"/>
      <c r="Y25" s="102"/>
      <c r="Z25" s="102"/>
    </row>
    <row r="26" spans="1:26" ht="13.5" thickBot="1">
      <c r="A26" s="102"/>
      <c r="B26" s="67">
        <v>2026</v>
      </c>
      <c r="C26" s="80" t="str" cm="1">
        <f t="array" ref="C26">IF(B26&gt;current_year,"",INDEX(SMSs_h2o,B26-2006))</f>
        <v/>
      </c>
      <c r="D26" s="102"/>
      <c r="E26" s="66">
        <v>2026</v>
      </c>
      <c r="F26" s="76" t="str">
        <f t="shared" si="0"/>
        <v/>
      </c>
      <c r="G26" s="102"/>
      <c r="H26" s="66">
        <v>2026</v>
      </c>
      <c r="I26" s="78" t="str">
        <f t="shared" si="3"/>
        <v/>
      </c>
      <c r="J26" s="102"/>
      <c r="K26" s="120">
        <v>2026</v>
      </c>
      <c r="L26" s="121" t="str">
        <f t="shared" si="2"/>
        <v/>
      </c>
      <c r="M26" s="102"/>
      <c r="N26" s="102"/>
      <c r="O26" s="102"/>
      <c r="P26" s="102"/>
      <c r="Q26" s="102"/>
      <c r="R26" s="102"/>
      <c r="S26" s="102"/>
      <c r="T26" s="102"/>
      <c r="U26" s="102"/>
      <c r="V26" s="102"/>
      <c r="W26" s="102"/>
      <c r="X26" s="102"/>
      <c r="Y26" s="102"/>
      <c r="Z26" s="102"/>
    </row>
    <row r="27" spans="1:26" ht="13.5" thickBot="1">
      <c r="A27" s="102"/>
      <c r="B27" s="67">
        <v>2027</v>
      </c>
      <c r="C27" s="80" t="str" cm="1">
        <f t="array" ref="C27">IF(B27&gt;current_year,"",INDEX(SMSs_h2o,B27-2006))</f>
        <v/>
      </c>
      <c r="D27" s="102"/>
      <c r="E27" s="66">
        <v>2027</v>
      </c>
      <c r="F27" s="76" t="str">
        <f t="shared" si="0"/>
        <v/>
      </c>
      <c r="G27" s="102"/>
      <c r="H27" s="66">
        <v>2027</v>
      </c>
      <c r="I27" s="78" t="str">
        <f t="shared" si="3"/>
        <v/>
      </c>
      <c r="J27" s="102"/>
      <c r="K27" s="120">
        <v>2027</v>
      </c>
      <c r="L27" s="121" t="str">
        <f t="shared" si="2"/>
        <v/>
      </c>
      <c r="M27" s="102"/>
      <c r="N27" s="102"/>
      <c r="O27" s="102"/>
      <c r="P27" s="102"/>
      <c r="Q27" s="102"/>
      <c r="R27" s="102"/>
      <c r="S27" s="102"/>
      <c r="T27" s="102"/>
      <c r="U27" s="102"/>
      <c r="V27" s="102"/>
      <c r="W27" s="102"/>
      <c r="X27" s="102"/>
      <c r="Y27" s="102"/>
      <c r="Z27" s="102"/>
    </row>
    <row r="28" spans="1:26" ht="13.5" thickBot="1">
      <c r="A28" s="102"/>
      <c r="B28" s="67">
        <v>2028</v>
      </c>
      <c r="C28" s="80" t="str" cm="1">
        <f t="array" ref="C28">IF(B28&gt;current_year,"",INDEX(SMSs_h2o,B28-2006))</f>
        <v/>
      </c>
      <c r="D28" s="102"/>
      <c r="E28" s="66">
        <v>2028</v>
      </c>
      <c r="F28" s="76" t="str">
        <f t="shared" si="0"/>
        <v/>
      </c>
      <c r="G28" s="102"/>
      <c r="H28" s="66">
        <v>2028</v>
      </c>
      <c r="I28" s="78" t="str">
        <f t="shared" si="3"/>
        <v/>
      </c>
      <c r="J28" s="102"/>
      <c r="K28" s="120">
        <v>2028</v>
      </c>
      <c r="L28" s="121" t="str">
        <f t="shared" si="2"/>
        <v/>
      </c>
      <c r="M28" s="102"/>
      <c r="N28" s="102"/>
      <c r="O28" s="102"/>
      <c r="P28" s="102"/>
      <c r="Q28" s="102"/>
      <c r="R28" s="102"/>
      <c r="S28" s="102"/>
      <c r="T28" s="102"/>
      <c r="U28" s="102"/>
      <c r="V28" s="102"/>
      <c r="W28" s="102"/>
      <c r="X28" s="102"/>
      <c r="Y28" s="102"/>
      <c r="Z28" s="102"/>
    </row>
    <row r="29" spans="1:26" ht="13.5" thickBot="1">
      <c r="A29" s="102"/>
      <c r="B29" s="67">
        <v>2029</v>
      </c>
      <c r="C29" s="80" t="str" cm="1">
        <f t="array" ref="C29">IF(B29&gt;current_year,"",INDEX(SMSs_h2o,B29-2006))</f>
        <v/>
      </c>
      <c r="D29" s="102"/>
      <c r="E29" s="66">
        <v>2029</v>
      </c>
      <c r="F29" s="76" t="str">
        <f t="shared" si="0"/>
        <v/>
      </c>
      <c r="G29" s="102"/>
      <c r="H29" s="66">
        <v>2029</v>
      </c>
      <c r="I29" s="78" t="str">
        <f t="shared" si="3"/>
        <v/>
      </c>
      <c r="J29" s="102"/>
      <c r="K29" s="120">
        <v>2029</v>
      </c>
      <c r="L29" s="121" t="str">
        <f t="shared" si="2"/>
        <v/>
      </c>
      <c r="M29" s="102"/>
      <c r="N29" s="102"/>
      <c r="O29" s="102"/>
      <c r="P29" s="102"/>
      <c r="Q29" s="102"/>
      <c r="R29" s="102"/>
      <c r="S29" s="102"/>
      <c r="T29" s="102"/>
      <c r="U29" s="102"/>
      <c r="V29" s="102"/>
      <c r="W29" s="102"/>
      <c r="X29" s="102"/>
      <c r="Y29" s="102"/>
      <c r="Z29" s="102"/>
    </row>
    <row r="30" spans="1:26" ht="13.5" thickBot="1">
      <c r="A30" s="102"/>
      <c r="B30" s="67">
        <v>2030</v>
      </c>
      <c r="C30" s="80" t="str" cm="1">
        <f t="array" ref="C30">IF(B30&gt;current_year,"",INDEX(SMSs_h2o,B30-2006))</f>
        <v/>
      </c>
      <c r="D30" s="102"/>
      <c r="E30" s="66">
        <v>2030</v>
      </c>
      <c r="F30" s="76" t="str">
        <f t="shared" si="0"/>
        <v/>
      </c>
      <c r="G30" s="102"/>
      <c r="H30" s="66">
        <v>2030</v>
      </c>
      <c r="I30" s="79" t="str">
        <f t="shared" si="3"/>
        <v/>
      </c>
      <c r="J30" s="102"/>
      <c r="K30" s="120">
        <v>2030</v>
      </c>
      <c r="L30" s="121" t="str">
        <f t="shared" si="2"/>
        <v/>
      </c>
      <c r="M30" s="102"/>
      <c r="N30" s="102"/>
      <c r="O30" s="102"/>
      <c r="P30" s="102"/>
      <c r="Q30" s="102"/>
      <c r="R30" s="102"/>
      <c r="S30" s="102"/>
      <c r="T30" s="102"/>
      <c r="U30" s="102"/>
      <c r="V30" s="102"/>
      <c r="W30" s="102"/>
      <c r="X30" s="102"/>
      <c r="Y30" s="102"/>
      <c r="Z30" s="102"/>
    </row>
    <row r="31" spans="1:26">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row>
    <row r="32" spans="1:26">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1:26">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34" spans="1:26">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row>
    <row r="35" spans="1:26">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row>
    <row r="36" spans="1:26">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row>
    <row r="37" spans="1:26">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row>
    <row r="38" spans="1:26">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row>
    <row r="39" spans="1:26">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row>
    <row r="40" spans="1:26">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row>
    <row r="41" spans="1:26">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row>
    <row r="42" spans="1:26">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row>
    <row r="43" spans="1:26">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row>
    <row r="44" spans="1:26">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row>
    <row r="45" spans="1:26">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row>
    <row r="46" spans="1:26">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1:26">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row>
    <row r="48" spans="1:26">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row>
    <row r="49" spans="1:26">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row>
    <row r="51" spans="1:26">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1:26">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row>
    <row r="53" spans="1:26">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row>
    <row r="54" spans="1:26">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row>
    <row r="55" spans="1:26">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row>
    <row r="56" spans="1:26">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row>
    <row r="57" spans="1:26">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row>
    <row r="58" spans="1:26">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row>
    <row r="59" spans="1:26">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row>
    <row r="60" spans="1:26">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row>
    <row r="61" spans="1:26">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row>
    <row r="62" spans="1:26">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row>
    <row r="63" spans="1:26">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row>
    <row r="64" spans="1:26">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row>
    <row r="65" spans="1:26">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row>
    <row r="66" spans="1:26">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row>
    <row r="67" spans="1:26">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row>
    <row r="68" spans="1:26">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row>
    <row r="69" spans="1:26">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row>
    <row r="70" spans="1:26">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row>
    <row r="71" spans="1:26">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row>
    <row r="72" spans="1:26">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row>
    <row r="73" spans="1:26">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row>
    <row r="74" spans="1:26">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row>
    <row r="75" spans="1:26">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row>
    <row r="76" spans="1:26">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row>
    <row r="77" spans="1:26">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row>
    <row r="78" spans="1:26">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row>
    <row r="79" spans="1:26">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row>
    <row r="80" spans="1:26">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row>
    <row r="81" spans="1:26">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row>
    <row r="82" spans="1:26">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row>
    <row r="83" spans="1:26" ht="13.5" customHeight="1">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row>
    <row r="84" spans="1:26">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row>
    <row r="85" spans="1:26">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row>
    <row r="86" spans="1:26">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row>
    <row r="87" spans="1:26">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row>
    <row r="88" spans="1:26">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row>
    <row r="89" spans="1:26">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row>
    <row r="90" spans="1:26">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row>
    <row r="91" spans="1:26">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row>
    <row r="92" spans="1:26">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row>
    <row r="93" spans="1:26">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row>
    <row r="94" spans="1:26">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row>
    <row r="95" spans="1:26">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row>
    <row r="96" spans="1:26">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row>
    <row r="97" spans="1:26">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row>
    <row r="98" spans="1:26">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row>
    <row r="99" spans="1:26">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row>
  </sheetData>
  <pageMargins left="0.75" right="0.75" top="1" bottom="1" header="0.5" footer="0.5"/>
  <pageSetup orientation="portrait"/>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tabColor theme="7" tint="0.39997558519241921"/>
  </sheetPr>
  <dimension ref="A1:Z99"/>
  <sheetViews>
    <sheetView topLeftCell="A3" workbookViewId="0">
      <selection activeCell="C7" sqref="C7"/>
    </sheetView>
  </sheetViews>
  <sheetFormatPr defaultColWidth="8.85546875" defaultRowHeight="12.75"/>
  <cols>
    <col min="2" max="2" width="5.140625" bestFit="1" customWidth="1"/>
    <col min="3" max="3" width="30.85546875" customWidth="1"/>
    <col min="4" max="4" width="3.140625" customWidth="1"/>
    <col min="5" max="5" width="5.140625" bestFit="1" customWidth="1"/>
    <col min="6" max="6" width="30.85546875" customWidth="1"/>
    <col min="7" max="7" width="3.140625" customWidth="1"/>
    <col min="8" max="8" width="5.140625" bestFit="1" customWidth="1"/>
    <col min="9" max="9" width="30.85546875" customWidth="1"/>
    <col min="10" max="10" width="3.140625" customWidth="1"/>
    <col min="11" max="11" width="4.85546875" bestFit="1" customWidth="1"/>
    <col min="12" max="12" width="21.5703125" customWidth="1"/>
  </cols>
  <sheetData>
    <row r="1" spans="1:26">
      <c r="A1" s="102"/>
      <c r="B1" s="102"/>
      <c r="C1" s="102"/>
      <c r="D1" s="102"/>
      <c r="E1" s="102"/>
      <c r="F1" s="102"/>
      <c r="G1" s="102"/>
      <c r="H1" s="102"/>
      <c r="I1" s="102"/>
      <c r="J1" s="102"/>
      <c r="K1" s="102"/>
      <c r="L1" s="102"/>
      <c r="M1" s="102"/>
      <c r="N1" s="102"/>
      <c r="O1" s="102"/>
      <c r="P1" s="102"/>
      <c r="Q1" s="102"/>
      <c r="R1" s="102"/>
      <c r="S1" s="102"/>
      <c r="T1" s="102"/>
      <c r="U1" s="102"/>
      <c r="V1" s="102"/>
      <c r="W1" s="102"/>
      <c r="X1" s="102"/>
      <c r="Y1" s="102"/>
      <c r="Z1" s="102"/>
    </row>
    <row r="2" spans="1:26">
      <c r="A2" s="102"/>
      <c r="C2" s="117" t="s">
        <v>195</v>
      </c>
      <c r="D2" s="102"/>
      <c r="F2" s="117" t="s">
        <v>236</v>
      </c>
      <c r="G2" s="102"/>
      <c r="H2" s="102"/>
      <c r="I2" s="102"/>
      <c r="J2" s="102"/>
      <c r="K2" s="102"/>
      <c r="L2" s="102"/>
      <c r="M2" s="102"/>
      <c r="N2" s="102"/>
      <c r="O2" s="102"/>
      <c r="P2" s="102"/>
      <c r="Q2" s="102"/>
      <c r="R2" s="102"/>
      <c r="S2" s="102"/>
      <c r="T2" s="102"/>
      <c r="U2" s="102"/>
      <c r="V2" s="102"/>
      <c r="W2" s="102"/>
      <c r="X2" s="102"/>
      <c r="Y2" s="102"/>
      <c r="Z2" s="102"/>
    </row>
    <row r="3" spans="1:26">
      <c r="A3" s="102"/>
      <c r="B3" s="18"/>
      <c r="C3" s="68"/>
      <c r="D3" s="102"/>
      <c r="E3" s="18"/>
      <c r="F3" s="68"/>
      <c r="G3" s="102"/>
      <c r="H3" s="18"/>
      <c r="I3" s="18"/>
      <c r="J3" s="102"/>
      <c r="K3" s="18"/>
      <c r="L3" s="18"/>
      <c r="M3" s="102"/>
      <c r="N3" s="102"/>
      <c r="O3" s="102"/>
      <c r="P3" s="102"/>
      <c r="Q3" s="102"/>
      <c r="R3" s="102"/>
      <c r="S3" s="102"/>
      <c r="T3" s="102"/>
      <c r="U3" s="102"/>
      <c r="V3" s="102"/>
      <c r="W3" s="102"/>
      <c r="X3" s="102"/>
      <c r="Y3" s="102"/>
      <c r="Z3" s="102"/>
    </row>
    <row r="4" spans="1:26" ht="39" thickBot="1">
      <c r="A4" s="102"/>
      <c r="B4" s="18"/>
      <c r="C4" s="18"/>
      <c r="D4" s="102"/>
      <c r="E4" s="18"/>
      <c r="F4" s="71" t="s">
        <v>237</v>
      </c>
      <c r="G4" s="102"/>
      <c r="H4" s="68"/>
      <c r="I4" s="68" t="s">
        <v>238</v>
      </c>
      <c r="J4" s="102"/>
      <c r="K4" s="112"/>
      <c r="L4" s="61" t="s">
        <v>239</v>
      </c>
      <c r="M4" s="102"/>
      <c r="N4" s="102"/>
      <c r="O4" s="102"/>
      <c r="P4" s="102"/>
      <c r="Q4" s="102"/>
      <c r="R4" s="102"/>
      <c r="S4" s="102"/>
      <c r="T4" s="102"/>
      <c r="U4" s="102"/>
      <c r="V4" s="102"/>
      <c r="W4" s="102"/>
      <c r="X4" s="102"/>
      <c r="Y4" s="102"/>
      <c r="Z4" s="102"/>
    </row>
    <row r="5" spans="1:26" ht="51.75" thickBot="1">
      <c r="A5" s="102"/>
      <c r="B5" s="68"/>
      <c r="C5" s="116" t="s">
        <v>249</v>
      </c>
      <c r="D5" s="102"/>
      <c r="E5" s="18"/>
      <c r="F5" s="3" t="s">
        <v>210</v>
      </c>
      <c r="G5" s="102"/>
      <c r="H5" s="69"/>
      <c r="I5" s="2" t="s">
        <v>213</v>
      </c>
      <c r="J5" s="102"/>
      <c r="K5" s="126"/>
      <c r="L5" s="50" t="str">
        <f>"USD ($" &amp;current_year &amp; ")"</f>
        <v>USD ($2024)</v>
      </c>
      <c r="M5" s="102"/>
      <c r="N5" s="102"/>
      <c r="O5" s="102"/>
      <c r="P5" s="102"/>
      <c r="Q5" s="102"/>
      <c r="R5" s="102"/>
      <c r="S5" s="102"/>
      <c r="T5" s="102"/>
      <c r="U5" s="102"/>
      <c r="V5" s="102"/>
      <c r="W5" s="102"/>
      <c r="X5" s="102"/>
      <c r="Y5" s="102"/>
      <c r="Z5" s="102"/>
    </row>
    <row r="6" spans="1:26" ht="13.5" thickBot="1">
      <c r="A6" s="102"/>
      <c r="B6" s="67" t="s">
        <v>11</v>
      </c>
      <c r="C6" s="115" t="s">
        <v>88</v>
      </c>
      <c r="D6" s="102"/>
      <c r="E6" s="67" t="s">
        <v>11</v>
      </c>
      <c r="F6" s="72" t="s">
        <v>88</v>
      </c>
      <c r="G6" s="102"/>
      <c r="H6" s="67" t="s">
        <v>11</v>
      </c>
      <c r="I6" s="72" t="s">
        <v>88</v>
      </c>
      <c r="J6" s="102"/>
      <c r="K6" s="120" t="s">
        <v>11</v>
      </c>
      <c r="L6" s="72" t="s">
        <v>88</v>
      </c>
      <c r="M6" s="102"/>
      <c r="N6" s="102"/>
      <c r="O6" s="102"/>
      <c r="P6" s="102"/>
      <c r="Q6" s="102"/>
      <c r="R6" s="102"/>
      <c r="S6" s="102"/>
      <c r="T6" s="102"/>
      <c r="U6" s="102"/>
      <c r="V6" s="102"/>
      <c r="W6" s="102"/>
      <c r="X6" s="102"/>
      <c r="Y6" s="102"/>
      <c r="Z6" s="102"/>
    </row>
    <row r="7" spans="1:26" ht="13.5" thickBot="1">
      <c r="A7" s="102"/>
      <c r="B7" s="67">
        <v>2007</v>
      </c>
      <c r="C7" s="80" cm="1">
        <f t="array" ref="C7">IF(B7&gt;current_year,"",INDEX(SSBs_h2o,B7-2006))</f>
        <v>0</v>
      </c>
      <c r="D7" s="102"/>
      <c r="E7" s="66">
        <v>2007</v>
      </c>
      <c r="F7" s="76">
        <f t="shared" ref="F7:F30" si="0">IF(C7="","",C7*(kwh_per_gal_drnk_water))</f>
        <v>0</v>
      </c>
      <c r="G7" s="102"/>
      <c r="H7" s="70">
        <v>2007</v>
      </c>
      <c r="I7" s="78">
        <f t="shared" ref="I7:I17" si="1">(F7*tons_co2_per_kwh)</f>
        <v>0</v>
      </c>
      <c r="J7" s="102"/>
      <c r="K7" s="1">
        <v>2007</v>
      </c>
      <c r="L7" s="121">
        <f t="shared" ref="L7:L30" si="2">IF(C7="","",(C7*10^-3*INDEX(water_res,K7-2006))*(IF(K7&lt;current_year,INDEX(GDP,current_year-2006),1)))</f>
        <v>0</v>
      </c>
      <c r="M7" s="102"/>
      <c r="N7" s="102"/>
      <c r="O7" s="102"/>
      <c r="P7" s="102"/>
      <c r="Q7" s="102"/>
      <c r="R7" s="102"/>
      <c r="S7" s="102"/>
      <c r="T7" s="102"/>
      <c r="U7" s="102"/>
      <c r="V7" s="102"/>
      <c r="W7" s="102"/>
      <c r="X7" s="102"/>
      <c r="Y7" s="102"/>
      <c r="Z7" s="102"/>
    </row>
    <row r="8" spans="1:26" ht="13.5" thickBot="1">
      <c r="A8" s="102"/>
      <c r="B8" s="67">
        <v>2008</v>
      </c>
      <c r="C8" s="80" cm="1">
        <f t="array" ref="C8">IF(B8&gt;current_year,"",INDEX(SSBs_h2o,B8-2006))</f>
        <v>0</v>
      </c>
      <c r="D8" s="102"/>
      <c r="E8" s="66">
        <v>2008</v>
      </c>
      <c r="F8" s="76">
        <f t="shared" si="0"/>
        <v>0</v>
      </c>
      <c r="G8" s="102"/>
      <c r="H8" s="70">
        <v>2008</v>
      </c>
      <c r="I8" s="78">
        <f t="shared" si="1"/>
        <v>0</v>
      </c>
      <c r="J8" s="102"/>
      <c r="K8" s="1">
        <v>2008</v>
      </c>
      <c r="L8" s="121">
        <f t="shared" si="2"/>
        <v>0</v>
      </c>
      <c r="M8" s="102"/>
      <c r="N8" s="102"/>
      <c r="O8" s="102"/>
      <c r="P8" s="102"/>
      <c r="Q8" s="102"/>
      <c r="R8" s="102"/>
      <c r="S8" s="102"/>
      <c r="T8" s="102"/>
      <c r="U8" s="102"/>
      <c r="V8" s="102"/>
      <c r="W8" s="102"/>
      <c r="X8" s="102"/>
      <c r="Y8" s="102"/>
      <c r="Z8" s="102"/>
    </row>
    <row r="9" spans="1:26" ht="13.5" thickBot="1">
      <c r="A9" s="102"/>
      <c r="B9" s="66">
        <v>2009</v>
      </c>
      <c r="C9" s="80" cm="1">
        <f t="array" ref="C9">IF(B9&gt;current_year,"",INDEX(SSBs_h2o,B9-2006))</f>
        <v>0</v>
      </c>
      <c r="D9" s="102"/>
      <c r="E9" s="66">
        <v>2009</v>
      </c>
      <c r="F9" s="76">
        <f t="shared" si="0"/>
        <v>0</v>
      </c>
      <c r="G9" s="102"/>
      <c r="H9" s="70">
        <v>2009</v>
      </c>
      <c r="I9" s="78">
        <f t="shared" si="1"/>
        <v>0</v>
      </c>
      <c r="J9" s="102"/>
      <c r="K9" s="1">
        <v>2009</v>
      </c>
      <c r="L9" s="121">
        <f t="shared" si="2"/>
        <v>0</v>
      </c>
      <c r="M9" s="102"/>
      <c r="N9" s="102"/>
      <c r="O9" s="102"/>
      <c r="P9" s="102"/>
      <c r="Q9" s="102"/>
      <c r="R9" s="102"/>
      <c r="S9" s="102"/>
      <c r="T9" s="102"/>
      <c r="U9" s="102"/>
      <c r="V9" s="102"/>
      <c r="W9" s="102"/>
      <c r="X9" s="102"/>
      <c r="Y9" s="102"/>
      <c r="Z9" s="102"/>
    </row>
    <row r="10" spans="1:26" ht="13.5" thickBot="1">
      <c r="A10" s="102"/>
      <c r="B10" s="66">
        <v>2010</v>
      </c>
      <c r="C10" s="80" cm="1">
        <f t="array" ref="C10">IF(B10&gt;current_year,"",INDEX(SSBs_h2o,B10-2006))</f>
        <v>0</v>
      </c>
      <c r="D10" s="102"/>
      <c r="E10" s="66">
        <v>2010</v>
      </c>
      <c r="F10" s="76">
        <f t="shared" si="0"/>
        <v>0</v>
      </c>
      <c r="G10" s="102"/>
      <c r="H10" s="70">
        <v>2010</v>
      </c>
      <c r="I10" s="78">
        <f t="shared" si="1"/>
        <v>0</v>
      </c>
      <c r="J10" s="102"/>
      <c r="K10" s="1">
        <v>2010</v>
      </c>
      <c r="L10" s="121">
        <f t="shared" si="2"/>
        <v>0</v>
      </c>
      <c r="M10" s="102"/>
      <c r="N10" s="102"/>
      <c r="O10" s="102"/>
      <c r="P10" s="102"/>
      <c r="Q10" s="102"/>
      <c r="R10" s="102"/>
      <c r="S10" s="102"/>
      <c r="T10" s="102"/>
      <c r="U10" s="102"/>
      <c r="V10" s="102"/>
      <c r="W10" s="102"/>
      <c r="X10" s="102"/>
      <c r="Y10" s="102"/>
      <c r="Z10" s="102"/>
    </row>
    <row r="11" spans="1:26" ht="13.5" thickBot="1">
      <c r="A11" s="102"/>
      <c r="B11" s="66">
        <v>2011</v>
      </c>
      <c r="C11" s="80" cm="1">
        <f t="array" ref="C11">IF(B11&gt;current_year,"",INDEX(SSBs_h2o,B11-2006))</f>
        <v>0</v>
      </c>
      <c r="D11" s="102"/>
      <c r="E11" s="66">
        <v>2011</v>
      </c>
      <c r="F11" s="76">
        <f t="shared" si="0"/>
        <v>0</v>
      </c>
      <c r="G11" s="102"/>
      <c r="H11" s="70">
        <v>2011</v>
      </c>
      <c r="I11" s="78">
        <f t="shared" si="1"/>
        <v>0</v>
      </c>
      <c r="J11" s="102"/>
      <c r="K11" s="1">
        <v>2011</v>
      </c>
      <c r="L11" s="121">
        <f t="shared" si="2"/>
        <v>0</v>
      </c>
      <c r="M11" s="102"/>
      <c r="N11" s="102"/>
      <c r="O11" s="102"/>
      <c r="P11" s="102"/>
      <c r="Q11" s="102"/>
      <c r="R11" s="102"/>
      <c r="S11" s="102"/>
      <c r="T11" s="102"/>
      <c r="U11" s="102"/>
      <c r="V11" s="102"/>
      <c r="W11" s="102"/>
      <c r="X11" s="102"/>
      <c r="Y11" s="102"/>
      <c r="Z11" s="102"/>
    </row>
    <row r="12" spans="1:26" ht="13.5" thickBot="1">
      <c r="A12" s="102"/>
      <c r="B12" s="67">
        <v>2012</v>
      </c>
      <c r="C12" s="80" cm="1">
        <f t="array" ref="C12">IF(B12&gt;current_year,"",INDEX(SSBs_h2o,B12-2006))</f>
        <v>0</v>
      </c>
      <c r="D12" s="102"/>
      <c r="E12" s="66">
        <v>2012</v>
      </c>
      <c r="F12" s="76">
        <f t="shared" si="0"/>
        <v>0</v>
      </c>
      <c r="G12" s="102"/>
      <c r="H12" s="70">
        <v>2012</v>
      </c>
      <c r="I12" s="78">
        <f t="shared" si="1"/>
        <v>0</v>
      </c>
      <c r="J12" s="102"/>
      <c r="K12" s="1">
        <v>2012</v>
      </c>
      <c r="L12" s="121">
        <f t="shared" si="2"/>
        <v>0</v>
      </c>
      <c r="M12" s="102"/>
      <c r="N12" s="102"/>
      <c r="O12" s="102"/>
      <c r="P12" s="102"/>
      <c r="Q12" s="102"/>
      <c r="R12" s="102"/>
      <c r="S12" s="102"/>
      <c r="T12" s="102"/>
      <c r="U12" s="102"/>
      <c r="V12" s="102"/>
      <c r="W12" s="102"/>
      <c r="X12" s="102"/>
      <c r="Y12" s="102"/>
      <c r="Z12" s="102"/>
    </row>
    <row r="13" spans="1:26" ht="13.5" thickBot="1">
      <c r="A13" s="102"/>
      <c r="B13" s="67">
        <v>2013</v>
      </c>
      <c r="C13" s="80" cm="1">
        <f t="array" ref="C13">IF(B13&gt;current_year,"",INDEX(SSBs_h2o,B13-2006))</f>
        <v>0</v>
      </c>
      <c r="D13" s="102"/>
      <c r="E13" s="66">
        <v>2013</v>
      </c>
      <c r="F13" s="76">
        <f t="shared" si="0"/>
        <v>0</v>
      </c>
      <c r="G13" s="102"/>
      <c r="H13" s="70">
        <v>2013</v>
      </c>
      <c r="I13" s="78">
        <f t="shared" si="1"/>
        <v>0</v>
      </c>
      <c r="J13" s="102"/>
      <c r="K13" s="120">
        <v>2013</v>
      </c>
      <c r="L13" s="121">
        <f t="shared" si="2"/>
        <v>0</v>
      </c>
      <c r="M13" s="102"/>
      <c r="N13" s="102"/>
      <c r="O13" s="102"/>
      <c r="P13" s="102"/>
      <c r="Q13" s="102"/>
      <c r="R13" s="102"/>
      <c r="S13" s="102"/>
      <c r="T13" s="102"/>
      <c r="U13" s="102"/>
      <c r="V13" s="102"/>
      <c r="W13" s="102"/>
      <c r="X13" s="102"/>
      <c r="Y13" s="102"/>
      <c r="Z13" s="102"/>
    </row>
    <row r="14" spans="1:26" ht="13.5" thickBot="1">
      <c r="A14" s="102"/>
      <c r="B14" s="67">
        <v>2014</v>
      </c>
      <c r="C14" s="80" cm="1">
        <f t="array" ref="C14">IF(B14&gt;current_year,"",INDEX(SSBs_h2o,B14-2006))</f>
        <v>0</v>
      </c>
      <c r="D14" s="102"/>
      <c r="E14" s="66">
        <v>2014</v>
      </c>
      <c r="F14" s="76">
        <f t="shared" si="0"/>
        <v>0</v>
      </c>
      <c r="G14" s="102"/>
      <c r="H14" s="66">
        <v>2014</v>
      </c>
      <c r="I14" s="78">
        <f t="shared" si="1"/>
        <v>0</v>
      </c>
      <c r="J14" s="102"/>
      <c r="K14" s="120">
        <v>2014</v>
      </c>
      <c r="L14" s="121">
        <f t="shared" si="2"/>
        <v>0</v>
      </c>
      <c r="M14" s="102"/>
      <c r="N14" s="102"/>
      <c r="O14" s="102"/>
      <c r="P14" s="102"/>
      <c r="Q14" s="102"/>
      <c r="R14" s="102"/>
      <c r="S14" s="102"/>
      <c r="T14" s="102"/>
      <c r="U14" s="102"/>
      <c r="V14" s="102"/>
      <c r="W14" s="102"/>
      <c r="X14" s="102"/>
      <c r="Y14" s="102"/>
      <c r="Z14" s="102"/>
    </row>
    <row r="15" spans="1:26" ht="13.5" thickBot="1">
      <c r="A15" s="102"/>
      <c r="B15" s="67">
        <v>2015</v>
      </c>
      <c r="C15" s="80" cm="1">
        <f t="array" ref="C15">IF(B15&gt;current_year,"",INDEX(SSBs_h2o,B15-2006))</f>
        <v>0</v>
      </c>
      <c r="D15" s="102"/>
      <c r="E15" s="66">
        <v>2015</v>
      </c>
      <c r="F15" s="76">
        <f t="shared" si="0"/>
        <v>0</v>
      </c>
      <c r="G15" s="102"/>
      <c r="H15" s="66">
        <v>2015</v>
      </c>
      <c r="I15" s="78">
        <f t="shared" si="1"/>
        <v>0</v>
      </c>
      <c r="J15" s="102"/>
      <c r="K15" s="120">
        <v>2015</v>
      </c>
      <c r="L15" s="121">
        <f t="shared" si="2"/>
        <v>0</v>
      </c>
      <c r="M15" s="102"/>
      <c r="N15" s="102"/>
      <c r="O15" s="102"/>
      <c r="P15" s="102"/>
      <c r="Q15" s="102"/>
      <c r="R15" s="102"/>
      <c r="S15" s="102"/>
      <c r="T15" s="102"/>
      <c r="U15" s="102"/>
      <c r="V15" s="102"/>
      <c r="W15" s="102"/>
      <c r="X15" s="102"/>
      <c r="Y15" s="102"/>
      <c r="Z15" s="102"/>
    </row>
    <row r="16" spans="1:26" ht="13.5" thickBot="1">
      <c r="A16" s="102"/>
      <c r="B16" s="67">
        <v>2016</v>
      </c>
      <c r="C16" s="80" cm="1">
        <f t="array" ref="C16">IF(B16&gt;current_year,"",INDEX(SSBs_h2o,B16-2006))</f>
        <v>0</v>
      </c>
      <c r="D16" s="102"/>
      <c r="E16" s="66">
        <v>2016</v>
      </c>
      <c r="F16" s="76">
        <f t="shared" si="0"/>
        <v>0</v>
      </c>
      <c r="G16" s="102"/>
      <c r="H16" s="66">
        <v>2016</v>
      </c>
      <c r="I16" s="78">
        <f t="shared" si="1"/>
        <v>0</v>
      </c>
      <c r="J16" s="102"/>
      <c r="K16" s="120">
        <v>2016</v>
      </c>
      <c r="L16" s="121">
        <f t="shared" si="2"/>
        <v>0</v>
      </c>
      <c r="M16" s="102"/>
      <c r="N16" s="102"/>
      <c r="O16" s="102"/>
      <c r="P16" s="102"/>
      <c r="Q16" s="102"/>
      <c r="R16" s="102"/>
      <c r="S16" s="102"/>
      <c r="T16" s="102"/>
      <c r="U16" s="102"/>
      <c r="V16" s="102"/>
      <c r="W16" s="102"/>
      <c r="X16" s="102"/>
      <c r="Y16" s="102"/>
      <c r="Z16" s="102"/>
    </row>
    <row r="17" spans="1:26" ht="13.5" thickBot="1">
      <c r="A17" s="102"/>
      <c r="B17" s="67">
        <v>2017</v>
      </c>
      <c r="C17" s="80" cm="1">
        <f t="array" ref="C17">IF(B17&gt;current_year,"",INDEX(SSBs_h2o,B17-2006))</f>
        <v>0</v>
      </c>
      <c r="D17" s="102"/>
      <c r="E17" s="66">
        <v>2017</v>
      </c>
      <c r="F17" s="76">
        <f t="shared" si="0"/>
        <v>0</v>
      </c>
      <c r="G17" s="102"/>
      <c r="H17" s="66">
        <v>2017</v>
      </c>
      <c r="I17" s="78">
        <f t="shared" si="1"/>
        <v>0</v>
      </c>
      <c r="J17" s="102"/>
      <c r="K17" s="120">
        <v>2017</v>
      </c>
      <c r="L17" s="121">
        <f t="shared" si="2"/>
        <v>0</v>
      </c>
      <c r="M17" s="102"/>
      <c r="N17" s="102"/>
      <c r="O17" s="102"/>
      <c r="P17" s="102"/>
      <c r="Q17" s="102"/>
      <c r="R17" s="102"/>
      <c r="S17" s="102"/>
      <c r="T17" s="102"/>
      <c r="U17" s="102"/>
      <c r="V17" s="102"/>
      <c r="W17" s="102"/>
      <c r="X17" s="102"/>
      <c r="Y17" s="102"/>
      <c r="Z17" s="102"/>
    </row>
    <row r="18" spans="1:26" ht="13.5" thickBot="1">
      <c r="A18" s="102"/>
      <c r="B18" s="67">
        <v>2018</v>
      </c>
      <c r="C18" s="80" cm="1">
        <f t="array" ref="C18">IF(B18&gt;current_year,"",INDEX(SSBs_h2o,B18-2006))</f>
        <v>0</v>
      </c>
      <c r="D18" s="102"/>
      <c r="E18" s="66">
        <v>2018</v>
      </c>
      <c r="F18" s="76">
        <f t="shared" si="0"/>
        <v>0</v>
      </c>
      <c r="G18" s="102"/>
      <c r="H18" s="66">
        <v>2018</v>
      </c>
      <c r="I18" s="78">
        <f t="shared" ref="I18:I30" si="3">IF(F18="","",(F18*tons_co2_per_kwh))</f>
        <v>0</v>
      </c>
      <c r="J18" s="102"/>
      <c r="K18" s="120">
        <v>2018</v>
      </c>
      <c r="L18" s="121">
        <f t="shared" si="2"/>
        <v>0</v>
      </c>
      <c r="M18" s="102"/>
      <c r="N18" s="102"/>
      <c r="O18" s="102"/>
      <c r="P18" s="102"/>
      <c r="Q18" s="102"/>
      <c r="R18" s="102"/>
      <c r="S18" s="102"/>
      <c r="T18" s="102"/>
      <c r="U18" s="102"/>
      <c r="V18" s="102"/>
      <c r="W18" s="102"/>
      <c r="X18" s="102"/>
      <c r="Y18" s="102"/>
      <c r="Z18" s="102"/>
    </row>
    <row r="19" spans="1:26" ht="13.5" thickBot="1">
      <c r="A19" s="102"/>
      <c r="B19" s="67">
        <v>2019</v>
      </c>
      <c r="C19" s="80" cm="1">
        <f t="array" ref="C19">IF(B19&gt;current_year,"",INDEX(SSBs_h2o,B19-2006))</f>
        <v>0</v>
      </c>
      <c r="D19" s="102"/>
      <c r="E19" s="66">
        <v>2019</v>
      </c>
      <c r="F19" s="76">
        <f t="shared" si="0"/>
        <v>0</v>
      </c>
      <c r="G19" s="102"/>
      <c r="H19" s="66">
        <v>2019</v>
      </c>
      <c r="I19" s="78">
        <f t="shared" si="3"/>
        <v>0</v>
      </c>
      <c r="J19" s="102"/>
      <c r="K19" s="120">
        <v>2019</v>
      </c>
      <c r="L19" s="121">
        <f t="shared" si="2"/>
        <v>0</v>
      </c>
      <c r="M19" s="102"/>
      <c r="N19" s="102"/>
      <c r="O19" s="102"/>
      <c r="P19" s="102"/>
      <c r="Q19" s="102"/>
      <c r="R19" s="102"/>
      <c r="S19" s="102"/>
      <c r="T19" s="102"/>
      <c r="U19" s="102"/>
      <c r="V19" s="102"/>
      <c r="W19" s="102"/>
      <c r="X19" s="102"/>
      <c r="Y19" s="102"/>
      <c r="Z19" s="102"/>
    </row>
    <row r="20" spans="1:26" ht="13.5" thickBot="1">
      <c r="A20" s="102"/>
      <c r="B20" s="67">
        <v>2020</v>
      </c>
      <c r="C20" s="80" cm="1">
        <f t="array" ref="C20">IF(B20&gt;current_year,"",INDEX(SSBs_h2o,B20-2006))</f>
        <v>0</v>
      </c>
      <c r="D20" s="102"/>
      <c r="E20" s="66">
        <v>2020</v>
      </c>
      <c r="F20" s="76">
        <f t="shared" si="0"/>
        <v>0</v>
      </c>
      <c r="G20" s="102"/>
      <c r="H20" s="66">
        <v>2020</v>
      </c>
      <c r="I20" s="78">
        <f t="shared" si="3"/>
        <v>0</v>
      </c>
      <c r="J20" s="102"/>
      <c r="K20" s="120">
        <v>2020</v>
      </c>
      <c r="L20" s="121">
        <f t="shared" si="2"/>
        <v>0</v>
      </c>
      <c r="M20" s="102"/>
      <c r="N20" s="102"/>
      <c r="O20" s="102"/>
      <c r="P20" s="102"/>
      <c r="Q20" s="102"/>
      <c r="R20" s="102"/>
      <c r="S20" s="102"/>
      <c r="T20" s="102"/>
      <c r="U20" s="102"/>
      <c r="V20" s="102"/>
      <c r="W20" s="102"/>
      <c r="X20" s="102"/>
      <c r="Y20" s="102"/>
      <c r="Z20" s="102"/>
    </row>
    <row r="21" spans="1:26" ht="13.5" thickBot="1">
      <c r="A21" s="102"/>
      <c r="B21" s="67">
        <v>2021</v>
      </c>
      <c r="C21" s="80" cm="1">
        <f t="array" ref="C21">IF(B21&gt;current_year,"",INDEX(SSBs_h2o,B21-2006))</f>
        <v>0</v>
      </c>
      <c r="D21" s="102"/>
      <c r="E21" s="66">
        <v>2021</v>
      </c>
      <c r="F21" s="76">
        <f t="shared" si="0"/>
        <v>0</v>
      </c>
      <c r="G21" s="102"/>
      <c r="H21" s="66">
        <v>2021</v>
      </c>
      <c r="I21" s="78">
        <f t="shared" si="3"/>
        <v>0</v>
      </c>
      <c r="J21" s="102"/>
      <c r="K21" s="120">
        <v>2021</v>
      </c>
      <c r="L21" s="121">
        <f t="shared" si="2"/>
        <v>0</v>
      </c>
      <c r="M21" s="102"/>
      <c r="N21" s="102"/>
      <c r="O21" s="102"/>
      <c r="P21" s="102"/>
      <c r="Q21" s="102"/>
      <c r="R21" s="102"/>
      <c r="S21" s="102"/>
      <c r="T21" s="102"/>
      <c r="U21" s="102"/>
      <c r="V21" s="102"/>
      <c r="W21" s="102"/>
      <c r="X21" s="102"/>
      <c r="Y21" s="102"/>
      <c r="Z21" s="102"/>
    </row>
    <row r="22" spans="1:26" ht="13.5" thickBot="1">
      <c r="A22" s="102"/>
      <c r="B22" s="67">
        <v>2022</v>
      </c>
      <c r="C22" s="80" cm="1">
        <f t="array" ref="C22">IF(B22&gt;current_year,"",INDEX(SSBs_h2o,B22-2006))</f>
        <v>0</v>
      </c>
      <c r="D22" s="102"/>
      <c r="E22" s="66">
        <v>2022</v>
      </c>
      <c r="F22" s="76">
        <f t="shared" si="0"/>
        <v>0</v>
      </c>
      <c r="G22" s="102"/>
      <c r="H22" s="66">
        <v>2022</v>
      </c>
      <c r="I22" s="78">
        <f t="shared" si="3"/>
        <v>0</v>
      </c>
      <c r="J22" s="102"/>
      <c r="K22" s="120">
        <v>2022</v>
      </c>
      <c r="L22" s="121">
        <f t="shared" si="2"/>
        <v>0</v>
      </c>
      <c r="M22" s="102"/>
      <c r="N22" s="102"/>
      <c r="O22" s="102"/>
      <c r="P22" s="102"/>
      <c r="Q22" s="102"/>
      <c r="R22" s="102"/>
      <c r="S22" s="102"/>
      <c r="T22" s="102"/>
      <c r="U22" s="102"/>
      <c r="V22" s="102"/>
      <c r="W22" s="102"/>
      <c r="X22" s="102"/>
      <c r="Y22" s="102"/>
      <c r="Z22" s="102"/>
    </row>
    <row r="23" spans="1:26" ht="13.5" thickBot="1">
      <c r="A23" s="102"/>
      <c r="B23" s="67">
        <v>2023</v>
      </c>
      <c r="C23" s="80" cm="1">
        <f t="array" ref="C23">IF(B23&gt;current_year,"",INDEX(SSBs_h2o,B23-2006))</f>
        <v>0</v>
      </c>
      <c r="D23" s="102"/>
      <c r="E23" s="66">
        <v>2023</v>
      </c>
      <c r="F23" s="76">
        <f t="shared" si="0"/>
        <v>0</v>
      </c>
      <c r="G23" s="102"/>
      <c r="H23" s="66">
        <v>2023</v>
      </c>
      <c r="I23" s="78">
        <f t="shared" si="3"/>
        <v>0</v>
      </c>
      <c r="J23" s="102"/>
      <c r="K23" s="120">
        <v>2023</v>
      </c>
      <c r="L23" s="121">
        <f t="shared" si="2"/>
        <v>0</v>
      </c>
      <c r="M23" s="102"/>
      <c r="N23" s="102"/>
      <c r="O23" s="102"/>
      <c r="P23" s="102"/>
      <c r="Q23" s="102"/>
      <c r="R23" s="102"/>
      <c r="S23" s="102"/>
      <c r="T23" s="102"/>
      <c r="U23" s="102"/>
      <c r="V23" s="102"/>
      <c r="W23" s="102"/>
      <c r="X23" s="102"/>
      <c r="Y23" s="102"/>
      <c r="Z23" s="102"/>
    </row>
    <row r="24" spans="1:26" ht="13.5" thickBot="1">
      <c r="A24" s="102"/>
      <c r="B24" s="67">
        <v>2024</v>
      </c>
      <c r="C24" s="80" cm="1">
        <f t="array" ref="C24">IF(B24&gt;current_year,"",INDEX(SSBs_h2o,B24-2006))</f>
        <v>0</v>
      </c>
      <c r="D24" s="102"/>
      <c r="E24" s="66">
        <v>2024</v>
      </c>
      <c r="F24" s="76">
        <f t="shared" si="0"/>
        <v>0</v>
      </c>
      <c r="G24" s="102"/>
      <c r="H24" s="66">
        <v>2024</v>
      </c>
      <c r="I24" s="78">
        <f t="shared" si="3"/>
        <v>0</v>
      </c>
      <c r="J24" s="102"/>
      <c r="K24" s="120">
        <v>2024</v>
      </c>
      <c r="L24" s="121">
        <f t="shared" si="2"/>
        <v>0</v>
      </c>
      <c r="M24" s="102"/>
      <c r="N24" s="102"/>
      <c r="O24" s="102"/>
      <c r="P24" s="102"/>
      <c r="Q24" s="102"/>
      <c r="R24" s="102"/>
      <c r="S24" s="102"/>
      <c r="T24" s="102"/>
      <c r="U24" s="102"/>
      <c r="V24" s="102"/>
      <c r="W24" s="102"/>
      <c r="X24" s="102"/>
      <c r="Y24" s="102"/>
      <c r="Z24" s="102"/>
    </row>
    <row r="25" spans="1:26" ht="13.5" thickBot="1">
      <c r="A25" s="102"/>
      <c r="B25" s="67">
        <v>2025</v>
      </c>
      <c r="C25" s="80" t="str" cm="1">
        <f t="array" ref="C25">IF(B25&gt;current_year,"",INDEX(SSBs_h2o,B25-2006))</f>
        <v/>
      </c>
      <c r="D25" s="102"/>
      <c r="E25" s="66">
        <v>2025</v>
      </c>
      <c r="F25" s="76" t="str">
        <f t="shared" si="0"/>
        <v/>
      </c>
      <c r="G25" s="102"/>
      <c r="H25" s="66">
        <v>2025</v>
      </c>
      <c r="I25" s="78" t="str">
        <f t="shared" si="3"/>
        <v/>
      </c>
      <c r="J25" s="102"/>
      <c r="K25" s="120">
        <v>2025</v>
      </c>
      <c r="L25" s="121" t="str">
        <f t="shared" si="2"/>
        <v/>
      </c>
      <c r="M25" s="102"/>
      <c r="N25" s="102"/>
      <c r="O25" s="102"/>
      <c r="P25" s="102"/>
      <c r="Q25" s="102"/>
      <c r="R25" s="102"/>
      <c r="S25" s="102"/>
      <c r="T25" s="102"/>
      <c r="U25" s="102"/>
      <c r="V25" s="102"/>
      <c r="W25" s="102"/>
      <c r="X25" s="102"/>
      <c r="Y25" s="102"/>
      <c r="Z25" s="102"/>
    </row>
    <row r="26" spans="1:26" ht="13.5" thickBot="1">
      <c r="A26" s="102"/>
      <c r="B26" s="67">
        <v>2026</v>
      </c>
      <c r="C26" s="80" t="str" cm="1">
        <f t="array" ref="C26">IF(B26&gt;current_year,"",INDEX(SSBs_h2o,B26-2006))</f>
        <v/>
      </c>
      <c r="D26" s="102"/>
      <c r="E26" s="66">
        <v>2026</v>
      </c>
      <c r="F26" s="76" t="str">
        <f t="shared" si="0"/>
        <v/>
      </c>
      <c r="G26" s="102"/>
      <c r="H26" s="66">
        <v>2026</v>
      </c>
      <c r="I26" s="78" t="str">
        <f t="shared" si="3"/>
        <v/>
      </c>
      <c r="J26" s="102"/>
      <c r="K26" s="120">
        <v>2026</v>
      </c>
      <c r="L26" s="121" t="str">
        <f t="shared" si="2"/>
        <v/>
      </c>
      <c r="M26" s="102"/>
      <c r="N26" s="102"/>
      <c r="O26" s="102"/>
      <c r="P26" s="102"/>
      <c r="Q26" s="102"/>
      <c r="R26" s="102"/>
      <c r="S26" s="102"/>
      <c r="T26" s="102"/>
      <c r="U26" s="102"/>
      <c r="V26" s="102"/>
      <c r="W26" s="102"/>
      <c r="X26" s="102"/>
      <c r="Y26" s="102"/>
      <c r="Z26" s="102"/>
    </row>
    <row r="27" spans="1:26" ht="13.5" thickBot="1">
      <c r="A27" s="102"/>
      <c r="B27" s="67">
        <v>2027</v>
      </c>
      <c r="C27" s="80" t="str" cm="1">
        <f t="array" ref="C27">IF(B27&gt;current_year,"",INDEX(SSBs_h2o,B27-2006))</f>
        <v/>
      </c>
      <c r="D27" s="102"/>
      <c r="E27" s="66">
        <v>2027</v>
      </c>
      <c r="F27" s="76" t="str">
        <f t="shared" si="0"/>
        <v/>
      </c>
      <c r="G27" s="102"/>
      <c r="H27" s="66">
        <v>2027</v>
      </c>
      <c r="I27" s="78" t="str">
        <f t="shared" si="3"/>
        <v/>
      </c>
      <c r="J27" s="102"/>
      <c r="K27" s="120">
        <v>2027</v>
      </c>
      <c r="L27" s="121" t="str">
        <f t="shared" si="2"/>
        <v/>
      </c>
      <c r="M27" s="102"/>
      <c r="N27" s="102"/>
      <c r="O27" s="102"/>
      <c r="P27" s="102"/>
      <c r="Q27" s="102"/>
      <c r="R27" s="102"/>
      <c r="S27" s="102"/>
      <c r="T27" s="102"/>
      <c r="U27" s="102"/>
      <c r="V27" s="102"/>
      <c r="W27" s="102"/>
      <c r="X27" s="102"/>
      <c r="Y27" s="102"/>
      <c r="Z27" s="102"/>
    </row>
    <row r="28" spans="1:26" ht="13.5" thickBot="1">
      <c r="A28" s="102"/>
      <c r="B28" s="67">
        <v>2028</v>
      </c>
      <c r="C28" s="80" t="str" cm="1">
        <f t="array" ref="C28">IF(B28&gt;current_year,"",INDEX(SSBs_h2o,B28-2006))</f>
        <v/>
      </c>
      <c r="D28" s="102"/>
      <c r="E28" s="66">
        <v>2028</v>
      </c>
      <c r="F28" s="76" t="str">
        <f t="shared" si="0"/>
        <v/>
      </c>
      <c r="G28" s="102"/>
      <c r="H28" s="66">
        <v>2028</v>
      </c>
      <c r="I28" s="78" t="str">
        <f t="shared" si="3"/>
        <v/>
      </c>
      <c r="J28" s="102"/>
      <c r="K28" s="120">
        <v>2028</v>
      </c>
      <c r="L28" s="121" t="str">
        <f t="shared" si="2"/>
        <v/>
      </c>
      <c r="M28" s="102"/>
      <c r="N28" s="102"/>
      <c r="O28" s="102"/>
      <c r="P28" s="102"/>
      <c r="Q28" s="102"/>
      <c r="R28" s="102"/>
      <c r="S28" s="102"/>
      <c r="T28" s="102"/>
      <c r="U28" s="102"/>
      <c r="V28" s="102"/>
      <c r="W28" s="102"/>
      <c r="X28" s="102"/>
      <c r="Y28" s="102"/>
      <c r="Z28" s="102"/>
    </row>
    <row r="29" spans="1:26" ht="13.5" thickBot="1">
      <c r="A29" s="102"/>
      <c r="B29" s="67">
        <v>2029</v>
      </c>
      <c r="C29" s="80" t="str" cm="1">
        <f t="array" ref="C29">IF(B29&gt;current_year,"",INDEX(SSBs_h2o,B29-2006))</f>
        <v/>
      </c>
      <c r="D29" s="102"/>
      <c r="E29" s="66">
        <v>2029</v>
      </c>
      <c r="F29" s="76" t="str">
        <f t="shared" si="0"/>
        <v/>
      </c>
      <c r="G29" s="102"/>
      <c r="H29" s="66">
        <v>2029</v>
      </c>
      <c r="I29" s="78" t="str">
        <f t="shared" si="3"/>
        <v/>
      </c>
      <c r="J29" s="102"/>
      <c r="K29" s="120">
        <v>2029</v>
      </c>
      <c r="L29" s="121" t="str">
        <f t="shared" si="2"/>
        <v/>
      </c>
      <c r="M29" s="102"/>
      <c r="N29" s="102"/>
      <c r="O29" s="102"/>
      <c r="P29" s="102"/>
      <c r="Q29" s="102"/>
      <c r="R29" s="102"/>
      <c r="S29" s="102"/>
      <c r="T29" s="102"/>
      <c r="U29" s="102"/>
      <c r="V29" s="102"/>
      <c r="W29" s="102"/>
      <c r="X29" s="102"/>
      <c r="Y29" s="102"/>
      <c r="Z29" s="102"/>
    </row>
    <row r="30" spans="1:26" ht="13.5" thickBot="1">
      <c r="A30" s="102"/>
      <c r="B30" s="67">
        <v>2030</v>
      </c>
      <c r="C30" s="80" t="str" cm="1">
        <f t="array" ref="C30">IF(B30&gt;current_year,"",INDEX(SSBs_h2o,B30-2006))</f>
        <v/>
      </c>
      <c r="D30" s="102"/>
      <c r="E30" s="66">
        <v>2030</v>
      </c>
      <c r="F30" s="76" t="str">
        <f t="shared" si="0"/>
        <v/>
      </c>
      <c r="G30" s="102"/>
      <c r="H30" s="66">
        <v>2030</v>
      </c>
      <c r="I30" s="79" t="str">
        <f t="shared" si="3"/>
        <v/>
      </c>
      <c r="J30" s="102"/>
      <c r="K30" s="120">
        <v>2030</v>
      </c>
      <c r="L30" s="121" t="str">
        <f t="shared" si="2"/>
        <v/>
      </c>
      <c r="M30" s="102"/>
      <c r="N30" s="102"/>
      <c r="O30" s="102"/>
      <c r="P30" s="102"/>
      <c r="Q30" s="102"/>
      <c r="R30" s="102"/>
      <c r="S30" s="102"/>
      <c r="T30" s="102"/>
      <c r="U30" s="102"/>
      <c r="V30" s="102"/>
      <c r="W30" s="102"/>
      <c r="X30" s="102"/>
      <c r="Y30" s="102"/>
      <c r="Z30" s="102"/>
    </row>
    <row r="31" spans="1:26">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row>
    <row r="32" spans="1:26">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1:26">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34" spans="1:26">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row>
    <row r="35" spans="1:26">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row>
    <row r="36" spans="1:26">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row>
    <row r="37" spans="1:26">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row>
    <row r="38" spans="1:26">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row>
    <row r="39" spans="1:26">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row>
    <row r="40" spans="1:26">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row>
    <row r="41" spans="1:26">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row>
    <row r="42" spans="1:26">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row>
    <row r="43" spans="1:26">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row>
    <row r="44" spans="1:26">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row>
    <row r="45" spans="1:26">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row>
    <row r="46" spans="1:26">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1:26">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row>
    <row r="48" spans="1:26">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row>
    <row r="49" spans="1:26">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row>
    <row r="51" spans="1:26">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1:26">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row>
    <row r="53" spans="1:26">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row>
    <row r="54" spans="1:26">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row>
    <row r="55" spans="1:26">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row>
    <row r="56" spans="1:26">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row>
    <row r="57" spans="1:26">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row>
    <row r="58" spans="1:26">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row>
    <row r="59" spans="1:26">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row>
    <row r="60" spans="1:26">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row>
    <row r="61" spans="1:26">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row>
    <row r="62" spans="1:26">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row>
    <row r="63" spans="1:26">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row>
    <row r="64" spans="1:26">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row>
    <row r="65" spans="1:26">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row>
    <row r="66" spans="1:26">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row>
    <row r="67" spans="1:26">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row>
    <row r="68" spans="1:26">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row>
    <row r="69" spans="1:26">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row>
    <row r="70" spans="1:26">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row>
    <row r="71" spans="1:26">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row>
    <row r="72" spans="1:26">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row>
    <row r="73" spans="1:26">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row>
    <row r="74" spans="1:26">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row>
    <row r="75" spans="1:26">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row>
    <row r="76" spans="1:26">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row>
    <row r="77" spans="1:26">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row>
    <row r="78" spans="1:26">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row>
    <row r="79" spans="1:26">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row>
    <row r="80" spans="1:26">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row>
    <row r="81" spans="1:26">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row>
    <row r="82" spans="1:26">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row>
    <row r="83" spans="1:26" ht="13.5" customHeight="1">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row>
    <row r="84" spans="1:26">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row>
    <row r="85" spans="1:26">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row>
    <row r="86" spans="1:26">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row>
    <row r="87" spans="1:26">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row>
    <row r="88" spans="1:26">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row>
    <row r="89" spans="1:26">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row>
    <row r="90" spans="1:26">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row>
    <row r="91" spans="1:26">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row>
    <row r="92" spans="1:26">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row>
    <row r="93" spans="1:26">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row>
    <row r="94" spans="1:26">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row>
    <row r="95" spans="1:26">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row>
    <row r="96" spans="1:26">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row>
    <row r="97" spans="1:26">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row>
    <row r="98" spans="1:26">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row>
    <row r="99" spans="1:26">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row>
  </sheetData>
  <phoneticPr fontId="43"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A771E-FF3C-4144-9A01-ADB6BAEB7634}">
  <sheetPr>
    <tabColor theme="6" tint="0.39997558519241921"/>
  </sheetPr>
  <dimension ref="A1:BA26"/>
  <sheetViews>
    <sheetView showGridLines="0" workbookViewId="0">
      <selection activeCell="C7" sqref="C7"/>
    </sheetView>
  </sheetViews>
  <sheetFormatPr defaultRowHeight="12.75"/>
  <cols>
    <col min="2" max="2" width="25.7109375" bestFit="1" customWidth="1"/>
  </cols>
  <sheetData>
    <row r="1" spans="1:53">
      <c r="B1" s="318" t="s">
        <v>254</v>
      </c>
      <c r="C1" s="414" t="s">
        <v>255</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6"/>
    </row>
    <row r="2" spans="1:53">
      <c r="A2" s="226" t="s">
        <v>11</v>
      </c>
      <c r="B2" s="228" t="s">
        <v>256</v>
      </c>
      <c r="C2" s="228" t="s">
        <v>102</v>
      </c>
      <c r="D2" s="228" t="s">
        <v>103</v>
      </c>
      <c r="E2" s="228" t="s">
        <v>104</v>
      </c>
      <c r="F2" s="228" t="s">
        <v>105</v>
      </c>
      <c r="G2" s="228" t="s">
        <v>106</v>
      </c>
      <c r="H2" s="228" t="s">
        <v>107</v>
      </c>
      <c r="I2" s="228" t="s">
        <v>108</v>
      </c>
      <c r="J2" s="228" t="s">
        <v>109</v>
      </c>
      <c r="K2" s="228" t="s">
        <v>110</v>
      </c>
      <c r="L2" s="228" t="s">
        <v>111</v>
      </c>
      <c r="M2" s="228" t="s">
        <v>112</v>
      </c>
      <c r="N2" s="228" t="s">
        <v>113</v>
      </c>
      <c r="O2" s="228" t="s">
        <v>114</v>
      </c>
      <c r="P2" s="228" t="s">
        <v>115</v>
      </c>
      <c r="Q2" s="228" t="s">
        <v>116</v>
      </c>
      <c r="R2" s="228" t="s">
        <v>117</v>
      </c>
      <c r="S2" s="228" t="s">
        <v>118</v>
      </c>
      <c r="T2" s="228" t="s">
        <v>119</v>
      </c>
      <c r="U2" s="228" t="s">
        <v>120</v>
      </c>
      <c r="V2" s="228" t="s">
        <v>121</v>
      </c>
      <c r="W2" s="228" t="s">
        <v>122</v>
      </c>
      <c r="X2" s="228" t="s">
        <v>123</v>
      </c>
      <c r="Y2" s="228" t="s">
        <v>124</v>
      </c>
      <c r="Z2" s="228" t="s">
        <v>125</v>
      </c>
      <c r="AA2" s="228" t="s">
        <v>126</v>
      </c>
      <c r="AB2" s="228" t="s">
        <v>127</v>
      </c>
      <c r="AC2" s="228" t="s">
        <v>128</v>
      </c>
      <c r="AD2" s="228" t="s">
        <v>129</v>
      </c>
      <c r="AE2" s="228" t="s">
        <v>130</v>
      </c>
      <c r="AF2" s="228" t="s">
        <v>131</v>
      </c>
      <c r="AG2" s="228" t="s">
        <v>132</v>
      </c>
      <c r="AH2" s="228" t="s">
        <v>133</v>
      </c>
      <c r="AI2" s="228" t="s">
        <v>134</v>
      </c>
      <c r="AJ2" s="228" t="s">
        <v>135</v>
      </c>
      <c r="AK2" s="228" t="s">
        <v>136</v>
      </c>
      <c r="AL2" s="228" t="s">
        <v>137</v>
      </c>
      <c r="AM2" s="228" t="s">
        <v>138</v>
      </c>
      <c r="AN2" s="228" t="s">
        <v>139</v>
      </c>
      <c r="AO2" s="228" t="s">
        <v>140</v>
      </c>
      <c r="AP2" s="228" t="s">
        <v>141</v>
      </c>
      <c r="AQ2" s="228" t="s">
        <v>142</v>
      </c>
      <c r="AR2" s="228" t="s">
        <v>143</v>
      </c>
      <c r="AS2" s="228" t="s">
        <v>144</v>
      </c>
      <c r="AT2" s="228" t="s">
        <v>145</v>
      </c>
      <c r="AU2" s="228" t="s">
        <v>146</v>
      </c>
      <c r="AV2" s="228" t="s">
        <v>147</v>
      </c>
      <c r="AW2" s="228" t="s">
        <v>148</v>
      </c>
      <c r="AX2" s="228" t="s">
        <v>149</v>
      </c>
      <c r="AY2" s="228" t="s">
        <v>150</v>
      </c>
      <c r="AZ2" s="228" t="s">
        <v>151</v>
      </c>
      <c r="BA2" s="228" t="s">
        <v>152</v>
      </c>
    </row>
    <row r="3" spans="1:53">
      <c r="A3" s="228">
        <v>2007</v>
      </c>
      <c r="B3">
        <f>lbs_mWh!B3*0.000453592*10^-3</f>
        <v>5.8951596838959994E-4</v>
      </c>
      <c r="C3">
        <f>lbs_mWh!C3*0.000453592*10^-3</f>
        <v>6.0356756816159996E-4</v>
      </c>
      <c r="D3">
        <f>lbs_mWh!D3*0.000453592*10^-3</f>
        <v>5.1591027913280006E-4</v>
      </c>
      <c r="E3">
        <f>lbs_mWh!E3*0.000453592*10^-3</f>
        <v>5.3705968652079995E-4</v>
      </c>
      <c r="F3">
        <f>lbs_mWh!F3*0.000453592*10^-3</f>
        <v>5.474833667584001E-4</v>
      </c>
      <c r="G3">
        <f>lbs_mWh!G3*0.000453592*10^-3</f>
        <v>2.5755969806080006E-4</v>
      </c>
      <c r="H3">
        <f>lbs_mWh!H3*0.000453592*10^-3</f>
        <v>8.2363049387280008E-4</v>
      </c>
      <c r="I3">
        <f>lbs_mWh!I3*0.000453592*10^-3</f>
        <v>3.1557275408479994E-4</v>
      </c>
      <c r="J3">
        <f>lbs_mWh!J3*0.000453592*10^-3</f>
        <v>8.220072241824E-4</v>
      </c>
      <c r="K3">
        <f>lbs_mWh!K3*0.000453592*10^-3</f>
        <v>1.2662901102072001E-3</v>
      </c>
      <c r="L3">
        <f>lbs_mWh!L3*0.000453592*10^-3</f>
        <v>5.7298322037759996E-4</v>
      </c>
      <c r="M3">
        <f>lbs_mWh!M3*0.000453592*10^-3</f>
        <v>6.3968324358959993E-4</v>
      </c>
      <c r="N3">
        <f>lbs_mWh!N3*0.000453592*10^-3</f>
        <v>7.0425496777840003E-4</v>
      </c>
      <c r="O3">
        <f>lbs_mWh!O3*0.000453592*10^-3</f>
        <v>6.38236602624E-5</v>
      </c>
      <c r="P3">
        <f>lbs_mWh!P3*0.000453592*10^-3</f>
        <v>5.0463638605039991E-4</v>
      </c>
      <c r="Q3">
        <f>lbs_mWh!Q3*0.000453592*10^-3</f>
        <v>9.3553136811760007E-4</v>
      </c>
      <c r="R3">
        <f>lbs_mWh!R3*0.000453592*10^-3</f>
        <v>8.1223526493040001E-4</v>
      </c>
      <c r="S3">
        <f>lbs_mWh!S3*0.000453592*10^-3</f>
        <v>7.847704507672E-4</v>
      </c>
      <c r="T3">
        <f>lbs_mWh!T3*0.000453592*10^-3</f>
        <v>9.5565747195360006E-4</v>
      </c>
      <c r="U3">
        <f>lbs_mWh!U3*0.000453592*10^-3</f>
        <v>4.9292128402959998E-4</v>
      </c>
      <c r="V3">
        <f>lbs_mWh!V3*0.000453592*10^-3</f>
        <v>2.4528976230559998E-4</v>
      </c>
      <c r="W3">
        <f>lbs_mWh!W3*0.000453592*10^-3</f>
        <v>6.1031261727919998E-4</v>
      </c>
      <c r="X3">
        <f>lbs_mWh!X3*0.000453592*10^-3</f>
        <v>5.4679989433279992E-4</v>
      </c>
      <c r="Y3">
        <f>lbs_mWh!Y3*0.000453592*10^-3</f>
        <v>6.4630618574080005E-4</v>
      </c>
      <c r="Z3">
        <f>lbs_mWh!Z3*0.000453592*10^-3</f>
        <v>6.946211726496E-4</v>
      </c>
      <c r="AA3">
        <f>lbs_mWh!AA3*0.000453592*10^-3</f>
        <v>5.6235047958720001E-4</v>
      </c>
      <c r="AB3">
        <f>lbs_mWh!AB3*0.000453592*10^-3</f>
        <v>8.1302832518320006E-4</v>
      </c>
      <c r="AC3">
        <f>lbs_mWh!AC3*0.000453592*10^-3</f>
        <v>7.3625388757359998E-4</v>
      </c>
      <c r="AD3">
        <f>lbs_mWh!AD3*0.000453592*10^-3</f>
        <v>6.5117685663680007E-4</v>
      </c>
      <c r="AE3">
        <f>lbs_mWh!AE3*0.000453592*10^-3</f>
        <v>5.2868098045600004E-4</v>
      </c>
      <c r="AF3">
        <f>lbs_mWh!AF3*0.000453592*10^-3</f>
        <v>3.0332132488320005E-4</v>
      </c>
      <c r="AG3">
        <f>lbs_mWh!AG3*0.000453592*10^-3</f>
        <v>3.1899587683120002E-4</v>
      </c>
      <c r="AH3">
        <f>lbs_mWh!AH3*0.000453592*10^-3</f>
        <v>8.1566396685840009E-4</v>
      </c>
      <c r="AI3">
        <f>lbs_mWh!AI3*0.000453592*10^-3</f>
        <v>3.4313772136159999E-4</v>
      </c>
      <c r="AJ3">
        <f>lbs_mWh!AJ3*0.000453592*10^-3</f>
        <v>5.633094184344001E-4</v>
      </c>
      <c r="AK3">
        <f>lbs_mWh!AK3*0.000453592*10^-3</f>
        <v>1.0170172204720001E-3</v>
      </c>
      <c r="AL3">
        <f>lbs_mWh!AL3*0.000453592*10^-3</f>
        <v>8.2438513488319995E-4</v>
      </c>
      <c r="AM3">
        <f>lbs_mWh!AM3*0.000453592*10^-3</f>
        <v>6.7644764629600006E-4</v>
      </c>
      <c r="AN3">
        <f>lbs_mWh!AN3*0.000453592*10^-3</f>
        <v>1.872061727256E-4</v>
      </c>
      <c r="AO3">
        <f>lbs_mWh!AO3*0.000453592*10^-3</f>
        <v>5.5098627633759999E-4</v>
      </c>
      <c r="AP3">
        <f>lbs_mWh!AP3*0.000453592*10^-3</f>
        <v>4.1246268147760004E-4</v>
      </c>
      <c r="AQ3">
        <f>lbs_mWh!AQ3*0.000453592*10^-3</f>
        <v>4.1389426318880001E-4</v>
      </c>
      <c r="AR3">
        <f>lbs_mWh!AR3*0.000453592*10^-3</f>
        <v>5.5932697139279993E-4</v>
      </c>
      <c r="AS3">
        <f>lbs_mWh!AS3*0.000453592*10^-3</f>
        <v>6.1901496123599996E-4</v>
      </c>
      <c r="AT3">
        <f>lbs_mWh!AT3*0.000453592*10^-3</f>
        <v>5.9524297562240009E-4</v>
      </c>
      <c r="AU3">
        <f>lbs_mWh!AU3*0.000453592*10^-3</f>
        <v>8.8251934533040014E-4</v>
      </c>
      <c r="AV3">
        <f>lbs_mWh!AV3*0.000453592*10^-3</f>
        <v>3.8326256040000005E-6</v>
      </c>
      <c r="AW3">
        <f>lbs_mWh!AW3*0.000453592*10^-3</f>
        <v>5.1929888352800007E-4</v>
      </c>
      <c r="AX3">
        <f>lbs_mWh!AX3*0.000453592*10^-3</f>
        <v>1.1827034918639999E-4</v>
      </c>
      <c r="AY3">
        <f>lbs_mWh!AY3*0.000453592*10^-3</f>
        <v>8.9708831213760004E-4</v>
      </c>
      <c r="AZ3">
        <f>lbs_mWh!AZ3*0.000453592*10^-3</f>
        <v>7.2599014387519998E-4</v>
      </c>
      <c r="BA3">
        <f>lbs_mWh!BA3*0.000453592*10^-3</f>
        <v>1.0208498460759999E-3</v>
      </c>
    </row>
    <row r="4" spans="1:53">
      <c r="A4" s="226">
        <v>2008</v>
      </c>
      <c r="B4">
        <f>lbs_mWh!B4*0.000453592*10^-3</f>
        <v>5.8951596838959994E-4</v>
      </c>
      <c r="C4">
        <f>lbs_mWh!C4*0.000453592*10^-3</f>
        <v>6.0356756816159996E-4</v>
      </c>
      <c r="D4">
        <f>lbs_mWh!D4*0.000453592*10^-3</f>
        <v>5.1591027913280006E-4</v>
      </c>
      <c r="E4">
        <f>lbs_mWh!E4*0.000453592*10^-3</f>
        <v>5.3705968652079995E-4</v>
      </c>
      <c r="F4">
        <f>lbs_mWh!F4*0.000453592*10^-3</f>
        <v>5.474833667584001E-4</v>
      </c>
      <c r="G4">
        <f>lbs_mWh!G4*0.000453592*10^-3</f>
        <v>2.5755969806080006E-4</v>
      </c>
      <c r="H4">
        <f>lbs_mWh!H4*0.000453592*10^-3</f>
        <v>8.2363049387280008E-4</v>
      </c>
      <c r="I4">
        <f>lbs_mWh!I4*0.000453592*10^-3</f>
        <v>3.1557275408479994E-4</v>
      </c>
      <c r="J4">
        <f>lbs_mWh!J4*0.000453592*10^-3</f>
        <v>8.220072241824E-4</v>
      </c>
      <c r="K4">
        <f>lbs_mWh!K4*0.000453592*10^-3</f>
        <v>1.2662901102072001E-3</v>
      </c>
      <c r="L4">
        <f>lbs_mWh!L4*0.000453592*10^-3</f>
        <v>5.7298322037759996E-4</v>
      </c>
      <c r="M4">
        <f>lbs_mWh!M4*0.000453592*10^-3</f>
        <v>6.3968324358959993E-4</v>
      </c>
      <c r="N4">
        <f>lbs_mWh!N4*0.000453592*10^-3</f>
        <v>7.0425496777840003E-4</v>
      </c>
      <c r="O4">
        <f>lbs_mWh!O4*0.000453592*10^-3</f>
        <v>6.38236602624E-5</v>
      </c>
      <c r="P4">
        <f>lbs_mWh!P4*0.000453592*10^-3</f>
        <v>5.0463638605039991E-4</v>
      </c>
      <c r="Q4">
        <f>lbs_mWh!Q4*0.000453592*10^-3</f>
        <v>9.3553136811760007E-4</v>
      </c>
      <c r="R4">
        <f>lbs_mWh!R4*0.000453592*10^-3</f>
        <v>8.1223526493040001E-4</v>
      </c>
      <c r="S4">
        <f>lbs_mWh!S4*0.000453592*10^-3</f>
        <v>7.847704507672E-4</v>
      </c>
      <c r="T4">
        <f>lbs_mWh!T4*0.000453592*10^-3</f>
        <v>9.5565747195360006E-4</v>
      </c>
      <c r="U4">
        <f>lbs_mWh!U4*0.000453592*10^-3</f>
        <v>4.9292128402959998E-4</v>
      </c>
      <c r="V4">
        <f>lbs_mWh!V4*0.000453592*10^-3</f>
        <v>2.4528976230559998E-4</v>
      </c>
      <c r="W4">
        <f>lbs_mWh!W4*0.000453592*10^-3</f>
        <v>6.1031261727919998E-4</v>
      </c>
      <c r="X4">
        <f>lbs_mWh!X4*0.000453592*10^-3</f>
        <v>5.4679989433279992E-4</v>
      </c>
      <c r="Y4">
        <f>lbs_mWh!Y4*0.000453592*10^-3</f>
        <v>6.4630618574080005E-4</v>
      </c>
      <c r="Z4">
        <f>lbs_mWh!Z4*0.000453592*10^-3</f>
        <v>6.946211726496E-4</v>
      </c>
      <c r="AA4">
        <f>lbs_mWh!AA4*0.000453592*10^-3</f>
        <v>5.6235047958720001E-4</v>
      </c>
      <c r="AB4">
        <f>lbs_mWh!AB4*0.000453592*10^-3</f>
        <v>8.1302832518320006E-4</v>
      </c>
      <c r="AC4">
        <f>lbs_mWh!AC4*0.000453592*10^-3</f>
        <v>7.3625388757359998E-4</v>
      </c>
      <c r="AD4">
        <f>lbs_mWh!AD4*0.000453592*10^-3</f>
        <v>6.5117685663680007E-4</v>
      </c>
      <c r="AE4">
        <f>lbs_mWh!AE4*0.000453592*10^-3</f>
        <v>5.2868098045600004E-4</v>
      </c>
      <c r="AF4">
        <f>lbs_mWh!AF4*0.000453592*10^-3</f>
        <v>3.0332132488320005E-4</v>
      </c>
      <c r="AG4">
        <f>lbs_mWh!AG4*0.000453592*10^-3</f>
        <v>3.1899587683120002E-4</v>
      </c>
      <c r="AH4">
        <f>lbs_mWh!AH4*0.000453592*10^-3</f>
        <v>8.1566396685840009E-4</v>
      </c>
      <c r="AI4">
        <f>lbs_mWh!AI4*0.000453592*10^-3</f>
        <v>3.4313772136159999E-4</v>
      </c>
      <c r="AJ4">
        <f>lbs_mWh!AJ4*0.000453592*10^-3</f>
        <v>5.633094184344001E-4</v>
      </c>
      <c r="AK4">
        <f>lbs_mWh!AK4*0.000453592*10^-3</f>
        <v>1.0170172204720001E-3</v>
      </c>
      <c r="AL4">
        <f>lbs_mWh!AL4*0.000453592*10^-3</f>
        <v>8.2438513488319995E-4</v>
      </c>
      <c r="AM4">
        <f>lbs_mWh!AM4*0.000453592*10^-3</f>
        <v>6.7644764629600006E-4</v>
      </c>
      <c r="AN4">
        <f>lbs_mWh!AN4*0.000453592*10^-3</f>
        <v>1.872061727256E-4</v>
      </c>
      <c r="AO4">
        <f>lbs_mWh!AO4*0.000453592*10^-3</f>
        <v>5.5098627633759999E-4</v>
      </c>
      <c r="AP4">
        <f>lbs_mWh!AP4*0.000453592*10^-3</f>
        <v>4.1246268147760004E-4</v>
      </c>
      <c r="AQ4">
        <f>lbs_mWh!AQ4*0.000453592*10^-3</f>
        <v>4.1389426318880001E-4</v>
      </c>
      <c r="AR4">
        <f>lbs_mWh!AR4*0.000453592*10^-3</f>
        <v>5.5932697139279993E-4</v>
      </c>
      <c r="AS4">
        <f>lbs_mWh!AS4*0.000453592*10^-3</f>
        <v>6.1901496123599996E-4</v>
      </c>
      <c r="AT4">
        <f>lbs_mWh!AT4*0.000453592*10^-3</f>
        <v>5.9524297562240009E-4</v>
      </c>
      <c r="AU4">
        <f>lbs_mWh!AU4*0.000453592*10^-3</f>
        <v>8.8251934533040014E-4</v>
      </c>
      <c r="AV4">
        <f>lbs_mWh!AV4*0.000453592*10^-3</f>
        <v>3.8326256040000005E-6</v>
      </c>
      <c r="AW4">
        <f>lbs_mWh!AW4*0.000453592*10^-3</f>
        <v>5.1929888352800007E-4</v>
      </c>
      <c r="AX4">
        <f>lbs_mWh!AX4*0.000453592*10^-3</f>
        <v>1.1827034918639999E-4</v>
      </c>
      <c r="AY4">
        <f>lbs_mWh!AY4*0.000453592*10^-3</f>
        <v>8.9708831213760004E-4</v>
      </c>
      <c r="AZ4">
        <f>lbs_mWh!AZ4*0.000453592*10^-3</f>
        <v>7.2599014387519998E-4</v>
      </c>
      <c r="BA4">
        <f>lbs_mWh!BA4*0.000453592*10^-3</f>
        <v>1.0208498460759999E-3</v>
      </c>
    </row>
    <row r="5" spans="1:53">
      <c r="A5" s="228">
        <v>2009</v>
      </c>
      <c r="B5">
        <f>lbs_mWh!B5*0.000453592*10^-3</f>
        <v>5.5441987705920001E-4</v>
      </c>
      <c r="C5">
        <f>lbs_mWh!C5*0.000453592*10^-3</f>
        <v>4.7450848789600003E-4</v>
      </c>
      <c r="D5">
        <f>lbs_mWh!D5*0.000453592*10^-3</f>
        <v>5.1209312101599999E-4</v>
      </c>
      <c r="E5">
        <f>lbs_mWh!E5*0.000453592*10^-3</f>
        <v>4.9413114997119993E-4</v>
      </c>
      <c r="F5">
        <f>lbs_mWh!F5*0.000453592*10^-3</f>
        <v>5.0729751959599999E-4</v>
      </c>
      <c r="G5">
        <f>lbs_mWh!G5*0.000453592*10^-3</f>
        <v>2.5332201480080002E-4</v>
      </c>
      <c r="H5">
        <f>lbs_mWh!H5*0.000453592*10^-3</f>
        <v>7.9150048598960001E-4</v>
      </c>
      <c r="I5">
        <f>lbs_mWh!I5*0.000453592*10^-3</f>
        <v>2.6370124302240003E-4</v>
      </c>
      <c r="J5">
        <f>lbs_mWh!J5*0.000453592*10^-3</f>
        <v>8.1787386708240012E-4</v>
      </c>
      <c r="K5">
        <f>lbs_mWh!K5*0.000453592*10^-3</f>
        <v>1.1310524718728002E-3</v>
      </c>
      <c r="L5">
        <f>lbs_mWh!L5*0.000453592*10^-3</f>
        <v>5.4310316489200009E-4</v>
      </c>
      <c r="M5">
        <f>lbs_mWh!M5*0.000453592*10^-3</f>
        <v>5.8636654305599997E-4</v>
      </c>
      <c r="N5">
        <f>lbs_mWh!N5*0.000453592*10^-3</f>
        <v>6.9633806372880003E-4</v>
      </c>
      <c r="O5">
        <f>lbs_mWh!O5*0.000453592*10^-3</f>
        <v>5.4680515600000003E-5</v>
      </c>
      <c r="P5">
        <f>lbs_mWh!P5*0.000453592*10^-3</f>
        <v>4.8692162264559998E-4</v>
      </c>
      <c r="Q5">
        <f>lbs_mWh!Q5*0.000453592*10^-3</f>
        <v>9.2740463240879997E-4</v>
      </c>
      <c r="R5">
        <f>lbs_mWh!R5*0.000453592*10^-3</f>
        <v>7.4115953041280008E-4</v>
      </c>
      <c r="S5">
        <f>lbs_mWh!S5*0.000453592*10^-3</f>
        <v>7.631961637528E-4</v>
      </c>
      <c r="T5">
        <f>lbs_mWh!T5*0.000453592*10^-3</f>
        <v>9.3302708668560001E-4</v>
      </c>
      <c r="U5">
        <f>lbs_mWh!U5*0.000453592*10^-3</f>
        <v>5.1370967754479999E-4</v>
      </c>
      <c r="V5">
        <f>lbs_mWh!V5*0.000453592*10^-3</f>
        <v>2.313021643648E-4</v>
      </c>
      <c r="W5">
        <f>lbs_mWh!W5*0.000453592*10^-3</f>
        <v>5.6215058159279994E-4</v>
      </c>
      <c r="X5">
        <f>lbs_mWh!X5*0.000453592*10^-3</f>
        <v>5.0827868445119996E-4</v>
      </c>
      <c r="Y5">
        <f>lbs_mWh!Y5*0.000453592*10^-3</f>
        <v>6.9527860889439998E-4</v>
      </c>
      <c r="Z5">
        <f>lbs_mWh!Z5*0.000453592*10^-3</f>
        <v>6.3776790601039997E-4</v>
      </c>
      <c r="AA5">
        <f>lbs_mWh!AA5*0.000453592*10^-3</f>
        <v>5.0219297666479997E-4</v>
      </c>
      <c r="AB5">
        <f>lbs_mWh!AB5*0.000453592*10^-3</f>
        <v>8.2424960159360012E-4</v>
      </c>
      <c r="AC5">
        <f>lbs_mWh!AC5*0.000453592*10^-3</f>
        <v>6.561152488184E-4</v>
      </c>
      <c r="AD5">
        <f>lbs_mWh!AD5*0.000453592*10^-3</f>
        <v>7.2857815839039999E-4</v>
      </c>
      <c r="AE5">
        <f>lbs_mWh!AE5*0.000453592*10^-3</f>
        <v>4.8260378967920003E-4</v>
      </c>
      <c r="AF5">
        <f>lbs_mWh!AF5*0.000453592*10^-3</f>
        <v>2.7518800683040001E-4</v>
      </c>
      <c r="AG5">
        <f>lbs_mWh!AG5*0.000453592*10^-3</f>
        <v>2.5032381704E-4</v>
      </c>
      <c r="AH5">
        <f>lbs_mWh!AH5*0.000453592*10^-3</f>
        <v>8.3015759203440001E-4</v>
      </c>
      <c r="AI5">
        <f>lbs_mWh!AI5*0.000453592*10^-3</f>
        <v>2.6547215690880002E-4</v>
      </c>
      <c r="AJ5">
        <f>lbs_mWh!AJ5*0.000453592*10^-3</f>
        <v>5.2753384628799992E-4</v>
      </c>
      <c r="AK5">
        <f>lbs_mWh!AK5*0.000453592*10^-3</f>
        <v>9.3823114770159985E-4</v>
      </c>
      <c r="AL5">
        <f>lbs_mWh!AL5*0.000453592*10^-3</f>
        <v>8.1214849278080006E-4</v>
      </c>
      <c r="AM5">
        <f>lbs_mWh!AM5*0.000453592*10^-3</f>
        <v>6.8088441108480008E-4</v>
      </c>
      <c r="AN5">
        <f>lbs_mWh!AN5*0.000453592*10^-3</f>
        <v>1.6555001235520002E-4</v>
      </c>
      <c r="AO5">
        <f>lbs_mWh!AO5*0.000453592*10^-3</f>
        <v>5.2008808824880002E-4</v>
      </c>
      <c r="AP5">
        <f>lbs_mWh!AP5*0.000453592*10^-3</f>
        <v>4.0660839632960003E-4</v>
      </c>
      <c r="AQ5">
        <f>lbs_mWh!AQ5*0.000453592*10^-3</f>
        <v>3.7606596044640001E-4</v>
      </c>
      <c r="AR5">
        <f>lbs_mWh!AR5*0.000453592*10^-3</f>
        <v>4.1694820740639999E-4</v>
      </c>
      <c r="AS5">
        <f>lbs_mWh!AS5*0.000453592*10^-3</f>
        <v>4.8874719436799998E-4</v>
      </c>
      <c r="AT5">
        <f>lbs_mWh!AT5*0.000453592*10^-3</f>
        <v>5.6604494106800003E-4</v>
      </c>
      <c r="AU5">
        <f>lbs_mWh!AU5*0.000453592*10^-3</f>
        <v>8.4556026093760006E-4</v>
      </c>
      <c r="AV5">
        <f>lbs_mWh!AV5*0.000453592*10^-3</f>
        <v>2.4886325080000004E-6</v>
      </c>
      <c r="AW5">
        <f>lbs_mWh!AW5*0.000453592*10^-3</f>
        <v>4.5380364602719996E-4</v>
      </c>
      <c r="AX5">
        <f>lbs_mWh!AX5*0.000453592*10^-3</f>
        <v>1.3064488325679999E-4</v>
      </c>
      <c r="AY5">
        <f>lbs_mWh!AY5*0.000453592*10^-3</f>
        <v>9.1690642700560003E-4</v>
      </c>
      <c r="AZ5">
        <f>lbs_mWh!AZ5*0.000453592*10^-3</f>
        <v>6.9051026835360006E-4</v>
      </c>
      <c r="BA5">
        <f>lbs_mWh!BA5*0.000453592*10^-3</f>
        <v>9.6511454763919993E-4</v>
      </c>
    </row>
    <row r="6" spans="1:53">
      <c r="A6" s="226">
        <v>2010</v>
      </c>
      <c r="B6">
        <f>lbs_mWh!B6*0.000453592*10^-3</f>
        <v>5.6178081339440002E-4</v>
      </c>
      <c r="C6">
        <f>lbs_mWh!C6*0.000453592*10^-3</f>
        <v>5.1360385453119999E-4</v>
      </c>
      <c r="D6">
        <f>lbs_mWh!D6*0.000453592*10^-3</f>
        <v>4.9434569898720003E-4</v>
      </c>
      <c r="E6">
        <f>lbs_mWh!E6*0.000453592*10^-3</f>
        <v>4.9787255822400013E-4</v>
      </c>
      <c r="F6">
        <f>lbs_mWh!F6*0.000453592*10^-3</f>
        <v>5.4065290626720004E-4</v>
      </c>
      <c r="G6">
        <f>lbs_mWh!G6*0.000453592*10^-3</f>
        <v>2.3283371775279998E-4</v>
      </c>
      <c r="H6">
        <f>lbs_mWh!H6*0.000453592*10^-3</f>
        <v>8.2875404230880003E-4</v>
      </c>
      <c r="I6">
        <f>lbs_mWh!I6*0.000453592*10^-3</f>
        <v>2.8091129460879998E-4</v>
      </c>
      <c r="J6">
        <f>lbs_mWh!J6*0.000453592*10^-3</f>
        <v>7.0061715993840004E-4</v>
      </c>
      <c r="K6">
        <f>lbs_mWh!K6*0.000453592*10^-3</f>
        <v>1.0311859830576E-3</v>
      </c>
      <c r="L6">
        <f>lbs_mWh!L6*0.000453592*10^-3</f>
        <v>5.5955512816879989E-4</v>
      </c>
      <c r="M6">
        <f>lbs_mWh!M6*0.000453592*10^-3</f>
        <v>5.8614573447040002E-4</v>
      </c>
      <c r="N6">
        <f>lbs_mWh!N6*0.000453592*10^-3</f>
        <v>7.0331820958000003E-4</v>
      </c>
      <c r="O6">
        <f>lbs_mWh!O6*0.000453592*10^-3</f>
        <v>6.0293535163199997E-5</v>
      </c>
      <c r="P6">
        <f>lbs_mWh!P6*0.000453592*10^-3</f>
        <v>4.890937386560001E-4</v>
      </c>
      <c r="Q6">
        <f>lbs_mWh!Q6*0.000453592*10^-3</f>
        <v>9.1257993043200006E-4</v>
      </c>
      <c r="R6">
        <f>lbs_mWh!R6*0.000453592*10^-3</f>
        <v>7.4092583981440001E-4</v>
      </c>
      <c r="S6">
        <f>lbs_mWh!S6*0.000453592*10^-3</f>
        <v>7.58352980532E-4</v>
      </c>
      <c r="T6">
        <f>lbs_mWh!T6*0.000453592*10^-3</f>
        <v>9.4497143410320007E-4</v>
      </c>
      <c r="U6">
        <f>lbs_mWh!U6*0.000453592*10^-3</f>
        <v>5.0950424467599998E-4</v>
      </c>
      <c r="V6">
        <f>lbs_mWh!V6*0.000453592*10^-3</f>
        <v>2.2331082586800002E-4</v>
      </c>
      <c r="W6">
        <f>lbs_mWh!W6*0.000453592*10^-3</f>
        <v>6.1594749997680002E-4</v>
      </c>
      <c r="X6">
        <f>lbs_mWh!X6*0.000453592*10^-3</f>
        <v>4.8445762018319997E-4</v>
      </c>
      <c r="Y6">
        <f>lbs_mWh!Y6*0.000453592*10^-3</f>
        <v>6.4037243127440004E-4</v>
      </c>
      <c r="Z6">
        <f>lbs_mWh!Z6*0.000453592*10^-3</f>
        <v>5.9485052782400007E-4</v>
      </c>
      <c r="AA6">
        <f>lbs_mWh!AA6*0.000453592*10^-3</f>
        <v>5.1164778439039991E-4</v>
      </c>
      <c r="AB6">
        <f>lbs_mWh!AB6*0.000453592*10^-3</f>
        <v>8.3624361733520007E-4</v>
      </c>
      <c r="AC6">
        <f>lbs_mWh!AC6*0.000453592*10^-3</f>
        <v>6.8198246659840003E-4</v>
      </c>
      <c r="AD6">
        <f>lbs_mWh!AD6*0.000453592*10^-3</f>
        <v>6.6346266811199994E-4</v>
      </c>
      <c r="AE6">
        <f>lbs_mWh!AE6*0.000453592*10^-3</f>
        <v>4.7974656831200002E-4</v>
      </c>
      <c r="AF6">
        <f>lbs_mWh!AF6*0.000453592*10^-3</f>
        <v>2.5503632040560004E-4</v>
      </c>
      <c r="AG6">
        <f>lbs_mWh!AG6*0.000453592*10^-3</f>
        <v>2.8119361026959999E-4</v>
      </c>
      <c r="AH6">
        <f>lbs_mWh!AH6*0.000453592*10^-3</f>
        <v>8.2451776518400002E-4</v>
      </c>
      <c r="AI6">
        <f>lbs_mWh!AI6*0.000453592*10^-3</f>
        <v>2.8774792395119998E-4</v>
      </c>
      <c r="AJ6">
        <f>lbs_mWh!AJ6*0.000453592*10^-3</f>
        <v>5.3866236313440002E-4</v>
      </c>
      <c r="AK6">
        <f>lbs_mWh!AK6*0.000453592*10^-3</f>
        <v>8.9145034501439998E-4</v>
      </c>
      <c r="AL6">
        <f>lbs_mWh!AL6*0.000453592*10^-3</f>
        <v>8.0414404547520001E-4</v>
      </c>
      <c r="AM6">
        <f>lbs_mWh!AM6*0.000453592*10^-3</f>
        <v>6.7347539399759994E-4</v>
      </c>
      <c r="AN6">
        <f>lbs_mWh!AN6*0.000453592*10^-3</f>
        <v>1.836370840736E-4</v>
      </c>
      <c r="AO6">
        <f>lbs_mWh!AO6*0.000453592*10^-3</f>
        <v>5.3470368431359991E-4</v>
      </c>
      <c r="AP6">
        <f>lbs_mWh!AP6*0.000453592*10^-3</f>
        <v>4.1360727553040001E-4</v>
      </c>
      <c r="AQ6">
        <f>lbs_mWh!AQ6*0.000453592*10^-3</f>
        <v>3.9933831447199999E-4</v>
      </c>
      <c r="AR6">
        <f>lbs_mWh!AR6*0.000453592*10^-3</f>
        <v>3.535357736512E-4</v>
      </c>
      <c r="AS6">
        <f>lbs_mWh!AS6*0.000453592*10^-3</f>
        <v>5.2118333149200002E-4</v>
      </c>
      <c r="AT6">
        <f>lbs_mWh!AT6*0.000453592*10^-3</f>
        <v>5.7961419110720005E-4</v>
      </c>
      <c r="AU6">
        <f>lbs_mWh!AU6*0.000453592*10^-3</f>
        <v>8.3451661115440008E-4</v>
      </c>
      <c r="AV6">
        <f>lbs_mWh!AV6*0.000453592*10^-3</f>
        <v>3.1073773552000004E-6</v>
      </c>
      <c r="AW6">
        <f>lbs_mWh!AW6*0.000453592*10^-3</f>
        <v>4.7354809755439996E-4</v>
      </c>
      <c r="AX6">
        <f>lbs_mWh!AX6*0.000453592*10^-3</f>
        <v>1.3710575698640002E-4</v>
      </c>
      <c r="AY6">
        <f>lbs_mWh!AY6*0.000453592*10^-3</f>
        <v>8.9761148515039998E-4</v>
      </c>
      <c r="AZ6">
        <f>lbs_mWh!AZ6*0.000453592*10^-3</f>
        <v>7.1062117685760011E-4</v>
      </c>
      <c r="BA6">
        <f>lbs_mWh!BA6*0.000453592*10^-3</f>
        <v>9.5267288195279996E-4</v>
      </c>
    </row>
    <row r="7" spans="1:53">
      <c r="A7" s="228">
        <v>2011</v>
      </c>
      <c r="B7">
        <f>lbs_mWh!B7*0.000453592*10^-3</f>
        <v>5.6178081339440002E-4</v>
      </c>
      <c r="C7">
        <f>lbs_mWh!C7*0.000453592*10^-3</f>
        <v>5.1360385453119999E-4</v>
      </c>
      <c r="D7">
        <f>lbs_mWh!D7*0.000453592*10^-3</f>
        <v>4.9434569898720003E-4</v>
      </c>
      <c r="E7">
        <f>lbs_mWh!E7*0.000453592*10^-3</f>
        <v>4.9787255822400013E-4</v>
      </c>
      <c r="F7">
        <f>lbs_mWh!F7*0.000453592*10^-3</f>
        <v>5.4065290626720004E-4</v>
      </c>
      <c r="G7">
        <f>lbs_mWh!G7*0.000453592*10^-3</f>
        <v>2.3283371775279998E-4</v>
      </c>
      <c r="H7">
        <f>lbs_mWh!H7*0.000453592*10^-3</f>
        <v>8.2875404230880003E-4</v>
      </c>
      <c r="I7">
        <f>lbs_mWh!I7*0.000453592*10^-3</f>
        <v>2.8091129460879998E-4</v>
      </c>
      <c r="J7">
        <f>lbs_mWh!J7*0.000453592*10^-3</f>
        <v>7.0061715993840004E-4</v>
      </c>
      <c r="K7">
        <f>lbs_mWh!K7*0.000453592*10^-3</f>
        <v>1.0311859830576E-3</v>
      </c>
      <c r="L7">
        <f>lbs_mWh!L7*0.000453592*10^-3</f>
        <v>5.5955512816879989E-4</v>
      </c>
      <c r="M7">
        <f>lbs_mWh!M7*0.000453592*10^-3</f>
        <v>5.8614573447040002E-4</v>
      </c>
      <c r="N7">
        <f>lbs_mWh!N7*0.000453592*10^-3</f>
        <v>7.0331820958000003E-4</v>
      </c>
      <c r="O7">
        <f>lbs_mWh!O7*0.000453592*10^-3</f>
        <v>6.0293535163199997E-5</v>
      </c>
      <c r="P7">
        <f>lbs_mWh!P7*0.000453592*10^-3</f>
        <v>4.890937386560001E-4</v>
      </c>
      <c r="Q7">
        <f>lbs_mWh!Q7*0.000453592*10^-3</f>
        <v>9.1257993043200006E-4</v>
      </c>
      <c r="R7">
        <f>lbs_mWh!R7*0.000453592*10^-3</f>
        <v>7.4092583981440001E-4</v>
      </c>
      <c r="S7">
        <f>lbs_mWh!S7*0.000453592*10^-3</f>
        <v>7.58352980532E-4</v>
      </c>
      <c r="T7">
        <f>lbs_mWh!T7*0.000453592*10^-3</f>
        <v>9.4497143410320007E-4</v>
      </c>
      <c r="U7">
        <f>lbs_mWh!U7*0.000453592*10^-3</f>
        <v>5.0950424467599998E-4</v>
      </c>
      <c r="V7">
        <f>lbs_mWh!V7*0.000453592*10^-3</f>
        <v>2.2331082586800002E-4</v>
      </c>
      <c r="W7">
        <f>lbs_mWh!W7*0.000453592*10^-3</f>
        <v>6.1594749997680002E-4</v>
      </c>
      <c r="X7">
        <f>lbs_mWh!X7*0.000453592*10^-3</f>
        <v>4.8445762018319997E-4</v>
      </c>
      <c r="Y7">
        <f>lbs_mWh!Y7*0.000453592*10^-3</f>
        <v>6.4037243127440004E-4</v>
      </c>
      <c r="Z7">
        <f>lbs_mWh!Z7*0.000453592*10^-3</f>
        <v>5.9485052782400007E-4</v>
      </c>
      <c r="AA7">
        <f>lbs_mWh!AA7*0.000453592*10^-3</f>
        <v>5.1164778439039991E-4</v>
      </c>
      <c r="AB7">
        <f>lbs_mWh!AB7*0.000453592*10^-3</f>
        <v>8.3624361733520007E-4</v>
      </c>
      <c r="AC7">
        <f>lbs_mWh!AC7*0.000453592*10^-3</f>
        <v>6.8198246659840003E-4</v>
      </c>
      <c r="AD7">
        <f>lbs_mWh!AD7*0.000453592*10^-3</f>
        <v>6.6346266811199994E-4</v>
      </c>
      <c r="AE7">
        <f>lbs_mWh!AE7*0.000453592*10^-3</f>
        <v>4.7974656831200002E-4</v>
      </c>
      <c r="AF7">
        <f>lbs_mWh!AF7*0.000453592*10^-3</f>
        <v>2.5503632040560004E-4</v>
      </c>
      <c r="AG7">
        <f>lbs_mWh!AG7*0.000453592*10^-3</f>
        <v>2.8119361026959999E-4</v>
      </c>
      <c r="AH7">
        <f>lbs_mWh!AH7*0.000453592*10^-3</f>
        <v>8.2451776518400002E-4</v>
      </c>
      <c r="AI7">
        <f>lbs_mWh!AI7*0.000453592*10^-3</f>
        <v>2.8774792395119998E-4</v>
      </c>
      <c r="AJ7">
        <f>lbs_mWh!AJ7*0.000453592*10^-3</f>
        <v>5.3866236313440002E-4</v>
      </c>
      <c r="AK7">
        <f>lbs_mWh!AK7*0.000453592*10^-3</f>
        <v>8.9145034501439998E-4</v>
      </c>
      <c r="AL7">
        <f>lbs_mWh!AL7*0.000453592*10^-3</f>
        <v>8.0414404547520001E-4</v>
      </c>
      <c r="AM7">
        <f>lbs_mWh!AM7*0.000453592*10^-3</f>
        <v>6.7347539399759994E-4</v>
      </c>
      <c r="AN7">
        <f>lbs_mWh!AN7*0.000453592*10^-3</f>
        <v>1.836370840736E-4</v>
      </c>
      <c r="AO7">
        <f>lbs_mWh!AO7*0.000453592*10^-3</f>
        <v>5.3470368431359991E-4</v>
      </c>
      <c r="AP7">
        <f>lbs_mWh!AP7*0.000453592*10^-3</f>
        <v>4.1360727553040001E-4</v>
      </c>
      <c r="AQ7">
        <f>lbs_mWh!AQ7*0.000453592*10^-3</f>
        <v>3.9933831447199999E-4</v>
      </c>
      <c r="AR7">
        <f>lbs_mWh!AR7*0.000453592*10^-3</f>
        <v>3.535357736512E-4</v>
      </c>
      <c r="AS7">
        <f>lbs_mWh!AS7*0.000453592*10^-3</f>
        <v>5.2118333149200002E-4</v>
      </c>
      <c r="AT7">
        <f>lbs_mWh!AT7*0.000453592*10^-3</f>
        <v>5.7961419110720005E-4</v>
      </c>
      <c r="AU7">
        <f>lbs_mWh!AU7*0.000453592*10^-3</f>
        <v>8.3451661115440008E-4</v>
      </c>
      <c r="AV7">
        <f>lbs_mWh!AV7*0.000453592*10^-3</f>
        <v>3.1073773552000004E-6</v>
      </c>
      <c r="AW7">
        <f>lbs_mWh!AW7*0.000453592*10^-3</f>
        <v>4.7354809755439996E-4</v>
      </c>
      <c r="AX7">
        <f>lbs_mWh!AX7*0.000453592*10^-3</f>
        <v>1.3710575698640002E-4</v>
      </c>
      <c r="AY7">
        <f>lbs_mWh!AY7*0.000453592*10^-3</f>
        <v>8.9761148515039998E-4</v>
      </c>
      <c r="AZ7">
        <f>lbs_mWh!AZ7*0.000453592*10^-3</f>
        <v>7.1062117685760011E-4</v>
      </c>
      <c r="BA7">
        <f>lbs_mWh!BA7*0.000453592*10^-3</f>
        <v>9.5267288195279996E-4</v>
      </c>
    </row>
    <row r="8" spans="1:53">
      <c r="A8" s="226">
        <v>2012</v>
      </c>
      <c r="B8">
        <f>lbs_mWh!B8*0.000453592*10^-3</f>
        <v>5.1797875404531175E-4</v>
      </c>
      <c r="C8">
        <f>lbs_mWh!C8*0.000453592*10^-3</f>
        <v>4.5458380698765085E-4</v>
      </c>
      <c r="D8">
        <f>lbs_mWh!D8*0.000453592*10^-3</f>
        <v>4.943175348155912E-4</v>
      </c>
      <c r="E8">
        <f>lbs_mWh!E8*0.000453592*10^-3</f>
        <v>4.8278977387023966E-4</v>
      </c>
      <c r="F8">
        <f>lbs_mWh!F8*0.000453592*10^-3</f>
        <v>5.6142341304767215E-4</v>
      </c>
      <c r="G8">
        <f>lbs_mWh!G8*0.000453592*10^-3</f>
        <v>2.6129959238440351E-4</v>
      </c>
      <c r="H8">
        <f>lbs_mWh!H8*0.000453592*10^-3</f>
        <v>7.6064637094694256E-4</v>
      </c>
      <c r="I8">
        <f>lbs_mWh!I8*0.000453592*10^-3</f>
        <v>2.3968877343588202E-4</v>
      </c>
      <c r="J8">
        <f>lbs_mWh!J8*0.000453592*10^-3</f>
        <v>5.7142906546627078E-4</v>
      </c>
      <c r="K8">
        <f>lbs_mWh!K8*0.000453592*10^-3</f>
        <v>5.5983279573371982E-4</v>
      </c>
      <c r="L8">
        <f>lbs_mWh!L8*0.000453592*10^-3</f>
        <v>5.1764131626890505E-4</v>
      </c>
      <c r="M8">
        <f>lbs_mWh!M8*0.000453592*10^-3</f>
        <v>4.9218733050001217E-4</v>
      </c>
      <c r="N8">
        <f>lbs_mWh!N8*0.000453592*10^-3</f>
        <v>6.7069609488080127E-4</v>
      </c>
      <c r="O8">
        <f>lbs_mWh!O8*0.000453592*10^-3</f>
        <v>5.2133438319196027E-5</v>
      </c>
      <c r="P8">
        <f>lbs_mWh!P8*0.000453592*10^-3</f>
        <v>4.5467601432161556E-4</v>
      </c>
      <c r="Q8">
        <f>lbs_mWh!Q8*0.000453592*10^-3</f>
        <v>8.6788390284662435E-4</v>
      </c>
      <c r="R8">
        <f>lbs_mWh!R8*0.000453592*10^-3</f>
        <v>6.3971903285596216E-4</v>
      </c>
      <c r="S8">
        <f>lbs_mWh!S8*0.000453592*10^-3</f>
        <v>7.2707512535205565E-4</v>
      </c>
      <c r="T8">
        <f>lbs_mWh!T8*0.000453592*10^-3</f>
        <v>9.457701430060113E-4</v>
      </c>
      <c r="U8">
        <f>lbs_mWh!U8*0.000453592*10^-3</f>
        <v>5.2553426496151846E-4</v>
      </c>
      <c r="V8">
        <f>lbs_mWh!V8*0.000453592*10^-3</f>
        <v>2.5921642301050026E-4</v>
      </c>
      <c r="W8">
        <f>lbs_mWh!W8*0.000453592*10^-3</f>
        <v>5.3733632294239583E-4</v>
      </c>
      <c r="X8">
        <f>lbs_mWh!X8*0.000453592*10^-3</f>
        <v>4.1070513972627182E-4</v>
      </c>
      <c r="Y8">
        <f>lbs_mWh!Y8*0.000453592*10^-3</f>
        <v>5.9996007537832042E-4</v>
      </c>
      <c r="Z8">
        <f>lbs_mWh!Z8*0.000453592*10^-3</f>
        <v>5.2976919476977846E-4</v>
      </c>
      <c r="AA8">
        <f>lbs_mWh!AA8*0.000453592*10^-3</f>
        <v>4.4578803826945962E-4</v>
      </c>
      <c r="AB8">
        <f>lbs_mWh!AB8*0.000453592*10^-3</f>
        <v>7.8645086914543375E-4</v>
      </c>
      <c r="AC8">
        <f>lbs_mWh!AC8*0.000453592*10^-3</f>
        <v>5.8612284822787207E-4</v>
      </c>
      <c r="AD8">
        <f>lbs_mWh!AD8*0.000453592*10^-3</f>
        <v>7.4687486936056207E-4</v>
      </c>
      <c r="AE8">
        <f>lbs_mWh!AE8*0.000453592*10^-3</f>
        <v>4.1706353370242884E-4</v>
      </c>
      <c r="AF8">
        <f>lbs_mWh!AF8*0.000453592*10^-3</f>
        <v>2.3416432944633114E-4</v>
      </c>
      <c r="AG8">
        <f>lbs_mWh!AG8*0.000453592*10^-3</f>
        <v>2.3530668373582773E-4</v>
      </c>
      <c r="AH8">
        <f>lbs_mWh!AH8*0.000453592*10^-3</f>
        <v>8.0395076576236779E-4</v>
      </c>
      <c r="AI8">
        <f>lbs_mWh!AI8*0.000453592*10^-3</f>
        <v>2.5604626392186191E-4</v>
      </c>
      <c r="AJ8">
        <f>lbs_mWh!AJ8*0.000453592*10^-3</f>
        <v>4.8157855853555518E-4</v>
      </c>
      <c r="AK8">
        <f>lbs_mWh!AK8*0.000453592*10^-3</f>
        <v>8.4448914162833333E-4</v>
      </c>
      <c r="AL8">
        <f>lbs_mWh!AL8*0.000453592*10^-3</f>
        <v>7.3657809588453175E-4</v>
      </c>
      <c r="AM8">
        <f>lbs_mWh!AM8*0.000453592*10^-3</f>
        <v>6.2458382731872184E-4</v>
      </c>
      <c r="AN8">
        <f>lbs_mWh!AN8*0.000453592*10^-3</f>
        <v>1.1871973964354419E-4</v>
      </c>
      <c r="AO8">
        <f>lbs_mWh!AO8*0.000453592*10^-3</f>
        <v>4.8357690609171099E-4</v>
      </c>
      <c r="AP8">
        <f>lbs_mWh!AP8*0.000453592*10^-3</f>
        <v>4.1184641405315466E-4</v>
      </c>
      <c r="AQ8">
        <f>lbs_mWh!AQ8*0.000453592*10^-3</f>
        <v>3.5047706912074203E-4</v>
      </c>
      <c r="AR8">
        <f>lbs_mWh!AR8*0.000453592*10^-3</f>
        <v>2.5482333917955119E-4</v>
      </c>
      <c r="AS8">
        <f>lbs_mWh!AS8*0.000453592*10^-3</f>
        <v>5.0037087806718448E-4</v>
      </c>
      <c r="AT8">
        <f>lbs_mWh!AT8*0.000453592*10^-3</f>
        <v>5.4744892361998591E-4</v>
      </c>
      <c r="AU8">
        <f>lbs_mWh!AU8*0.000453592*10^-3</f>
        <v>8.2095733788815266E-4</v>
      </c>
      <c r="AV8">
        <f>lbs_mWh!AV8*0.000453592*10^-3</f>
        <v>3.3729444001526104E-6</v>
      </c>
      <c r="AW8">
        <f>lbs_mWh!AW8*0.000453592*10^-3</f>
        <v>3.7247001252634277E-4</v>
      </c>
      <c r="AX8">
        <f>lbs_mWh!AX8*0.000453592*10^-3</f>
        <v>5.7419692863119228E-5</v>
      </c>
      <c r="AY8">
        <f>lbs_mWh!AY8*0.000453592*10^-3</f>
        <v>8.9893608088977765E-4</v>
      </c>
      <c r="AZ8">
        <f>lbs_mWh!AZ8*0.000453592*10^-3</f>
        <v>6.1878191327700805E-4</v>
      </c>
      <c r="BA8">
        <f>lbs_mWh!BA8*0.000453592*10^-3</f>
        <v>9.5683329804355786E-4</v>
      </c>
    </row>
    <row r="9" spans="1:53">
      <c r="A9" s="228">
        <v>2013</v>
      </c>
      <c r="B9">
        <f>lbs_mWh!B9*0.000453592*10^-3</f>
        <v>5.1797875404531175E-4</v>
      </c>
      <c r="C9">
        <f>lbs_mWh!C9*0.000453592*10^-3</f>
        <v>4.5458380698765085E-4</v>
      </c>
      <c r="D9">
        <f>lbs_mWh!D9*0.000453592*10^-3</f>
        <v>4.943175348155912E-4</v>
      </c>
      <c r="E9">
        <f>lbs_mWh!E9*0.000453592*10^-3</f>
        <v>4.8278977387023966E-4</v>
      </c>
      <c r="F9">
        <f>lbs_mWh!F9*0.000453592*10^-3</f>
        <v>5.6142341304767215E-4</v>
      </c>
      <c r="G9">
        <f>lbs_mWh!G9*0.000453592*10^-3</f>
        <v>2.6129959238440351E-4</v>
      </c>
      <c r="H9">
        <f>lbs_mWh!H9*0.000453592*10^-3</f>
        <v>7.6064637094694256E-4</v>
      </c>
      <c r="I9">
        <f>lbs_mWh!I9*0.000453592*10^-3</f>
        <v>2.3968877343588202E-4</v>
      </c>
      <c r="J9">
        <f>lbs_mWh!J9*0.000453592*10^-3</f>
        <v>5.7142906546627078E-4</v>
      </c>
      <c r="K9">
        <f>lbs_mWh!K9*0.000453592*10^-3</f>
        <v>5.5983279573371982E-4</v>
      </c>
      <c r="L9">
        <f>lbs_mWh!L9*0.000453592*10^-3</f>
        <v>5.1764131626890505E-4</v>
      </c>
      <c r="M9">
        <f>lbs_mWh!M9*0.000453592*10^-3</f>
        <v>4.9218733050001217E-4</v>
      </c>
      <c r="N9">
        <f>lbs_mWh!N9*0.000453592*10^-3</f>
        <v>6.7069609488080127E-4</v>
      </c>
      <c r="O9">
        <f>lbs_mWh!O9*0.000453592*10^-3</f>
        <v>5.2133438319196027E-5</v>
      </c>
      <c r="P9">
        <f>lbs_mWh!P9*0.000453592*10^-3</f>
        <v>4.5467601432161556E-4</v>
      </c>
      <c r="Q9">
        <f>lbs_mWh!Q9*0.000453592*10^-3</f>
        <v>8.6788390284662435E-4</v>
      </c>
      <c r="R9">
        <f>lbs_mWh!R9*0.000453592*10^-3</f>
        <v>6.3971903285596216E-4</v>
      </c>
      <c r="S9">
        <f>lbs_mWh!S9*0.000453592*10^-3</f>
        <v>7.2707512535205565E-4</v>
      </c>
      <c r="T9">
        <f>lbs_mWh!T9*0.000453592*10^-3</f>
        <v>9.457701430060113E-4</v>
      </c>
      <c r="U9">
        <f>lbs_mWh!U9*0.000453592*10^-3</f>
        <v>5.2553426496151846E-4</v>
      </c>
      <c r="V9">
        <f>lbs_mWh!V9*0.000453592*10^-3</f>
        <v>2.5921642301050026E-4</v>
      </c>
      <c r="W9">
        <f>lbs_mWh!W9*0.000453592*10^-3</f>
        <v>5.3733632294239583E-4</v>
      </c>
      <c r="X9">
        <f>lbs_mWh!X9*0.000453592*10^-3</f>
        <v>4.1070513972627182E-4</v>
      </c>
      <c r="Y9">
        <f>lbs_mWh!Y9*0.000453592*10^-3</f>
        <v>5.9996007537832042E-4</v>
      </c>
      <c r="Z9">
        <f>lbs_mWh!Z9*0.000453592*10^-3</f>
        <v>5.2976919476977846E-4</v>
      </c>
      <c r="AA9">
        <f>lbs_mWh!AA9*0.000453592*10^-3</f>
        <v>4.4578803826945962E-4</v>
      </c>
      <c r="AB9">
        <f>lbs_mWh!AB9*0.000453592*10^-3</f>
        <v>7.8645086914543375E-4</v>
      </c>
      <c r="AC9">
        <f>lbs_mWh!AC9*0.000453592*10^-3</f>
        <v>5.8612284822787207E-4</v>
      </c>
      <c r="AD9">
        <f>lbs_mWh!AD9*0.000453592*10^-3</f>
        <v>7.4687486936056207E-4</v>
      </c>
      <c r="AE9">
        <f>lbs_mWh!AE9*0.000453592*10^-3</f>
        <v>4.1706353370242884E-4</v>
      </c>
      <c r="AF9">
        <f>lbs_mWh!AF9*0.000453592*10^-3</f>
        <v>2.3416432944633114E-4</v>
      </c>
      <c r="AG9">
        <f>lbs_mWh!AG9*0.000453592*10^-3</f>
        <v>2.3530668373582773E-4</v>
      </c>
      <c r="AH9">
        <f>lbs_mWh!AH9*0.000453592*10^-3</f>
        <v>8.0395076576236779E-4</v>
      </c>
      <c r="AI9">
        <f>lbs_mWh!AI9*0.000453592*10^-3</f>
        <v>2.5604626392186191E-4</v>
      </c>
      <c r="AJ9">
        <f>lbs_mWh!AJ9*0.000453592*10^-3</f>
        <v>4.8157855853555518E-4</v>
      </c>
      <c r="AK9">
        <f>lbs_mWh!AK9*0.000453592*10^-3</f>
        <v>8.4448914162833333E-4</v>
      </c>
      <c r="AL9">
        <f>lbs_mWh!AL9*0.000453592*10^-3</f>
        <v>7.3657809588453175E-4</v>
      </c>
      <c r="AM9">
        <f>lbs_mWh!AM9*0.000453592*10^-3</f>
        <v>6.2458382731872184E-4</v>
      </c>
      <c r="AN9">
        <f>lbs_mWh!AN9*0.000453592*10^-3</f>
        <v>1.1871973964354419E-4</v>
      </c>
      <c r="AO9">
        <f>lbs_mWh!AO9*0.000453592*10^-3</f>
        <v>4.8357690609171099E-4</v>
      </c>
      <c r="AP9">
        <f>lbs_mWh!AP9*0.000453592*10^-3</f>
        <v>4.1184641405315466E-4</v>
      </c>
      <c r="AQ9">
        <f>lbs_mWh!AQ9*0.000453592*10^-3</f>
        <v>3.5047706912074203E-4</v>
      </c>
      <c r="AR9">
        <f>lbs_mWh!AR9*0.000453592*10^-3</f>
        <v>2.5482333917955119E-4</v>
      </c>
      <c r="AS9">
        <f>lbs_mWh!AS9*0.000453592*10^-3</f>
        <v>5.0037087806718448E-4</v>
      </c>
      <c r="AT9">
        <f>lbs_mWh!AT9*0.000453592*10^-3</f>
        <v>5.4744892361998591E-4</v>
      </c>
      <c r="AU9">
        <f>lbs_mWh!AU9*0.000453592*10^-3</f>
        <v>8.2095733788815266E-4</v>
      </c>
      <c r="AV9">
        <f>lbs_mWh!AV9*0.000453592*10^-3</f>
        <v>3.3729444001526104E-6</v>
      </c>
      <c r="AW9">
        <f>lbs_mWh!AW9*0.000453592*10^-3</f>
        <v>3.7247001252634277E-4</v>
      </c>
      <c r="AX9">
        <f>lbs_mWh!AX9*0.000453592*10^-3</f>
        <v>5.7419692863119228E-5</v>
      </c>
      <c r="AY9">
        <f>lbs_mWh!AY9*0.000453592*10^-3</f>
        <v>8.9893608088977765E-4</v>
      </c>
      <c r="AZ9">
        <f>lbs_mWh!AZ9*0.000453592*10^-3</f>
        <v>6.1878191327700805E-4</v>
      </c>
      <c r="BA9">
        <f>lbs_mWh!BA9*0.000453592*10^-3</f>
        <v>9.5683329804355786E-4</v>
      </c>
    </row>
    <row r="10" spans="1:53">
      <c r="A10" s="226">
        <v>2014</v>
      </c>
      <c r="B10">
        <f>lbs_mWh!B10*0.000453592*10^-3</f>
        <v>5.1263743141600007E-4</v>
      </c>
      <c r="C10">
        <f>lbs_mWh!C10*0.000453592*10^-3</f>
        <v>4.8066146337600007E-4</v>
      </c>
      <c r="D10">
        <f>lbs_mWh!D10*0.000453592*10^-3</f>
        <v>3.98297320832E-4</v>
      </c>
      <c r="E10">
        <f>lbs_mWh!E10*0.000453592*10^-3</f>
        <v>5.0699157179200007E-4</v>
      </c>
      <c r="F10">
        <f>lbs_mWh!F10*0.000453592*10^-3</f>
        <v>5.86469054848E-4</v>
      </c>
      <c r="G10">
        <f>lbs_mWh!G10*0.000453592*10^-3</f>
        <v>2.5192499679999996E-4</v>
      </c>
      <c r="H10">
        <f>lbs_mWh!H10*0.000453592*10^-3</f>
        <v>7.2268500040799995E-4</v>
      </c>
      <c r="I10">
        <f>lbs_mWh!I10*0.000453592*10^-3</f>
        <v>2.4415042991999999E-4</v>
      </c>
      <c r="J10">
        <f>lbs_mWh!J10*0.000453592*10^-3</f>
        <v>4.74422305416E-4</v>
      </c>
      <c r="K10">
        <f>lbs_mWh!K10*0.000453592*10^-3</f>
        <v>5.3785124992000006E-4</v>
      </c>
      <c r="L10">
        <f>lbs_mWh!L10*0.000453592*10^-3</f>
        <v>4.9869038459999994E-4</v>
      </c>
      <c r="M10">
        <f>lbs_mWh!M10*0.000453592*10^-3</f>
        <v>5.0155663244800001E-4</v>
      </c>
      <c r="N10">
        <f>lbs_mWh!N10*0.000453592*10^-3</f>
        <v>6.0729573152799995E-4</v>
      </c>
      <c r="O10">
        <f>lbs_mWh!O10*0.000453592*10^-3</f>
        <v>6.6887583503999999E-5</v>
      </c>
      <c r="P10">
        <f>lbs_mWh!P10*0.000453592*10^-3</f>
        <v>4.5211283648800003E-4</v>
      </c>
      <c r="Q10">
        <f>lbs_mWh!Q10*0.000453592*10^-3</f>
        <v>8.9941396903999999E-4</v>
      </c>
      <c r="R10">
        <f>lbs_mWh!R10*0.000453592*10^-3</f>
        <v>6.1183346589600005E-4</v>
      </c>
      <c r="S10">
        <f>lbs_mWh!S10*0.000453592*10^-3</f>
        <v>6.4365657343200006E-4</v>
      </c>
      <c r="T10">
        <f>lbs_mWh!T10*0.000453592*10^-3</f>
        <v>9.4541228016800009E-4</v>
      </c>
      <c r="U10">
        <f>lbs_mWh!U10*0.000453592*10^-3</f>
        <v>4.4435369173600006E-4</v>
      </c>
      <c r="V10">
        <f>lbs_mWh!V10*0.000453592*10^-3</f>
        <v>1.6161437600799999E-4</v>
      </c>
      <c r="W10">
        <f>lbs_mWh!W10*0.000453592*10^-3</f>
        <v>5.3055340823200008E-4</v>
      </c>
      <c r="X10">
        <f>lbs_mWh!X10*0.000453592*10^-3</f>
        <v>4.0621567637599999E-4</v>
      </c>
      <c r="Y10">
        <f>lbs_mWh!Y10*0.000453592*10^-3</f>
        <v>5.8168547361600001E-4</v>
      </c>
      <c r="Z10">
        <f>lbs_mWh!Z10*0.000453592*10^-3</f>
        <v>5.4882182603199997E-4</v>
      </c>
      <c r="AA10">
        <f>lbs_mWh!AA10*0.000453592*10^-3</f>
        <v>4.4966661483200002E-4</v>
      </c>
      <c r="AB10">
        <f>lbs_mWh!AB10*0.000453592*10^-3</f>
        <v>7.9734170768799991E-4</v>
      </c>
      <c r="AC10">
        <f>lbs_mWh!AC10*0.000453592*10^-3</f>
        <v>5.9077817884800002E-4</v>
      </c>
      <c r="AD10">
        <f>lbs_mWh!AD10*0.000453592*10^-3</f>
        <v>6.3673884183999992E-4</v>
      </c>
      <c r="AE10">
        <f>lbs_mWh!AE10*0.000453592*10^-3</f>
        <v>4.3927981162399999E-4</v>
      </c>
      <c r="AF10">
        <f>lbs_mWh!AF10*0.000453592*10^-3</f>
        <v>1.7442336049600002E-4</v>
      </c>
      <c r="AG10">
        <f>lbs_mWh!AG10*0.000453592*10^-3</f>
        <v>2.5245116351999995E-4</v>
      </c>
      <c r="AH10">
        <f>lbs_mWh!AH10*0.000453592*10^-3</f>
        <v>7.6770037767199997E-4</v>
      </c>
      <c r="AI10">
        <f>lbs_mWh!AI10*0.000453592*10^-3</f>
        <v>2.3761008687200001E-4</v>
      </c>
      <c r="AJ10">
        <f>lbs_mWh!AJ10*0.000453592*10^-3</f>
        <v>4.4750706332E-4</v>
      </c>
      <c r="AK10">
        <f>lbs_mWh!AK10*0.000453592*10^-3</f>
        <v>8.2658614470400001E-4</v>
      </c>
      <c r="AL10">
        <f>lbs_mWh!AL10*0.000453592*10^-3</f>
        <v>7.3043416613600011E-4</v>
      </c>
      <c r="AM10">
        <f>lbs_mWh!AM10*0.000453592*10^-3</f>
        <v>6.1821595892800002E-4</v>
      </c>
      <c r="AN10">
        <f>lbs_mWh!AN10*0.000453592*10^-3</f>
        <v>1.41432707152E-4</v>
      </c>
      <c r="AO10">
        <f>lbs_mWh!AO10*0.000453592*10^-3</f>
        <v>4.5156943327200006E-4</v>
      </c>
      <c r="AP10">
        <f>lbs_mWh!AP10*0.000453592*10^-3</f>
        <v>4.0535884108800001E-4</v>
      </c>
      <c r="AQ10">
        <f>lbs_mWh!AQ10*0.000453592*10^-3</f>
        <v>3.3465019857600002E-4</v>
      </c>
      <c r="AR10">
        <f>lbs_mWh!AR10*0.000453592*10^-3</f>
        <v>2.8249029372000002E-4</v>
      </c>
      <c r="AS10">
        <f>lbs_mWh!AS10*0.000453592*10^-3</f>
        <v>4.8666656786399998E-4</v>
      </c>
      <c r="AT10">
        <f>lbs_mWh!AT10*0.000453592*10^-3</f>
        <v>5.3997315329600004E-4</v>
      </c>
      <c r="AU10">
        <f>lbs_mWh!AU10*0.000453592*10^-3</f>
        <v>8.0913419250400003E-4</v>
      </c>
      <c r="AV10">
        <f>lbs_mWh!AV10*0.000453592*10^-3</f>
        <v>1.0418554648000001E-5</v>
      </c>
      <c r="AW10">
        <f>lbs_mWh!AW10*0.000453592*10^-3</f>
        <v>4.0080069508E-4</v>
      </c>
      <c r="AX10">
        <f>lbs_mWh!AX10*0.000453592*10^-3</f>
        <v>1.02437856504E-4</v>
      </c>
      <c r="AY10">
        <f>lbs_mWh!AY10*0.000453592*10^-3</f>
        <v>9.0325680046400006E-4</v>
      </c>
      <c r="AZ10">
        <f>lbs_mWh!AZ10*0.000453592*10^-3</f>
        <v>6.9195459599999995E-4</v>
      </c>
      <c r="BA10">
        <f>lbs_mWh!BA10*0.000453592*10^-3</f>
        <v>9.1296412285599995E-4</v>
      </c>
    </row>
    <row r="11" spans="1:53">
      <c r="A11" s="228">
        <v>2015</v>
      </c>
      <c r="B11">
        <f>lbs_mWh!B11*0.000453592*10^-3</f>
        <v>5.1263743141600007E-4</v>
      </c>
      <c r="C11">
        <f>lbs_mWh!C11*0.000453592*10^-3</f>
        <v>4.8066146337600007E-4</v>
      </c>
      <c r="D11">
        <f>lbs_mWh!D11*0.000453592*10^-3</f>
        <v>3.98297320832E-4</v>
      </c>
      <c r="E11">
        <f>lbs_mWh!E11*0.000453592*10^-3</f>
        <v>5.0699157179200007E-4</v>
      </c>
      <c r="F11">
        <f>lbs_mWh!F11*0.000453592*10^-3</f>
        <v>5.86469054848E-4</v>
      </c>
      <c r="G11">
        <f>lbs_mWh!G11*0.000453592*10^-3</f>
        <v>2.5192499679999996E-4</v>
      </c>
      <c r="H11">
        <f>lbs_mWh!H11*0.000453592*10^-3</f>
        <v>7.2268500040799995E-4</v>
      </c>
      <c r="I11">
        <f>lbs_mWh!I11*0.000453592*10^-3</f>
        <v>2.4415042991999999E-4</v>
      </c>
      <c r="J11">
        <f>lbs_mWh!J11*0.000453592*10^-3</f>
        <v>4.74422305416E-4</v>
      </c>
      <c r="K11">
        <f>lbs_mWh!K11*0.000453592*10^-3</f>
        <v>5.3785124992000006E-4</v>
      </c>
      <c r="L11">
        <f>lbs_mWh!L11*0.000453592*10^-3</f>
        <v>4.9869038459999994E-4</v>
      </c>
      <c r="M11">
        <f>lbs_mWh!M11*0.000453592*10^-3</f>
        <v>5.0155663244800001E-4</v>
      </c>
      <c r="N11">
        <f>lbs_mWh!N11*0.000453592*10^-3</f>
        <v>6.0729573152799995E-4</v>
      </c>
      <c r="O11">
        <f>lbs_mWh!O11*0.000453592*10^-3</f>
        <v>6.6887583503999999E-5</v>
      </c>
      <c r="P11">
        <f>lbs_mWh!P11*0.000453592*10^-3</f>
        <v>4.5211283648800003E-4</v>
      </c>
      <c r="Q11">
        <f>lbs_mWh!Q11*0.000453592*10^-3</f>
        <v>8.9941396903999999E-4</v>
      </c>
      <c r="R11">
        <f>lbs_mWh!R11*0.000453592*10^-3</f>
        <v>6.1183346589600005E-4</v>
      </c>
      <c r="S11">
        <f>lbs_mWh!S11*0.000453592*10^-3</f>
        <v>6.4365657343200006E-4</v>
      </c>
      <c r="T11">
        <f>lbs_mWh!T11*0.000453592*10^-3</f>
        <v>9.4541228016800009E-4</v>
      </c>
      <c r="U11">
        <f>lbs_mWh!U11*0.000453592*10^-3</f>
        <v>4.4435369173600006E-4</v>
      </c>
      <c r="V11">
        <f>lbs_mWh!V11*0.000453592*10^-3</f>
        <v>1.6161437600799999E-4</v>
      </c>
      <c r="W11">
        <f>lbs_mWh!W11*0.000453592*10^-3</f>
        <v>5.3055340823200008E-4</v>
      </c>
      <c r="X11">
        <f>lbs_mWh!X11*0.000453592*10^-3</f>
        <v>4.0621567637599999E-4</v>
      </c>
      <c r="Y11">
        <f>lbs_mWh!Y11*0.000453592*10^-3</f>
        <v>5.8168547361600001E-4</v>
      </c>
      <c r="Z11">
        <f>lbs_mWh!Z11*0.000453592*10^-3</f>
        <v>5.4882182603199997E-4</v>
      </c>
      <c r="AA11">
        <f>lbs_mWh!AA11*0.000453592*10^-3</f>
        <v>4.4966661483200002E-4</v>
      </c>
      <c r="AB11">
        <f>lbs_mWh!AB11*0.000453592*10^-3</f>
        <v>7.9734170768799991E-4</v>
      </c>
      <c r="AC11">
        <f>lbs_mWh!AC11*0.000453592*10^-3</f>
        <v>5.9077817884800002E-4</v>
      </c>
      <c r="AD11">
        <f>lbs_mWh!AD11*0.000453592*10^-3</f>
        <v>6.3673884183999992E-4</v>
      </c>
      <c r="AE11">
        <f>lbs_mWh!AE11*0.000453592*10^-3</f>
        <v>4.3927981162399999E-4</v>
      </c>
      <c r="AF11">
        <f>lbs_mWh!AF11*0.000453592*10^-3</f>
        <v>1.7442336049600002E-4</v>
      </c>
      <c r="AG11">
        <f>lbs_mWh!AG11*0.000453592*10^-3</f>
        <v>2.5245116351999995E-4</v>
      </c>
      <c r="AH11">
        <f>lbs_mWh!AH11*0.000453592*10^-3</f>
        <v>7.6770037767199997E-4</v>
      </c>
      <c r="AI11">
        <f>lbs_mWh!AI11*0.000453592*10^-3</f>
        <v>2.3761008687200001E-4</v>
      </c>
      <c r="AJ11">
        <f>lbs_mWh!AJ11*0.000453592*10^-3</f>
        <v>4.4750706332E-4</v>
      </c>
      <c r="AK11">
        <f>lbs_mWh!AK11*0.000453592*10^-3</f>
        <v>8.2658614470400001E-4</v>
      </c>
      <c r="AL11">
        <f>lbs_mWh!AL11*0.000453592*10^-3</f>
        <v>7.3043416613600011E-4</v>
      </c>
      <c r="AM11">
        <f>lbs_mWh!AM11*0.000453592*10^-3</f>
        <v>6.1821595892800002E-4</v>
      </c>
      <c r="AN11">
        <f>lbs_mWh!AN11*0.000453592*10^-3</f>
        <v>1.41432707152E-4</v>
      </c>
      <c r="AO11">
        <f>lbs_mWh!AO11*0.000453592*10^-3</f>
        <v>4.5156943327200006E-4</v>
      </c>
      <c r="AP11">
        <f>lbs_mWh!AP11*0.000453592*10^-3</f>
        <v>4.0535884108800001E-4</v>
      </c>
      <c r="AQ11">
        <f>lbs_mWh!AQ11*0.000453592*10^-3</f>
        <v>3.3465019857600002E-4</v>
      </c>
      <c r="AR11">
        <f>lbs_mWh!AR11*0.000453592*10^-3</f>
        <v>2.8249029372000002E-4</v>
      </c>
      <c r="AS11">
        <f>lbs_mWh!AS11*0.000453592*10^-3</f>
        <v>4.8666656786399998E-4</v>
      </c>
      <c r="AT11">
        <f>lbs_mWh!AT11*0.000453592*10^-3</f>
        <v>5.3997315329600004E-4</v>
      </c>
      <c r="AU11">
        <f>lbs_mWh!AU11*0.000453592*10^-3</f>
        <v>8.0913419250400003E-4</v>
      </c>
      <c r="AV11">
        <f>lbs_mWh!AV11*0.000453592*10^-3</f>
        <v>1.0418554648000001E-5</v>
      </c>
      <c r="AW11">
        <f>lbs_mWh!AW11*0.000453592*10^-3</f>
        <v>4.0080069508E-4</v>
      </c>
      <c r="AX11">
        <f>lbs_mWh!AX11*0.000453592*10^-3</f>
        <v>1.02437856504E-4</v>
      </c>
      <c r="AY11">
        <f>lbs_mWh!AY11*0.000453592*10^-3</f>
        <v>9.0325680046400006E-4</v>
      </c>
      <c r="AZ11">
        <f>lbs_mWh!AZ11*0.000453592*10^-3</f>
        <v>6.9195459599999995E-4</v>
      </c>
      <c r="BA11">
        <f>lbs_mWh!BA11*0.000453592*10^-3</f>
        <v>9.1296412285599995E-4</v>
      </c>
    </row>
    <row r="12" spans="1:53">
      <c r="A12" s="226">
        <v>2016</v>
      </c>
      <c r="B12">
        <f>lbs_mWh!B12*0.000453592*10^-3</f>
        <v>4.5548211786400003E-4</v>
      </c>
      <c r="C12">
        <f>lbs_mWh!C12*0.000453592*10^-3</f>
        <v>4.1615614505599997E-4</v>
      </c>
      <c r="D12">
        <f>lbs_mWh!D12*0.000453592*10^-3</f>
        <v>4.21846456696E-4</v>
      </c>
      <c r="E12">
        <f>lbs_mWh!E12*0.000453592*10^-3</f>
        <v>4.2504836262400003E-4</v>
      </c>
      <c r="F12">
        <f>lbs_mWh!F12*0.000453592*10^-3</f>
        <v>5.0919920405600007E-4</v>
      </c>
      <c r="G12">
        <f>lbs_mWh!G12*0.000453592*10^-3</f>
        <v>2.0595752992800002E-4</v>
      </c>
      <c r="H12">
        <f>lbs_mWh!H12*0.000453592*10^-3</f>
        <v>6.7038402844000003E-4</v>
      </c>
      <c r="I12">
        <f>lbs_mWh!I12*0.000453592*10^-3</f>
        <v>2.2776441891999999E-4</v>
      </c>
      <c r="J12">
        <f>lbs_mWh!J12*0.000453592*10^-3</f>
        <v>4.0339614850400004E-4</v>
      </c>
      <c r="K12">
        <f>lbs_mWh!K12*0.000453592*10^-3</f>
        <v>2.1910398686399998E-4</v>
      </c>
      <c r="L12">
        <f>lbs_mWh!L12*0.000453592*10^-3</f>
        <v>4.6673119946400007E-4</v>
      </c>
      <c r="M12">
        <f>lbs_mWh!M12*0.000453592*10^-3</f>
        <v>4.5697035321600002E-4</v>
      </c>
      <c r="N12">
        <f>lbs_mWh!N12*0.000453592*10^-3</f>
        <v>6.9530301214400009E-4</v>
      </c>
      <c r="O12">
        <f>lbs_mWh!O12*0.000453592*10^-3</f>
        <v>8.5852718616000003E-5</v>
      </c>
      <c r="P12">
        <f>lbs_mWh!P12*0.000453592*10^-3</f>
        <v>3.7014966927200008E-4</v>
      </c>
      <c r="Q12">
        <f>lbs_mWh!Q12*0.000453592*10^-3</f>
        <v>8.2776230876E-4</v>
      </c>
      <c r="R12">
        <f>lbs_mWh!R12*0.000453592*10^-3</f>
        <v>4.5534740103999997E-4</v>
      </c>
      <c r="S12">
        <f>lbs_mWh!S12*0.000453592*10^-3</f>
        <v>5.4615016915200004E-4</v>
      </c>
      <c r="T12">
        <f>lbs_mWh!T12*0.000453592*10^-3</f>
        <v>8.92707157728E-4</v>
      </c>
      <c r="U12">
        <f>lbs_mWh!U12*0.000453592*10^-3</f>
        <v>4.0012892532800002E-4</v>
      </c>
      <c r="V12">
        <f>lbs_mWh!V12*0.000453592*10^-3</f>
        <v>1.5767765104000002E-4</v>
      </c>
      <c r="W12">
        <f>lbs_mWh!W12*0.000453592*10^-3</f>
        <v>4.6241617876800002E-4</v>
      </c>
      <c r="X12">
        <f>lbs_mWh!X12*0.000453592*10^-3</f>
        <v>3.7535373028800003E-4</v>
      </c>
      <c r="Y12">
        <f>lbs_mWh!Y12*0.000453592*10^-3</f>
        <v>5.0167955588000001E-4</v>
      </c>
      <c r="Z12">
        <f>lbs_mWh!Z12*0.000453592*10^-3</f>
        <v>4.6279220653600001E-4</v>
      </c>
      <c r="AA12">
        <f>lbs_mWh!AA12*0.000453592*10^-3</f>
        <v>4.2775041016800006E-4</v>
      </c>
      <c r="AB12">
        <f>lbs_mWh!AB12*0.000453592*10^-3</f>
        <v>7.706323963600001E-4</v>
      </c>
      <c r="AC12">
        <f>lbs_mWh!AC12*0.000453592*10^-3</f>
        <v>5.715613001760001E-4</v>
      </c>
      <c r="AD12">
        <f>lbs_mWh!AD12*0.000453592*10^-3</f>
        <v>5.8545527672800002E-4</v>
      </c>
      <c r="AE12">
        <f>lbs_mWh!AE12*0.000453592*10^-3</f>
        <v>3.49963918088E-4</v>
      </c>
      <c r="AF12">
        <f>lbs_mWh!AF12*0.000453592*10^-3</f>
        <v>1.43694316864E-4</v>
      </c>
      <c r="AG12">
        <f>lbs_mWh!AG12*0.000453592*10^-3</f>
        <v>2.5393168780799995E-4</v>
      </c>
      <c r="AH12">
        <f>lbs_mWh!AH12*0.000453592*10^-3</f>
        <v>7.1785560638400008E-4</v>
      </c>
      <c r="AI12">
        <f>lbs_mWh!AI12*0.000453592*10^-3</f>
        <v>2.11317626592E-4</v>
      </c>
      <c r="AJ12">
        <f>lbs_mWh!AJ12*0.000453592*10^-3</f>
        <v>3.9583068753600004E-4</v>
      </c>
      <c r="AK12">
        <f>lbs_mWh!AK12*0.000453592*10^-3</f>
        <v>7.5968631421600009E-4</v>
      </c>
      <c r="AL12">
        <f>lbs_mWh!AL12*0.000453592*10^-3</f>
        <v>6.6919969972800014E-4</v>
      </c>
      <c r="AM12">
        <f>lbs_mWh!AM12*0.000453592*10^-3</f>
        <v>4.7550548311199998E-4</v>
      </c>
      <c r="AN12">
        <f>lbs_mWh!AN12*0.000453592*10^-3</f>
        <v>1.3932622590399999E-4</v>
      </c>
      <c r="AO12">
        <f>lbs_mWh!AO12*0.000453592*10^-3</f>
        <v>3.9010998523200002E-4</v>
      </c>
      <c r="AP12">
        <f>lbs_mWh!AP12*0.000453592*10^-3</f>
        <v>3.9539161048000003E-4</v>
      </c>
      <c r="AQ12">
        <f>lbs_mWh!AQ12*0.000453592*10^-3</f>
        <v>2.8703392478400004E-4</v>
      </c>
      <c r="AR12">
        <f>lbs_mWh!AR12*0.000453592*10^-3</f>
        <v>2.3430839070400002E-4</v>
      </c>
      <c r="AS12">
        <f>lbs_mWh!AS12*0.000453592*10^-3</f>
        <v>4.5286942794400006E-4</v>
      </c>
      <c r="AT12">
        <f>lbs_mWh!AT12*0.000453592*10^-3</f>
        <v>4.7835903038400004E-4</v>
      </c>
      <c r="AU12">
        <f>lbs_mWh!AU12*0.000453592*10^-3</f>
        <v>7.4315787532800001E-4</v>
      </c>
      <c r="AV12">
        <f>lbs_mWh!AV12*0.000453592*10^-3</f>
        <v>3.0311285400000004E-5</v>
      </c>
      <c r="AW12">
        <f>lbs_mWh!AW12*0.000453592*10^-3</f>
        <v>3.7148277616000006E-4</v>
      </c>
      <c r="AX12">
        <f>lbs_mWh!AX12*0.000453592*10^-3</f>
        <v>8.5243544560000009E-5</v>
      </c>
      <c r="AY12">
        <f>lbs_mWh!AY12*0.000453592*10^-3</f>
        <v>9.0290163792800004E-4</v>
      </c>
      <c r="AZ12">
        <f>lbs_mWh!AZ12*0.000453592*10^-3</f>
        <v>6.3343669208E-4</v>
      </c>
      <c r="BA12">
        <f>lbs_mWh!BA12*0.000453592*10^-3</f>
        <v>9.2576630346400009E-4</v>
      </c>
    </row>
    <row r="13" spans="1:53">
      <c r="A13" s="228">
        <v>2017</v>
      </c>
      <c r="B13">
        <f>lbs_mWh!B13*0.000453592*10^-3</f>
        <v>4.5548211786400003E-4</v>
      </c>
      <c r="C13">
        <f>lbs_mWh!C13*0.000453592*10^-3</f>
        <v>4.1615614505599997E-4</v>
      </c>
      <c r="D13">
        <f>lbs_mWh!D13*0.000453592*10^-3</f>
        <v>4.21846456696E-4</v>
      </c>
      <c r="E13">
        <f>lbs_mWh!E13*0.000453592*10^-3</f>
        <v>4.2504836262400003E-4</v>
      </c>
      <c r="F13">
        <f>lbs_mWh!F13*0.000453592*10^-3</f>
        <v>5.0919920405600007E-4</v>
      </c>
      <c r="G13">
        <f>lbs_mWh!G13*0.000453592*10^-3</f>
        <v>2.0595752992800002E-4</v>
      </c>
      <c r="H13">
        <f>lbs_mWh!H13*0.000453592*10^-3</f>
        <v>6.7038402844000003E-4</v>
      </c>
      <c r="I13">
        <f>lbs_mWh!I13*0.000453592*10^-3</f>
        <v>2.2776441891999999E-4</v>
      </c>
      <c r="J13">
        <f>lbs_mWh!J13*0.000453592*10^-3</f>
        <v>4.0339614850400004E-4</v>
      </c>
      <c r="K13">
        <f>lbs_mWh!K13*0.000453592*10^-3</f>
        <v>2.1910398686399998E-4</v>
      </c>
      <c r="L13">
        <f>lbs_mWh!L13*0.000453592*10^-3</f>
        <v>4.6673119946400007E-4</v>
      </c>
      <c r="M13">
        <f>lbs_mWh!M13*0.000453592*10^-3</f>
        <v>4.5697035321600002E-4</v>
      </c>
      <c r="N13">
        <f>lbs_mWh!N13*0.000453592*10^-3</f>
        <v>6.9530301214400009E-4</v>
      </c>
      <c r="O13">
        <f>lbs_mWh!O13*0.000453592*10^-3</f>
        <v>8.5852718616000003E-5</v>
      </c>
      <c r="P13">
        <f>lbs_mWh!P13*0.000453592*10^-3</f>
        <v>3.7014966927200008E-4</v>
      </c>
      <c r="Q13">
        <f>lbs_mWh!Q13*0.000453592*10^-3</f>
        <v>8.2776230876E-4</v>
      </c>
      <c r="R13">
        <f>lbs_mWh!R13*0.000453592*10^-3</f>
        <v>4.5534740103999997E-4</v>
      </c>
      <c r="S13">
        <f>lbs_mWh!S13*0.000453592*10^-3</f>
        <v>5.4615016915200004E-4</v>
      </c>
      <c r="T13">
        <f>lbs_mWh!T13*0.000453592*10^-3</f>
        <v>8.92707157728E-4</v>
      </c>
      <c r="U13">
        <f>lbs_mWh!U13*0.000453592*10^-3</f>
        <v>4.0012892532800002E-4</v>
      </c>
      <c r="V13">
        <f>lbs_mWh!V13*0.000453592*10^-3</f>
        <v>1.5767765104000002E-4</v>
      </c>
      <c r="W13">
        <f>lbs_mWh!W13*0.000453592*10^-3</f>
        <v>4.6241617876800002E-4</v>
      </c>
      <c r="X13">
        <f>lbs_mWh!X13*0.000453592*10^-3</f>
        <v>3.7535373028800003E-4</v>
      </c>
      <c r="Y13">
        <f>lbs_mWh!Y13*0.000453592*10^-3</f>
        <v>5.0167955588000001E-4</v>
      </c>
      <c r="Z13">
        <f>lbs_mWh!Z13*0.000453592*10^-3</f>
        <v>4.6279220653600001E-4</v>
      </c>
      <c r="AA13">
        <f>lbs_mWh!AA13*0.000453592*10^-3</f>
        <v>4.2775041016800006E-4</v>
      </c>
      <c r="AB13">
        <f>lbs_mWh!AB13*0.000453592*10^-3</f>
        <v>7.706323963600001E-4</v>
      </c>
      <c r="AC13">
        <f>lbs_mWh!AC13*0.000453592*10^-3</f>
        <v>5.715613001760001E-4</v>
      </c>
      <c r="AD13">
        <f>lbs_mWh!AD13*0.000453592*10^-3</f>
        <v>5.8545527672800002E-4</v>
      </c>
      <c r="AE13">
        <f>lbs_mWh!AE13*0.000453592*10^-3</f>
        <v>3.49963918088E-4</v>
      </c>
      <c r="AF13">
        <f>lbs_mWh!AF13*0.000453592*10^-3</f>
        <v>1.43694316864E-4</v>
      </c>
      <c r="AG13">
        <f>lbs_mWh!AG13*0.000453592*10^-3</f>
        <v>2.5393168780799995E-4</v>
      </c>
      <c r="AH13">
        <f>lbs_mWh!AH13*0.000453592*10^-3</f>
        <v>7.1785560638400008E-4</v>
      </c>
      <c r="AI13">
        <f>lbs_mWh!AI13*0.000453592*10^-3</f>
        <v>2.11317626592E-4</v>
      </c>
      <c r="AJ13">
        <f>lbs_mWh!AJ13*0.000453592*10^-3</f>
        <v>3.9583068753600004E-4</v>
      </c>
      <c r="AK13">
        <f>lbs_mWh!AK13*0.000453592*10^-3</f>
        <v>7.5968631421600009E-4</v>
      </c>
      <c r="AL13">
        <f>lbs_mWh!AL13*0.000453592*10^-3</f>
        <v>6.6919969972800014E-4</v>
      </c>
      <c r="AM13">
        <f>lbs_mWh!AM13*0.000453592*10^-3</f>
        <v>4.7550548311199998E-4</v>
      </c>
      <c r="AN13">
        <f>lbs_mWh!AN13*0.000453592*10^-3</f>
        <v>1.3932622590399999E-4</v>
      </c>
      <c r="AO13">
        <f>lbs_mWh!AO13*0.000453592*10^-3</f>
        <v>3.9010998523200002E-4</v>
      </c>
      <c r="AP13">
        <f>lbs_mWh!AP13*0.000453592*10^-3</f>
        <v>3.9539161048000003E-4</v>
      </c>
      <c r="AQ13">
        <f>lbs_mWh!AQ13*0.000453592*10^-3</f>
        <v>2.8703392478400004E-4</v>
      </c>
      <c r="AR13">
        <f>lbs_mWh!AR13*0.000453592*10^-3</f>
        <v>2.3430839070400002E-4</v>
      </c>
      <c r="AS13">
        <f>lbs_mWh!AS13*0.000453592*10^-3</f>
        <v>4.5286942794400006E-4</v>
      </c>
      <c r="AT13">
        <f>lbs_mWh!AT13*0.000453592*10^-3</f>
        <v>4.7835903038400004E-4</v>
      </c>
      <c r="AU13">
        <f>lbs_mWh!AU13*0.000453592*10^-3</f>
        <v>7.4315787532800001E-4</v>
      </c>
      <c r="AV13">
        <f>lbs_mWh!AV13*0.000453592*10^-3</f>
        <v>3.0311285400000004E-5</v>
      </c>
      <c r="AW13">
        <f>lbs_mWh!AW13*0.000453592*10^-3</f>
        <v>3.7148277616000006E-4</v>
      </c>
      <c r="AX13">
        <f>lbs_mWh!AX13*0.000453592*10^-3</f>
        <v>8.5243544560000009E-5</v>
      </c>
      <c r="AY13">
        <f>lbs_mWh!AY13*0.000453592*10^-3</f>
        <v>9.0290163792800004E-4</v>
      </c>
      <c r="AZ13">
        <f>lbs_mWh!AZ13*0.000453592*10^-3</f>
        <v>6.3343669208E-4</v>
      </c>
      <c r="BA13">
        <f>lbs_mWh!BA13*0.000453592*10^-3</f>
        <v>9.2576630346400009E-4</v>
      </c>
    </row>
    <row r="14" spans="1:53">
      <c r="A14" s="226">
        <v>2018</v>
      </c>
      <c r="B14">
        <f>lbs_mWh!B14*0.000453592*10^-3</f>
        <v>4.3221738418399997E-4</v>
      </c>
      <c r="C14">
        <f>lbs_mWh!C14*0.000453592*10^-3</f>
        <v>3.9385302641600003E-4</v>
      </c>
      <c r="D14">
        <f>lbs_mWh!D14*0.000453592*10^-3</f>
        <v>4.1366910012000005E-4</v>
      </c>
      <c r="E14">
        <f>lbs_mWh!E14*0.000453592*10^-3</f>
        <v>4.4100255403999998E-4</v>
      </c>
      <c r="F14">
        <f>lbs_mWh!F14*0.000453592*10^-3</f>
        <v>5.5299396524800001E-4</v>
      </c>
      <c r="G14">
        <f>lbs_mWh!G14*0.000453592*10^-3</f>
        <v>1.9142897816800002E-4</v>
      </c>
      <c r="H14">
        <f>lbs_mWh!H14*0.000453592*10^-3</f>
        <v>6.2204246103999996E-4</v>
      </c>
      <c r="I14">
        <f>lbs_mWh!I14*0.000453592*10^-3</f>
        <v>2.31097412936E-4</v>
      </c>
      <c r="J14">
        <f>lbs_mWh!J14*0.000453592*10^-3</f>
        <v>4.0840788651199999E-4</v>
      </c>
      <c r="K14">
        <f>lbs_mWh!K14*0.000453592*10^-3</f>
        <v>1.9961223144E-4</v>
      </c>
      <c r="L14">
        <f>lbs_mWh!L14*0.000453592*10^-3</f>
        <v>4.2988002460800004E-4</v>
      </c>
      <c r="M14">
        <f>lbs_mWh!M14*0.000453592*10^-3</f>
        <v>4.2268333393599998E-4</v>
      </c>
      <c r="N14">
        <f>lbs_mWh!N14*0.000453592*10^-3</f>
        <v>6.9162937053599991E-4</v>
      </c>
      <c r="O14">
        <f>lbs_mWh!O14*0.000453592*10^-3</f>
        <v>7.2889966439999994E-5</v>
      </c>
      <c r="P14">
        <f>lbs_mWh!P14*0.000453592*10^-3</f>
        <v>3.7128455645600003E-4</v>
      </c>
      <c r="Q14">
        <f>lbs_mWh!Q14*0.000453592*10^-3</f>
        <v>7.9311649820799999E-4</v>
      </c>
      <c r="R14">
        <f>lbs_mWh!R14*0.000453592*10^-3</f>
        <v>4.8868278430400005E-4</v>
      </c>
      <c r="S14">
        <f>lbs_mWh!S14*0.000453592*10^-3</f>
        <v>4.520497872E-4</v>
      </c>
      <c r="T14">
        <f>lbs_mWh!T14*0.000453592*10^-3</f>
        <v>8.3264114431200003E-4</v>
      </c>
      <c r="U14">
        <f>lbs_mWh!U14*0.000453592*10^-3</f>
        <v>3.8075827896799999E-4</v>
      </c>
      <c r="V14">
        <f>lbs_mWh!V14*0.000453592*10^-3</f>
        <v>1.2166289983200001E-4</v>
      </c>
      <c r="W14">
        <f>lbs_mWh!W14*0.000453592*10^-3</f>
        <v>3.8154526108800002E-4</v>
      </c>
      <c r="X14">
        <f>lbs_mWh!X14*0.000453592*10^-3</f>
        <v>3.3286531405600002E-4</v>
      </c>
      <c r="Y14">
        <f>lbs_mWh!Y14*0.000453592*10^-3</f>
        <v>5.06101624288E-4</v>
      </c>
      <c r="Z14">
        <f>lbs_mWh!Z14*0.000453592*10^-3</f>
        <v>4.5500131034399997E-4</v>
      </c>
      <c r="AA14">
        <f>lbs_mWh!AA14*0.000453592*10^-3</f>
        <v>4.1708555506400001E-4</v>
      </c>
      <c r="AB14">
        <f>lbs_mWh!AB14*0.000453592*10^-3</f>
        <v>7.7695456165599998E-4</v>
      </c>
      <c r="AC14">
        <f>lbs_mWh!AC14*0.000453592*10^-3</f>
        <v>5.2885697415200003E-4</v>
      </c>
      <c r="AD14">
        <f>lbs_mWh!AD14*0.000453592*10^-3</f>
        <v>6.4297799980000004E-4</v>
      </c>
      <c r="AE14">
        <f>lbs_mWh!AE14*0.000453592*10^-3</f>
        <v>3.3866085904000001E-4</v>
      </c>
      <c r="AF14">
        <f>lbs_mWh!AF14*0.000453592*10^-3</f>
        <v>1.3871523748E-4</v>
      </c>
      <c r="AG14">
        <f>lbs_mWh!AG14*0.000453592*10^-3</f>
        <v>2.27767140472E-4</v>
      </c>
      <c r="AH14">
        <f>lbs_mWh!AH14*0.000453592*10^-3</f>
        <v>6.0800378864000006E-4</v>
      </c>
      <c r="AI14">
        <f>lbs_mWh!AI14*0.000453592*10^-3</f>
        <v>1.8991125933600001E-4</v>
      </c>
      <c r="AJ14">
        <f>lbs_mWh!AJ14*0.000453592*10^-3</f>
        <v>3.6472153380800001E-4</v>
      </c>
      <c r="AK14">
        <f>lbs_mWh!AK14*0.000453592*10^-3</f>
        <v>6.8803102519999994E-4</v>
      </c>
      <c r="AL14">
        <f>lbs_mWh!AL14*0.000453592*10^-3</f>
        <v>6.0320750683200001E-4</v>
      </c>
      <c r="AM14">
        <f>lbs_mWh!AM14*0.000453592*10^-3</f>
        <v>4.0523138173600005E-4</v>
      </c>
      <c r="AN14">
        <f>lbs_mWh!AN14*0.000453592*10^-3</f>
        <v>1.4250046272000003E-4</v>
      </c>
      <c r="AO14">
        <f>lbs_mWh!AO14*0.000453592*10^-3</f>
        <v>3.57813327648E-4</v>
      </c>
      <c r="AP14">
        <f>lbs_mWh!AP14*0.000453592*10^-3</f>
        <v>3.9406984339199999E-4</v>
      </c>
      <c r="AQ14">
        <f>lbs_mWh!AQ14*0.000453592*10^-3</f>
        <v>2.8783270029600003E-4</v>
      </c>
      <c r="AR14">
        <f>lbs_mWh!AR14*0.000453592*10^-3</f>
        <v>2.3586194330399999E-4</v>
      </c>
      <c r="AS14">
        <f>lbs_mWh!AS14*0.000453592*10^-3</f>
        <v>3.3944784115999999E-4</v>
      </c>
      <c r="AT14">
        <f>lbs_mWh!AT14*0.000453592*10^-3</f>
        <v>4.4618121390400001E-4</v>
      </c>
      <c r="AU14">
        <f>lbs_mWh!AU14*0.000453592*10^-3</f>
        <v>7.2998828519999989E-4</v>
      </c>
      <c r="AV14">
        <f>lbs_mWh!AV14*0.000453592*10^-3</f>
        <v>2.6084715144000001E-5</v>
      </c>
      <c r="AW14">
        <f>lbs_mWh!AW14*0.000453592*10^-3</f>
        <v>3.3694809564800005E-4</v>
      </c>
      <c r="AX14">
        <f>lbs_mWh!AX14*0.000453592*10^-3</f>
        <v>9.0737450864000006E-5</v>
      </c>
      <c r="AY14">
        <f>lbs_mWh!AY14*0.000453592*10^-3</f>
        <v>8.8970211072800004E-4</v>
      </c>
      <c r="AZ14">
        <f>lbs_mWh!AZ14*0.000453592*10^-3</f>
        <v>6.3332964436800001E-4</v>
      </c>
      <c r="BA14">
        <f>lbs_mWh!BA14*0.000453592*10^-3</f>
        <v>9.3610411873599998E-4</v>
      </c>
    </row>
    <row r="15" spans="1:53">
      <c r="A15" s="228">
        <v>2019</v>
      </c>
      <c r="B15">
        <f>lbs_mWh!B15*0.000453592*10^-3</f>
        <v>4.0334035668800002E-4</v>
      </c>
      <c r="C15">
        <f>lbs_mWh!C15*0.000453592*10^-3</f>
        <v>3.5632962821600001E-4</v>
      </c>
      <c r="D15">
        <f>lbs_mWh!D15*0.000453592*10^-3</f>
        <v>4.4222044855999997E-4</v>
      </c>
      <c r="E15">
        <f>lbs_mWh!E15*0.000453592*10^-3</f>
        <v>3.9613277980800001E-4</v>
      </c>
      <c r="F15">
        <f>lbs_mWh!F15*0.000453592*10^-3</f>
        <v>5.1162592125600002E-4</v>
      </c>
      <c r="G15">
        <f>lbs_mWh!G15*0.000453592*10^-3</f>
        <v>1.7562311133600001E-4</v>
      </c>
      <c r="H15">
        <f>lbs_mWh!H15*0.000453592*10^-3</f>
        <v>6.0376406421600005E-4</v>
      </c>
      <c r="I15">
        <f>lbs_mWh!I15*0.000453592*10^-3</f>
        <v>2.1655479982400001E-4</v>
      </c>
      <c r="J15">
        <f>lbs_mWh!J15*0.000453592*10^-3</f>
        <v>3.2272072897599998E-4</v>
      </c>
      <c r="K15">
        <f>lbs_mWh!K15*0.000453592*10^-3</f>
        <v>3.6182670966400002E-4</v>
      </c>
      <c r="L15">
        <f>lbs_mWh!L15*0.000453592*10^-3</f>
        <v>3.9792673616800004E-4</v>
      </c>
      <c r="M15">
        <f>lbs_mWh!M15*0.000453592*10^-3</f>
        <v>3.9959051162400002E-4</v>
      </c>
      <c r="N15">
        <f>lbs_mWh!N15*0.000453592*10^-3</f>
        <v>7.0883502228E-4</v>
      </c>
      <c r="O15">
        <f>lbs_mWh!O15*0.000453592*10^-3</f>
        <v>9.5883905695999999E-5</v>
      </c>
      <c r="P15">
        <f>lbs_mWh!P15*0.000453592*10^-3</f>
        <v>3.2920573380000004E-4</v>
      </c>
      <c r="Q15">
        <f>lbs_mWh!Q15*0.000453592*10^-3</f>
        <v>7.41257324848E-4</v>
      </c>
      <c r="R15">
        <f>lbs_mWh!R15*0.000453592*10^-3</f>
        <v>3.9075045713599999E-4</v>
      </c>
      <c r="S15">
        <f>lbs_mWh!S15*0.000453592*10^-3</f>
        <v>4.05347047696E-4</v>
      </c>
      <c r="T15">
        <f>lbs_mWh!T15*0.000453592*10^-3</f>
        <v>8.0768088373600003E-4</v>
      </c>
      <c r="U15">
        <f>lbs_mWh!U15*0.000453592*10^-3</f>
        <v>3.7480987348000006E-4</v>
      </c>
      <c r="V15">
        <f>lbs_mWh!V15*0.000453592*10^-3</f>
        <v>9.6871375479999999E-5</v>
      </c>
      <c r="W15">
        <f>lbs_mWh!W15*0.000453592*10^-3</f>
        <v>3.35067956808E-4</v>
      </c>
      <c r="X15">
        <f>lbs_mWh!X15*0.000453592*10^-3</f>
        <v>3.5406484336000007E-4</v>
      </c>
      <c r="Y15">
        <f>lbs_mWh!Y15*0.000453592*10^-3</f>
        <v>4.5968374056E-4</v>
      </c>
      <c r="Z15">
        <f>lbs_mWh!Z15*0.000453592*10^-3</f>
        <v>3.99581439784E-4</v>
      </c>
      <c r="AA15">
        <f>lbs_mWh!AA15*0.000453592*10^-3</f>
        <v>3.7981888993599998E-4</v>
      </c>
      <c r="AB15">
        <f>lbs_mWh!AB15*0.000453592*10^-3</f>
        <v>7.2521196144000001E-4</v>
      </c>
      <c r="AC15">
        <f>lbs_mWh!AC15*0.000453592*10^-3</f>
        <v>5.7276422616000004E-4</v>
      </c>
      <c r="AD15">
        <f>lbs_mWh!AD15*0.000453592*10^-3</f>
        <v>5.7407918936799992E-4</v>
      </c>
      <c r="AE15">
        <f>lbs_mWh!AE15*0.000453592*10^-3</f>
        <v>3.3535190540000004E-4</v>
      </c>
      <c r="AF15">
        <f>lbs_mWh!AF15*0.000453592*10^-3</f>
        <v>1.16226599712E-4</v>
      </c>
      <c r="AG15">
        <f>lbs_mWh!AG15*0.000453592*10^-3</f>
        <v>2.4729291529599999E-4</v>
      </c>
      <c r="AH15">
        <f>lbs_mWh!AH15*0.000453592*10^-3</f>
        <v>6.0185807063200007E-4</v>
      </c>
      <c r="AI15">
        <f>lbs_mWh!AI15*0.000453592*10^-3</f>
        <v>1.7156981322399999E-4</v>
      </c>
      <c r="AJ15">
        <f>lbs_mWh!AJ15*0.000453592*10^-3</f>
        <v>3.5359310767999998E-4</v>
      </c>
      <c r="AK15">
        <f>lbs_mWh!AK15*0.000453592*10^-3</f>
        <v>6.5657079126399994E-4</v>
      </c>
      <c r="AL15">
        <f>lbs_mWh!AL15*0.000453592*10^-3</f>
        <v>5.6356855554400009E-4</v>
      </c>
      <c r="AM15">
        <f>lbs_mWh!AM15*0.000453592*10^-3</f>
        <v>3.3304765804000004E-4</v>
      </c>
      <c r="AN15">
        <f>lbs_mWh!AN15*0.000453592*10^-3</f>
        <v>1.8058903655199999E-4</v>
      </c>
      <c r="AO15">
        <f>lbs_mWh!AO15*0.000453592*10^-3</f>
        <v>3.4416610514399998E-4</v>
      </c>
      <c r="AP15">
        <f>lbs_mWh!AP15*0.000453592*10^-3</f>
        <v>3.8658920412800005E-4</v>
      </c>
      <c r="AQ15">
        <f>lbs_mWh!AQ15*0.000453592*10^-3</f>
        <v>2.4421030406400002E-4</v>
      </c>
      <c r="AR15">
        <f>lbs_mWh!AR15*0.000453592*10^-3</f>
        <v>2.2322033426400002E-4</v>
      </c>
      <c r="AS15">
        <f>lbs_mWh!AS15*0.000453592*10^-3</f>
        <v>3.1950022577600001E-4</v>
      </c>
      <c r="AT15">
        <f>lbs_mWh!AT15*0.000453592*10^-3</f>
        <v>4.1432181900799998E-4</v>
      </c>
      <c r="AU15">
        <f>lbs_mWh!AU15*0.000453592*10^-3</f>
        <v>7.26573191032E-4</v>
      </c>
      <c r="AV15">
        <f>lbs_mWh!AV15*0.000453592*10^-3</f>
        <v>2.3252486696E-5</v>
      </c>
      <c r="AW15">
        <f>lbs_mWh!AW15*0.000453592*10^-3</f>
        <v>2.88415566016E-4</v>
      </c>
      <c r="AX15">
        <f>lbs_mWh!AX15*0.000453592*10^-3</f>
        <v>1.35667552832E-4</v>
      </c>
      <c r="AY15">
        <f>lbs_mWh!AY15*0.000453592*10^-3</f>
        <v>8.8234620926400001E-4</v>
      </c>
      <c r="AZ15">
        <f>lbs_mWh!AZ15*0.000453592*10^-3</f>
        <v>5.5927303930400005E-4</v>
      </c>
      <c r="BA15">
        <f>lbs_mWh!BA15*0.000453592*10^-3</f>
        <v>9.3847821926400015E-4</v>
      </c>
    </row>
    <row r="16" spans="1:53">
      <c r="A16" s="226">
        <v>2020</v>
      </c>
      <c r="B16">
        <f>lbs_mWh!B16*0.000453592*10^-3</f>
        <v>3.7313430463199997E-4</v>
      </c>
      <c r="C16">
        <f>lbs_mWh!C16*0.000453592*10^-3</f>
        <v>3.2706614033600003E-4</v>
      </c>
      <c r="D16">
        <f>lbs_mWh!D16*0.000453592*10^-3</f>
        <v>4.3822793177600002E-4</v>
      </c>
      <c r="E16">
        <f>lbs_mWh!E16*0.000453592*10^-3</f>
        <v>3.3428777856800001E-4</v>
      </c>
      <c r="F16">
        <f>lbs_mWh!F16*0.000453592*10^-3</f>
        <v>4.31496172904E-4</v>
      </c>
      <c r="G16">
        <f>lbs_mWh!G16*0.000453592*10^-3</f>
        <v>2.0553069985600002E-4</v>
      </c>
      <c r="H16">
        <f>lbs_mWh!H16*0.000453592*10^-3</f>
        <v>5.5303614930400007E-4</v>
      </c>
      <c r="I16">
        <f>lbs_mWh!I16*0.000453592*10^-3</f>
        <v>2.40297619472E-4</v>
      </c>
      <c r="J16">
        <f>lbs_mWh!J16*0.000453592*10^-3</f>
        <v>3.4247556776E-4</v>
      </c>
      <c r="K16">
        <f>lbs_mWh!K16*0.000453592*10^-3</f>
        <v>3.6338207663199999E-4</v>
      </c>
      <c r="L16">
        <f>lbs_mWh!L16*0.000453592*10^-3</f>
        <v>3.82001121048E-4</v>
      </c>
      <c r="M16">
        <f>lbs_mWh!M16*0.000453592*10^-3</f>
        <v>3.28179708696E-4</v>
      </c>
      <c r="N16">
        <f>lbs_mWh!N16*0.000453592*10^-3</f>
        <v>6.9240909518399995E-4</v>
      </c>
      <c r="O16">
        <f>lbs_mWh!O16*0.000453592*10^-3</f>
        <v>9.6794718431999989E-5</v>
      </c>
      <c r="P16">
        <f>lbs_mWh!P16*0.000453592*10^-3</f>
        <v>2.5239854684800002E-4</v>
      </c>
      <c r="Q16">
        <f>lbs_mWh!Q16*0.000453592*10^-3</f>
        <v>7.028203923599999E-4</v>
      </c>
      <c r="R16">
        <f>lbs_mWh!R16*0.000453592*10^-3</f>
        <v>2.7904889121600003E-4</v>
      </c>
      <c r="S16">
        <f>lbs_mWh!S16*0.000453592*10^-3</f>
        <v>3.6477551125600001E-4</v>
      </c>
      <c r="T16">
        <f>lbs_mWh!T16*0.000453592*10^-3</f>
        <v>7.6424536740799995E-4</v>
      </c>
      <c r="U16">
        <f>lbs_mWh!U16*0.000453592*10^-3</f>
        <v>3.4551826289600001E-4</v>
      </c>
      <c r="V16">
        <f>lbs_mWh!V16*0.000453592*10^-3</f>
        <v>1.03500168968E-4</v>
      </c>
      <c r="W16">
        <f>lbs_mWh!W16*0.000453592*10^-3</f>
        <v>2.9271425740000004E-4</v>
      </c>
      <c r="X16">
        <f>lbs_mWh!X16*0.000453592*10^-3</f>
        <v>3.99116054392E-4</v>
      </c>
      <c r="Y16">
        <f>lbs_mWh!Y16*0.000453592*10^-3</f>
        <v>4.2548335735199998E-4</v>
      </c>
      <c r="Z16">
        <f>lbs_mWh!Z16*0.000453592*10^-3</f>
        <v>3.4943185467199998E-4</v>
      </c>
      <c r="AA16">
        <f>lbs_mWh!AA16*0.000453592*10^-3</f>
        <v>4.0557202932800003E-4</v>
      </c>
      <c r="AB16">
        <f>lbs_mWh!AB16*0.000453592*10^-3</f>
        <v>7.341028182320001E-4</v>
      </c>
      <c r="AC16">
        <f>lbs_mWh!AC16*0.000453592*10^-3</f>
        <v>4.1396484210399999E-4</v>
      </c>
      <c r="AD16">
        <f>lbs_mWh!AD16*0.000453592*10^-3</f>
        <v>5.4461339945599996E-4</v>
      </c>
      <c r="AE16">
        <f>lbs_mWh!AE16*0.000453592*10^-3</f>
        <v>3.2505445981600002E-4</v>
      </c>
      <c r="AF16">
        <f>lbs_mWh!AF16*0.000453592*10^-3</f>
        <v>1.1244318884E-4</v>
      </c>
      <c r="AG16">
        <f>lbs_mWh!AG16*0.000453592*10^-3</f>
        <v>2.23300166456E-4</v>
      </c>
      <c r="AH16">
        <f>lbs_mWh!AH16*0.000453592*10^-3</f>
        <v>5.7146831381600009E-4</v>
      </c>
      <c r="AI16">
        <f>lbs_mWh!AI16*0.000453592*10^-3</f>
        <v>1.8900951843999999E-4</v>
      </c>
      <c r="AJ16">
        <f>lbs_mWh!AJ16*0.000453592*10^-3</f>
        <v>2.9412946444000004E-4</v>
      </c>
      <c r="AK16">
        <f>lbs_mWh!AK16*0.000453592*10^-3</f>
        <v>6.2965101324799998E-4</v>
      </c>
      <c r="AL16">
        <f>lbs_mWh!AL16*0.000453592*10^-3</f>
        <v>5.684768745760001E-4</v>
      </c>
      <c r="AM16">
        <f>lbs_mWh!AM16*0.000453592*10^-3</f>
        <v>3.2143887798400002E-4</v>
      </c>
      <c r="AN16">
        <f>lbs_mWh!AN16*0.000453592*10^-3</f>
        <v>1.5495201671199998E-4</v>
      </c>
      <c r="AO16">
        <f>lbs_mWh!AO16*0.000453592*10^-3</f>
        <v>3.1639266698400007E-4</v>
      </c>
      <c r="AP16">
        <f>lbs_mWh!AP16*0.000453592*10^-3</f>
        <v>3.7537414192799999E-4</v>
      </c>
      <c r="AQ16">
        <f>lbs_mWh!AQ16*0.000453592*10^-3</f>
        <v>2.3308323871199999E-4</v>
      </c>
      <c r="AR16">
        <f>lbs_mWh!AR16*0.000453592*10^-3</f>
        <v>1.5448572413600002E-4</v>
      </c>
      <c r="AS16">
        <f>lbs_mWh!AS16*0.000453592*10^-3</f>
        <v>2.59185643944E-4</v>
      </c>
      <c r="AT16">
        <f>lbs_mWh!AT16*0.000453592*10^-3</f>
        <v>3.8896375824800001E-4</v>
      </c>
      <c r="AU16">
        <f>lbs_mWh!AU16*0.000453592*10^-3</f>
        <v>7.1021620992000006E-4</v>
      </c>
      <c r="AV16">
        <f>lbs_mWh!AV16*0.000453592*10^-3</f>
        <v>1.3748373519999999E-5</v>
      </c>
      <c r="AW16">
        <f>lbs_mWh!AW16*0.000453592*10^-3</f>
        <v>2.9249653324000001E-4</v>
      </c>
      <c r="AX16">
        <f>lbs_mWh!AX16*0.000453592*10^-3</f>
        <v>9.6739380208000009E-5</v>
      </c>
      <c r="AY16">
        <f>lbs_mWh!AY16*0.000453592*10^-3</f>
        <v>8.7304303734400007E-4</v>
      </c>
      <c r="AZ16">
        <f>lbs_mWh!AZ16*0.000453592*10^-3</f>
        <v>5.4068710710400002E-4</v>
      </c>
      <c r="BA16">
        <f>lbs_mWh!BA16*0.000453592*10^-3</f>
        <v>9.0269570716000006E-4</v>
      </c>
    </row>
    <row r="17" spans="1:53">
      <c r="A17" s="228">
        <v>2021</v>
      </c>
      <c r="B17">
        <f>lbs_mWh!B17*0.000453592*10^-3</f>
        <v>3.8873696224800002E-4</v>
      </c>
      <c r="C17">
        <f>lbs_mWh!C17*0.000453592*10^-3</f>
        <v>3.4222473138399999E-4</v>
      </c>
      <c r="D17">
        <f>lbs_mWh!D17*0.000453592*10^-3</f>
        <v>4.1955627068800008E-4</v>
      </c>
      <c r="E17">
        <f>lbs_mWh!E17*0.000453592*10^-3</f>
        <v>3.3004306463200003E-4</v>
      </c>
      <c r="F17">
        <f>lbs_mWh!F17*0.000453592*10^-3</f>
        <v>4.95840919656E-4</v>
      </c>
      <c r="G17">
        <f>lbs_mWh!G17*0.000453592*10^-3</f>
        <v>2.1794868804000001E-4</v>
      </c>
      <c r="H17">
        <f>lbs_mWh!H17*0.000453592*10^-3</f>
        <v>5.5544789796800012E-4</v>
      </c>
      <c r="I17">
        <f>lbs_mWh!I17*0.000453592*10^-3</f>
        <v>2.35020530144E-4</v>
      </c>
      <c r="J17">
        <f>lbs_mWh!J17*0.000453592*10^-3</f>
        <v>3.9465406988799999E-4</v>
      </c>
      <c r="K17">
        <f>lbs_mWh!K17*0.000453592*10^-3</f>
        <v>2.9603273647199998E-4</v>
      </c>
      <c r="L17">
        <f>lbs_mWh!L17*0.000453592*10^-3</f>
        <v>3.7987604252800002E-4</v>
      </c>
      <c r="M17">
        <f>lbs_mWh!M17*0.000453592*10^-3</f>
        <v>3.4583033419200007E-4</v>
      </c>
      <c r="N17">
        <f>lbs_mWh!N17*0.000453592*10^-3</f>
        <v>6.8154602037600015E-4</v>
      </c>
      <c r="O17">
        <f>lbs_mWh!O17*0.000453592*10^-3</f>
        <v>1.23358426728E-4</v>
      </c>
      <c r="P17">
        <f>lbs_mWh!P17*0.000453592*10^-3</f>
        <v>2.9815600062399998E-4</v>
      </c>
      <c r="Q17">
        <f>lbs_mWh!Q17*0.000453592*10^-3</f>
        <v>7.4521990456000002E-4</v>
      </c>
      <c r="R17">
        <f>lbs_mWh!R17*0.000453592*10^-3</f>
        <v>3.5127479896799999E-4</v>
      </c>
      <c r="S17">
        <f>lbs_mWh!S17*0.000453592*10^-3</f>
        <v>3.8312194688000002E-4</v>
      </c>
      <c r="T17">
        <f>lbs_mWh!T17*0.000453592*10^-3</f>
        <v>7.8914121792000001E-4</v>
      </c>
      <c r="U17">
        <f>lbs_mWh!U17*0.000453592*10^-3</f>
        <v>3.7590892689600005E-4</v>
      </c>
      <c r="V17">
        <f>lbs_mWh!V17*0.000453592*10^-3</f>
        <v>1.4033047859199999E-4</v>
      </c>
      <c r="W17">
        <f>lbs_mWh!W17*0.000453592*10^-3</f>
        <v>3.1842339836800002E-4</v>
      </c>
      <c r="X17">
        <f>lbs_mWh!X17*0.000453592*10^-3</f>
        <v>3.8989951854400003E-4</v>
      </c>
      <c r="Y17">
        <f>lbs_mWh!Y17*0.000453592*10^-3</f>
        <v>4.5825537935200003E-4</v>
      </c>
      <c r="Z17">
        <f>lbs_mWh!Z17*0.000453592*10^-3</f>
        <v>3.7718714915200001E-4</v>
      </c>
      <c r="AA17">
        <f>lbs_mWh!AA17*0.000453592*10^-3</f>
        <v>3.79367112304E-4</v>
      </c>
      <c r="AB17">
        <f>lbs_mWh!AB17*0.000453592*10^-3</f>
        <v>7.4796413615999999E-4</v>
      </c>
      <c r="AC17">
        <f>lbs_mWh!AC17*0.000453592*10^-3</f>
        <v>4.7765188045599993E-4</v>
      </c>
      <c r="AD17">
        <f>lbs_mWh!AD17*0.000453592*10^-3</f>
        <v>5.1424133272800002E-4</v>
      </c>
      <c r="AE17">
        <f>lbs_mWh!AE17*0.000453592*10^-3</f>
        <v>3.2516377548800005E-4</v>
      </c>
      <c r="AF17">
        <f>lbs_mWh!AF17*0.000453592*10^-3</f>
        <v>1.3972674764000002E-4</v>
      </c>
      <c r="AG17">
        <f>lbs_mWh!AG17*0.000453592*10^-3</f>
        <v>2.1914571732800002E-4</v>
      </c>
      <c r="AH17">
        <f>lbs_mWh!AH17*0.000453592*10^-3</f>
        <v>5.1747317572800003E-4</v>
      </c>
      <c r="AI17">
        <f>lbs_mWh!AI17*0.000453592*10^-3</f>
        <v>2.0730106943200001E-4</v>
      </c>
      <c r="AJ17">
        <f>lbs_mWh!AJ17*0.000453592*10^-3</f>
        <v>3.0511183394400006E-4</v>
      </c>
      <c r="AK17">
        <f>lbs_mWh!AK17*0.000453592*10^-3</f>
        <v>6.1278555550400003E-4</v>
      </c>
      <c r="AL17">
        <f>lbs_mWh!AL17*0.000453592*10^-3</f>
        <v>5.5104986993600004E-4</v>
      </c>
      <c r="AM17">
        <f>lbs_mWh!AM17*0.000453592*10^-3</f>
        <v>3.4320811884000003E-4</v>
      </c>
      <c r="AN17">
        <f>lbs_mWh!AN17*0.000453592*10^-3</f>
        <v>1.4819712464800002E-4</v>
      </c>
      <c r="AO17">
        <f>lbs_mWh!AO17*0.000453592*10^-3</f>
        <v>3.3095750610400001E-4</v>
      </c>
      <c r="AP17">
        <f>lbs_mWh!AP17*0.000453592*10^-3</f>
        <v>3.7810431217599999E-4</v>
      </c>
      <c r="AQ17">
        <f>lbs_mWh!AQ17*0.000453592*10^-3</f>
        <v>2.5872615524800003E-4</v>
      </c>
      <c r="AR17">
        <f>lbs_mWh!AR17*0.000453592*10^-3</f>
        <v>1.3815913368800002E-4</v>
      </c>
      <c r="AS17">
        <f>lbs_mWh!AS17*0.000453592*10^-3</f>
        <v>3.1871505802400001E-4</v>
      </c>
      <c r="AT17">
        <f>lbs_mWh!AT17*0.000453592*10^-3</f>
        <v>3.9019888926399997E-4</v>
      </c>
      <c r="AU17">
        <f>lbs_mWh!AU17*0.000453592*10^-3</f>
        <v>7.126819360319999E-4</v>
      </c>
      <c r="AV17">
        <f>lbs_mWh!AV17*0.000453592*10^-3</f>
        <v>2.0336343728000002E-5</v>
      </c>
      <c r="AW17">
        <f>lbs_mWh!AW17*0.000453592*10^-3</f>
        <v>2.7285690682399998E-4</v>
      </c>
      <c r="AX17">
        <f>lbs_mWh!AX17*0.000453592*10^-3</f>
        <v>9.2058310768000003E-5</v>
      </c>
      <c r="AY17">
        <f>lbs_mWh!AY17*0.000453592*10^-3</f>
        <v>8.8875682499999994E-4</v>
      </c>
      <c r="AZ17">
        <f>lbs_mWh!AZ17*0.000453592*10^-3</f>
        <v>5.7829940933599999E-4</v>
      </c>
      <c r="BA17">
        <f>lbs_mWh!BA17*0.000453592*10^-3</f>
        <v>8.3797447904800006E-4</v>
      </c>
    </row>
    <row r="18" spans="1:53">
      <c r="A18" s="226">
        <v>2022</v>
      </c>
      <c r="B18">
        <f>lbs_mWh!B18*0.000453592*10^-3</f>
        <v>3.7535645184000002E-4</v>
      </c>
      <c r="C18">
        <f>lbs_mWh!C18*0.000453592*10^-3</f>
        <v>3.5895910103999999E-4</v>
      </c>
      <c r="D18">
        <f>lbs_mWh!D18*0.000453592*10^-3</f>
        <v>4.1614934117599998E-4</v>
      </c>
      <c r="E18">
        <f>lbs_mWh!E18*0.000453592*10^-3</f>
        <v>3.2291940227200002E-4</v>
      </c>
      <c r="F18">
        <f>lbs_mWh!F18*0.000453592*10^-3</f>
        <v>4.8150196935199999E-4</v>
      </c>
      <c r="G18">
        <f>lbs_mWh!G18*0.000453592*10^-3</f>
        <v>2.0751153612000002E-4</v>
      </c>
      <c r="H18">
        <f>lbs_mWh!H18*0.000453592*10^-3</f>
        <v>5.3213054761599998E-4</v>
      </c>
      <c r="I18">
        <f>lbs_mWh!I18*0.000453592*10^-3</f>
        <v>2.3736333282400003E-4</v>
      </c>
      <c r="J18">
        <f>lbs_mWh!J18*0.000453592*10^-3</f>
        <v>4.0859385923200007E-4</v>
      </c>
      <c r="K18">
        <f>lbs_mWh!K18*0.000453592*10^-3</f>
        <v>2.5169593283999998E-4</v>
      </c>
      <c r="L18">
        <f>lbs_mWh!L18*0.000453592*10^-3</f>
        <v>3.7129317470400004E-4</v>
      </c>
      <c r="M18">
        <f>lbs_mWh!M18*0.000453592*10^-3</f>
        <v>3.3619966884800001E-4</v>
      </c>
      <c r="N18">
        <f>lbs_mWh!N18*0.000453592*10^-3</f>
        <v>6.6386182907200004E-4</v>
      </c>
      <c r="O18">
        <f>lbs_mWh!O18*0.000453592*10^-3</f>
        <v>1.12687674928E-4</v>
      </c>
      <c r="P18">
        <f>lbs_mWh!P18*0.000453592*10^-3</f>
        <v>2.6870517924800001E-4</v>
      </c>
      <c r="Q18">
        <f>lbs_mWh!Q18*0.000453592*10^-3</f>
        <v>7.1513314719999998E-4</v>
      </c>
      <c r="R18">
        <f>lbs_mWh!R18*0.000453592*10^-3</f>
        <v>2.8193781866400004E-4</v>
      </c>
      <c r="S18">
        <f>lbs_mWh!S18*0.000453592*10^-3</f>
        <v>3.7477721485600004E-4</v>
      </c>
      <c r="T18">
        <f>lbs_mWh!T18*0.000453592*10^-3</f>
        <v>7.8573700996000006E-4</v>
      </c>
      <c r="U18">
        <f>lbs_mWh!U18*0.000453592*10^-3</f>
        <v>3.7224254276000003E-4</v>
      </c>
      <c r="V18">
        <f>lbs_mWh!V18*0.000453592*10^-3</f>
        <v>1.55449607136E-4</v>
      </c>
      <c r="W18">
        <f>lbs_mWh!W18*0.000453592*10^-3</f>
        <v>2.9052567600000004E-4</v>
      </c>
      <c r="X18">
        <f>lbs_mWh!X18*0.000453592*10^-3</f>
        <v>3.8973486464799999E-4</v>
      </c>
      <c r="Y18">
        <f>lbs_mWh!Y18*0.000453592*10^-3</f>
        <v>4.6072564138400005E-4</v>
      </c>
      <c r="Z18">
        <f>lbs_mWh!Z18*0.000453592*10^-3</f>
        <v>3.5099447911200005E-4</v>
      </c>
      <c r="AA18">
        <f>lbs_mWh!AA18*0.000453592*10^-3</f>
        <v>4.0310721040000004E-4</v>
      </c>
      <c r="AB18">
        <f>lbs_mWh!AB18*0.000453592*10^-3</f>
        <v>6.8844696906400005E-4</v>
      </c>
      <c r="AC18">
        <f>lbs_mWh!AC18*0.000453592*10^-3</f>
        <v>4.6781392356799999E-4</v>
      </c>
      <c r="AD18">
        <f>lbs_mWh!AD18*0.000453592*10^-3</f>
        <v>5.0151853072000012E-4</v>
      </c>
      <c r="AE18">
        <f>lbs_mWh!AE18*0.000453592*10^-3</f>
        <v>3.0787330204000001E-4</v>
      </c>
      <c r="AF18">
        <f>lbs_mWh!AF18*0.000453592*10^-3</f>
        <v>1.3900689713600001E-4</v>
      </c>
      <c r="AG18">
        <f>lbs_mWh!AG18*0.000453592*10^-3</f>
        <v>2.2161235062400001E-4</v>
      </c>
      <c r="AH18">
        <f>lbs_mWh!AH18*0.000453592*10^-3</f>
        <v>4.4979316700000002E-4</v>
      </c>
      <c r="AI18">
        <f>lbs_mWh!AI18*0.000453592*10^-3</f>
        <v>2.2287152201600001E-4</v>
      </c>
      <c r="AJ18">
        <f>lbs_mWh!AJ18*0.000453592*10^-3</f>
        <v>2.9806029271200004E-4</v>
      </c>
      <c r="AK18">
        <f>lbs_mWh!AK18*0.000453592*10^-3</f>
        <v>5.9939279811200002E-4</v>
      </c>
      <c r="AL18">
        <f>lbs_mWh!AL18*0.000453592*10^-3</f>
        <v>5.27131963776E-4</v>
      </c>
      <c r="AM18">
        <f>lbs_mWh!AM18*0.000453592*10^-3</f>
        <v>3.1258249418399998E-4</v>
      </c>
      <c r="AN18">
        <f>lbs_mWh!AN18*0.000453592*10^-3</f>
        <v>1.3565349147999999E-4</v>
      </c>
      <c r="AO18">
        <f>lbs_mWh!AO18*0.000453592*10^-3</f>
        <v>3.23968560568E-4</v>
      </c>
      <c r="AP18">
        <f>lbs_mWh!AP18*0.000453592*10^-3</f>
        <v>3.6840061851999998E-4</v>
      </c>
      <c r="AQ18">
        <f>lbs_mWh!AQ18*0.000453592*10^-3</f>
        <v>2.53981582928E-4</v>
      </c>
      <c r="AR18">
        <f>lbs_mWh!AR18*0.000453592*10^-3</f>
        <v>1.4829510052000001E-4</v>
      </c>
      <c r="AS18">
        <f>lbs_mWh!AS18*0.000453592*10^-3</f>
        <v>3.1648111742399996E-4</v>
      </c>
      <c r="AT18">
        <f>lbs_mWh!AT18*0.000453592*10^-3</f>
        <v>3.7282813003199999E-4</v>
      </c>
      <c r="AU18">
        <f>lbs_mWh!AU18*0.000453592*10^-3</f>
        <v>6.9138851318399999E-4</v>
      </c>
      <c r="AV18">
        <f>lbs_mWh!AV18*0.000453592*10^-3</f>
        <v>1.9327101528E-5</v>
      </c>
      <c r="AW18">
        <f>lbs_mWh!AW18*0.000453592*10^-3</f>
        <v>2.6760612583200002E-4</v>
      </c>
      <c r="AX18">
        <f>lbs_mWh!AX18*0.000453592*10^-3</f>
        <v>8.4352236280000009E-5</v>
      </c>
      <c r="AY18">
        <f>lbs_mWh!AY18*0.000453592*10^-3</f>
        <v>8.9553847899200001E-4</v>
      </c>
      <c r="AZ18">
        <f>lbs_mWh!AZ18*0.000453592*10^-3</f>
        <v>5.34516441536E-4</v>
      </c>
      <c r="BA18">
        <f>lbs_mWh!BA18*0.000453592*10^-3</f>
        <v>8.2444156172800003E-4</v>
      </c>
    </row>
    <row r="19" spans="1:53">
      <c r="A19" s="228">
        <v>2023</v>
      </c>
      <c r="B19">
        <f>lbs_mWh!B19*0.000453592*10^-3</f>
        <v>3.4966681532800004E-4</v>
      </c>
      <c r="C19">
        <f>lbs_mWh!C19*0.000453592*10^-3</f>
        <v>3.2385380179200001E-4</v>
      </c>
      <c r="D19">
        <f>lbs_mWh!D19*0.000453592*10^-3</f>
        <v>3.6943117954400004E-4</v>
      </c>
      <c r="E19">
        <f>lbs_mWh!E19*0.000453592*10^-3</f>
        <v>3.1257206156800005E-4</v>
      </c>
      <c r="F19">
        <f>lbs_mWh!F19*0.000453592*10^-3</f>
        <v>4.52872603088E-4</v>
      </c>
      <c r="G19">
        <f>lbs_mWh!G19*0.000453592*10^-3</f>
        <v>1.7906406024800002E-4</v>
      </c>
      <c r="H19">
        <f>lbs_mWh!H19*0.000453592*10^-3</f>
        <v>4.9490425217600003E-4</v>
      </c>
      <c r="I19">
        <f>lbs_mWh!I19*0.000453592*10^-3</f>
        <v>2.4524540100799997E-4</v>
      </c>
      <c r="J19">
        <f>lbs_mWh!J19*0.000453592*10^-3</f>
        <v>3.1940633223200005E-4</v>
      </c>
      <c r="K19">
        <f>lbs_mWh!K19*0.000453592*10^-3</f>
        <v>1.79173829512E-4</v>
      </c>
      <c r="L19">
        <f>lbs_mWh!L19*0.000453592*10^-3</f>
        <v>3.57944415736E-4</v>
      </c>
      <c r="M19">
        <f>lbs_mWh!M19*0.000453592*10^-3</f>
        <v>3.2542731244000002E-4</v>
      </c>
      <c r="N19">
        <f>lbs_mWh!N19*0.000453592*10^-3</f>
        <v>6.3261569056000003E-4</v>
      </c>
      <c r="O19">
        <f>lbs_mWh!O19*0.000453592*10^-3</f>
        <v>1.4237345696E-4</v>
      </c>
      <c r="P19">
        <f>lbs_mWh!P19*0.000453592*10^-3</f>
        <v>2.15200374112E-4</v>
      </c>
      <c r="Q19">
        <f>lbs_mWh!Q19*0.000453592*10^-3</f>
        <v>6.6473998318399995E-4</v>
      </c>
      <c r="R19">
        <f>lbs_mWh!R19*0.000453592*10^-3</f>
        <v>2.8764808835199997E-4</v>
      </c>
      <c r="S19">
        <f>lbs_mWh!S19*0.000453592*10^-3</f>
        <v>3.3261175612799997E-4</v>
      </c>
      <c r="T19">
        <f>lbs_mWh!T19*0.000453592*10^-3</f>
        <v>7.9242703836800003E-4</v>
      </c>
      <c r="U19">
        <f>lbs_mWh!U19*0.000453592*10^-3</f>
        <v>3.46121540256E-4</v>
      </c>
      <c r="V19">
        <f>lbs_mWh!V19*0.000453592*10^-3</f>
        <v>1.4371382132E-4</v>
      </c>
      <c r="W19">
        <f>lbs_mWh!W19*0.000453592*10^-3</f>
        <v>2.36868917544E-4</v>
      </c>
      <c r="X19">
        <f>lbs_mWh!X19*0.000453592*10^-3</f>
        <v>3.7652717279199998E-4</v>
      </c>
      <c r="Y19">
        <f>lbs_mWh!Y19*0.000453592*10^-3</f>
        <v>3.6170877574400004E-4</v>
      </c>
      <c r="Z19">
        <f>lbs_mWh!Z19*0.000453592*10^-3</f>
        <v>3.4125041576799997E-4</v>
      </c>
      <c r="AA19">
        <f>lbs_mWh!AA19*0.000453592*10^-3</f>
        <v>3.7569846020800001E-4</v>
      </c>
      <c r="AB19">
        <f>lbs_mWh!AB19*0.000453592*10^-3</f>
        <v>6.5979174805600002E-4</v>
      </c>
      <c r="AC19">
        <f>lbs_mWh!AC19*0.000453592*10^-3</f>
        <v>4.8258605423200004E-4</v>
      </c>
      <c r="AD19">
        <f>lbs_mWh!AD19*0.000453592*10^-3</f>
        <v>4.6530465262399997E-4</v>
      </c>
      <c r="AE19">
        <f>lbs_mWh!AE19*0.000453592*10^-3</f>
        <v>2.9204929152800005E-4</v>
      </c>
      <c r="AF19">
        <f>lbs_mWh!AF19*0.000453592*10^-3</f>
        <v>1.2529208942399999E-4</v>
      </c>
      <c r="AG19">
        <f>lbs_mWh!AG19*0.000453592*10^-3</f>
        <v>2.1326444345600001E-4</v>
      </c>
      <c r="AH19">
        <f>lbs_mWh!AH19*0.000453592*10^-3</f>
        <v>3.5091555410400003E-4</v>
      </c>
      <c r="AI19">
        <f>lbs_mWh!AI19*0.000453592*10^-3</f>
        <v>2.1165328467200002E-4</v>
      </c>
      <c r="AJ19">
        <f>lbs_mWh!AJ19*0.000453592*10^-3</f>
        <v>2.8414726529600001E-4</v>
      </c>
      <c r="AK19">
        <f>lbs_mWh!AK19*0.000453592*10^-3</f>
        <v>5.8869528438400015E-4</v>
      </c>
      <c r="AL19">
        <f>lbs_mWh!AL19*0.000453592*10^-3</f>
        <v>4.8455872583999998E-4</v>
      </c>
      <c r="AM19">
        <f>lbs_mWh!AM19*0.000453592*10^-3</f>
        <v>2.9430591172799998E-4</v>
      </c>
      <c r="AN19">
        <f>lbs_mWh!AN19*0.000453592*10^-3</f>
        <v>1.6554429709600004E-4</v>
      </c>
      <c r="AO19">
        <f>lbs_mWh!AO19*0.000453592*10^-3</f>
        <v>2.93869102632E-4</v>
      </c>
      <c r="AP19">
        <f>lbs_mWh!AP19*0.000453592*10^-3</f>
        <v>3.8101909436800003E-4</v>
      </c>
      <c r="AQ19">
        <f>lbs_mWh!AQ19*0.000453592*10^-3</f>
        <v>2.5417617389600003E-4</v>
      </c>
      <c r="AR19">
        <f>lbs_mWh!AR19*0.000453592*10^-3</f>
        <v>1.52217310544E-4</v>
      </c>
      <c r="AS19">
        <f>lbs_mWh!AS19*0.000453592*10^-3</f>
        <v>2.99899608272E-4</v>
      </c>
      <c r="AT19">
        <f>lbs_mWh!AT19*0.000453592*10^-3</f>
        <v>3.4980062496800003E-4</v>
      </c>
      <c r="AU19">
        <f>lbs_mWh!AU19*0.000453592*10^-3</f>
        <v>6.4466037252800001E-4</v>
      </c>
      <c r="AV19">
        <f>lbs_mWh!AV19*0.000453592*10^-3</f>
        <v>2.3695192487999999E-5</v>
      </c>
      <c r="AW19">
        <f>lbs_mWh!AW19*0.000453592*10^-3</f>
        <v>2.4475778960800004E-4</v>
      </c>
      <c r="AX19">
        <f>lbs_mWh!AX19*0.000453592*10^-3</f>
        <v>1.2092082332E-4</v>
      </c>
      <c r="AY19">
        <f>lbs_mWh!AY19*0.000453592*10^-3</f>
        <v>8.9306322744799993E-4</v>
      </c>
      <c r="AZ19">
        <f>lbs_mWh!AZ19*0.000453592*10^-3</f>
        <v>5.2778695062399991E-4</v>
      </c>
      <c r="BA19">
        <f>lbs_mWh!BA19*0.000453592*10^-3</f>
        <v>8.3155343069599998E-4</v>
      </c>
    </row>
    <row r="20" spans="1:53">
      <c r="A20" s="226">
        <v>2024</v>
      </c>
      <c r="B20">
        <f>lbs_mWh!B20*0.000453592*10^-3</f>
        <v>3.4966681532800004E-4</v>
      </c>
      <c r="C20">
        <f>lbs_mWh!C20*0.000453592*10^-3</f>
        <v>3.2385380179200001E-4</v>
      </c>
      <c r="D20">
        <f>lbs_mWh!D20*0.000453592*10^-3</f>
        <v>3.6943117954400004E-4</v>
      </c>
      <c r="E20">
        <f>lbs_mWh!E20*0.000453592*10^-3</f>
        <v>3.1257206156800005E-4</v>
      </c>
      <c r="F20">
        <f>lbs_mWh!F20*0.000453592*10^-3</f>
        <v>4.52872603088E-4</v>
      </c>
      <c r="G20">
        <f>lbs_mWh!G20*0.000453592*10^-3</f>
        <v>1.7906406024800002E-4</v>
      </c>
      <c r="H20">
        <f>lbs_mWh!H20*0.000453592*10^-3</f>
        <v>4.9490425217600003E-4</v>
      </c>
      <c r="I20">
        <f>lbs_mWh!I20*0.000453592*10^-3</f>
        <v>2.4524540100799997E-4</v>
      </c>
      <c r="J20">
        <f>lbs_mWh!J20*0.000453592*10^-3</f>
        <v>3.1940633223200005E-4</v>
      </c>
      <c r="K20">
        <f>lbs_mWh!K20*0.000453592*10^-3</f>
        <v>1.79173829512E-4</v>
      </c>
      <c r="L20">
        <f>lbs_mWh!L20*0.000453592*10^-3</f>
        <v>3.57944415736E-4</v>
      </c>
      <c r="M20">
        <f>lbs_mWh!M20*0.000453592*10^-3</f>
        <v>3.2542731244000002E-4</v>
      </c>
      <c r="N20">
        <f>lbs_mWh!N20*0.000453592*10^-3</f>
        <v>6.3261569056000003E-4</v>
      </c>
      <c r="O20">
        <f>lbs_mWh!O20*0.000453592*10^-3</f>
        <v>1.4237345696E-4</v>
      </c>
      <c r="P20">
        <f>lbs_mWh!P20*0.000453592*10^-3</f>
        <v>2.15200374112E-4</v>
      </c>
      <c r="Q20">
        <f>lbs_mWh!Q20*0.000453592*10^-3</f>
        <v>6.6473998318399995E-4</v>
      </c>
      <c r="R20">
        <f>lbs_mWh!R20*0.000453592*10^-3</f>
        <v>2.8764808835199997E-4</v>
      </c>
      <c r="S20">
        <f>lbs_mWh!S20*0.000453592*10^-3</f>
        <v>3.3261175612799997E-4</v>
      </c>
      <c r="T20">
        <f>lbs_mWh!T20*0.000453592*10^-3</f>
        <v>7.9242703836800003E-4</v>
      </c>
      <c r="U20">
        <f>lbs_mWh!U20*0.000453592*10^-3</f>
        <v>3.46121540256E-4</v>
      </c>
      <c r="V20">
        <f>lbs_mWh!V20*0.000453592*10^-3</f>
        <v>1.4371382132E-4</v>
      </c>
      <c r="W20">
        <f>lbs_mWh!W20*0.000453592*10^-3</f>
        <v>2.36868917544E-4</v>
      </c>
      <c r="X20">
        <f>lbs_mWh!X20*0.000453592*10^-3</f>
        <v>3.7652717279199998E-4</v>
      </c>
      <c r="Y20">
        <f>lbs_mWh!Y20*0.000453592*10^-3</f>
        <v>3.6170877574400004E-4</v>
      </c>
      <c r="Z20">
        <f>lbs_mWh!Z20*0.000453592*10^-3</f>
        <v>3.4125041576799997E-4</v>
      </c>
      <c r="AA20">
        <f>lbs_mWh!AA20*0.000453592*10^-3</f>
        <v>3.7569846020800001E-4</v>
      </c>
      <c r="AB20">
        <f>lbs_mWh!AB20*0.000453592*10^-3</f>
        <v>6.5979174805600002E-4</v>
      </c>
      <c r="AC20">
        <f>lbs_mWh!AC20*0.000453592*10^-3</f>
        <v>4.8258605423200004E-4</v>
      </c>
      <c r="AD20">
        <f>lbs_mWh!AD20*0.000453592*10^-3</f>
        <v>4.6530465262399997E-4</v>
      </c>
      <c r="AE20">
        <f>lbs_mWh!AE20*0.000453592*10^-3</f>
        <v>2.9204929152800005E-4</v>
      </c>
      <c r="AF20">
        <f>lbs_mWh!AF20*0.000453592*10^-3</f>
        <v>1.2529208942399999E-4</v>
      </c>
      <c r="AG20">
        <f>lbs_mWh!AG20*0.000453592*10^-3</f>
        <v>2.1326444345600001E-4</v>
      </c>
      <c r="AH20">
        <f>lbs_mWh!AH20*0.000453592*10^-3</f>
        <v>3.5091555410400003E-4</v>
      </c>
      <c r="AI20">
        <f>lbs_mWh!AI20*0.000453592*10^-3</f>
        <v>2.1165328467200002E-4</v>
      </c>
      <c r="AJ20">
        <f>lbs_mWh!AJ20*0.000453592*10^-3</f>
        <v>2.8414726529600001E-4</v>
      </c>
      <c r="AK20">
        <f>lbs_mWh!AK20*0.000453592*10^-3</f>
        <v>5.8869528438400015E-4</v>
      </c>
      <c r="AL20">
        <f>lbs_mWh!AL20*0.000453592*10^-3</f>
        <v>4.8455872583999998E-4</v>
      </c>
      <c r="AM20">
        <f>lbs_mWh!AM20*0.000453592*10^-3</f>
        <v>2.9430591172799998E-4</v>
      </c>
      <c r="AN20">
        <f>lbs_mWh!AN20*0.000453592*10^-3</f>
        <v>1.6554429709600004E-4</v>
      </c>
      <c r="AO20">
        <f>lbs_mWh!AO20*0.000453592*10^-3</f>
        <v>2.93869102632E-4</v>
      </c>
      <c r="AP20">
        <f>lbs_mWh!AP20*0.000453592*10^-3</f>
        <v>3.8101909436800003E-4</v>
      </c>
      <c r="AQ20">
        <f>lbs_mWh!AQ20*0.000453592*10^-3</f>
        <v>2.5417617389600003E-4</v>
      </c>
      <c r="AR20">
        <f>lbs_mWh!AR20*0.000453592*10^-3</f>
        <v>1.52217310544E-4</v>
      </c>
      <c r="AS20">
        <f>lbs_mWh!AS20*0.000453592*10^-3</f>
        <v>2.99899608272E-4</v>
      </c>
      <c r="AT20">
        <f>lbs_mWh!AT20*0.000453592*10^-3</f>
        <v>3.4980062496800003E-4</v>
      </c>
      <c r="AU20">
        <f>lbs_mWh!AU20*0.000453592*10^-3</f>
        <v>6.4466037252800001E-4</v>
      </c>
      <c r="AV20">
        <f>lbs_mWh!AV20*0.000453592*10^-3</f>
        <v>2.3695192487999999E-5</v>
      </c>
      <c r="AW20">
        <f>lbs_mWh!AW20*0.000453592*10^-3</f>
        <v>2.4475778960800004E-4</v>
      </c>
      <c r="AX20">
        <f>lbs_mWh!AX20*0.000453592*10^-3</f>
        <v>1.2092082332E-4</v>
      </c>
      <c r="AY20">
        <f>lbs_mWh!AY20*0.000453592*10^-3</f>
        <v>8.9306322744799993E-4</v>
      </c>
      <c r="AZ20">
        <f>lbs_mWh!AZ20*0.000453592*10^-3</f>
        <v>5.2778695062399991E-4</v>
      </c>
      <c r="BA20">
        <f>lbs_mWh!BA20*0.000453592*10^-3</f>
        <v>8.3155343069599998E-4</v>
      </c>
    </row>
    <row r="21" spans="1:53">
      <c r="A21" s="228">
        <v>2025</v>
      </c>
      <c r="B21">
        <f>lbs_mWh!B21*0.000453592*10^-3</f>
        <v>3.4966681532800004E-4</v>
      </c>
      <c r="C21">
        <f>lbs_mWh!C21*0.000453592*10^-3</f>
        <v>3.2385380179200001E-4</v>
      </c>
      <c r="D21">
        <f>lbs_mWh!D21*0.000453592*10^-3</f>
        <v>3.6943117954400004E-4</v>
      </c>
      <c r="E21">
        <f>lbs_mWh!E21*0.000453592*10^-3</f>
        <v>3.1257206156800005E-4</v>
      </c>
      <c r="F21">
        <f>lbs_mWh!F21*0.000453592*10^-3</f>
        <v>4.52872603088E-4</v>
      </c>
      <c r="G21">
        <f>lbs_mWh!G21*0.000453592*10^-3</f>
        <v>1.7906406024800002E-4</v>
      </c>
      <c r="H21">
        <f>lbs_mWh!H21*0.000453592*10^-3</f>
        <v>4.9490425217600003E-4</v>
      </c>
      <c r="I21">
        <f>lbs_mWh!I21*0.000453592*10^-3</f>
        <v>2.4524540100799997E-4</v>
      </c>
      <c r="J21">
        <f>lbs_mWh!J21*0.000453592*10^-3</f>
        <v>3.1940633223200005E-4</v>
      </c>
      <c r="K21">
        <f>lbs_mWh!K21*0.000453592*10^-3</f>
        <v>1.79173829512E-4</v>
      </c>
      <c r="L21">
        <f>lbs_mWh!L21*0.000453592*10^-3</f>
        <v>3.57944415736E-4</v>
      </c>
      <c r="M21">
        <f>lbs_mWh!M21*0.000453592*10^-3</f>
        <v>3.2542731244000002E-4</v>
      </c>
      <c r="N21">
        <f>lbs_mWh!N21*0.000453592*10^-3</f>
        <v>6.3261569056000003E-4</v>
      </c>
      <c r="O21">
        <f>lbs_mWh!O21*0.000453592*10^-3</f>
        <v>1.4237345696E-4</v>
      </c>
      <c r="P21">
        <f>lbs_mWh!P21*0.000453592*10^-3</f>
        <v>2.15200374112E-4</v>
      </c>
      <c r="Q21">
        <f>lbs_mWh!Q21*0.000453592*10^-3</f>
        <v>6.6473998318399995E-4</v>
      </c>
      <c r="R21">
        <f>lbs_mWh!R21*0.000453592*10^-3</f>
        <v>2.8764808835199997E-4</v>
      </c>
      <c r="S21">
        <f>lbs_mWh!S21*0.000453592*10^-3</f>
        <v>3.3261175612799997E-4</v>
      </c>
      <c r="T21">
        <f>lbs_mWh!T21*0.000453592*10^-3</f>
        <v>7.9242703836800003E-4</v>
      </c>
      <c r="U21">
        <f>lbs_mWh!U21*0.000453592*10^-3</f>
        <v>3.46121540256E-4</v>
      </c>
      <c r="V21">
        <f>lbs_mWh!V21*0.000453592*10^-3</f>
        <v>1.4371382132E-4</v>
      </c>
      <c r="W21">
        <f>lbs_mWh!W21*0.000453592*10^-3</f>
        <v>2.36868917544E-4</v>
      </c>
      <c r="X21">
        <f>lbs_mWh!X21*0.000453592*10^-3</f>
        <v>3.7652717279199998E-4</v>
      </c>
      <c r="Y21">
        <f>lbs_mWh!Y21*0.000453592*10^-3</f>
        <v>3.6170877574400004E-4</v>
      </c>
      <c r="Z21">
        <f>lbs_mWh!Z21*0.000453592*10^-3</f>
        <v>3.4125041576799997E-4</v>
      </c>
      <c r="AA21">
        <f>lbs_mWh!AA21*0.000453592*10^-3</f>
        <v>3.7569846020800001E-4</v>
      </c>
      <c r="AB21">
        <f>lbs_mWh!AB21*0.000453592*10^-3</f>
        <v>6.5979174805600002E-4</v>
      </c>
      <c r="AC21">
        <f>lbs_mWh!AC21*0.000453592*10^-3</f>
        <v>4.8258605423200004E-4</v>
      </c>
      <c r="AD21">
        <f>lbs_mWh!AD21*0.000453592*10^-3</f>
        <v>4.6530465262399997E-4</v>
      </c>
      <c r="AE21">
        <f>lbs_mWh!AE21*0.000453592*10^-3</f>
        <v>2.9204929152800005E-4</v>
      </c>
      <c r="AF21">
        <f>lbs_mWh!AF21*0.000453592*10^-3</f>
        <v>1.2529208942399999E-4</v>
      </c>
      <c r="AG21">
        <f>lbs_mWh!AG21*0.000453592*10^-3</f>
        <v>2.1326444345600001E-4</v>
      </c>
      <c r="AH21">
        <f>lbs_mWh!AH21*0.000453592*10^-3</f>
        <v>3.5091555410400003E-4</v>
      </c>
      <c r="AI21">
        <f>lbs_mWh!AI21*0.000453592*10^-3</f>
        <v>2.1165328467200002E-4</v>
      </c>
      <c r="AJ21">
        <f>lbs_mWh!AJ21*0.000453592*10^-3</f>
        <v>2.8414726529600001E-4</v>
      </c>
      <c r="AK21">
        <f>lbs_mWh!AK21*0.000453592*10^-3</f>
        <v>5.8869528438400015E-4</v>
      </c>
      <c r="AL21">
        <f>lbs_mWh!AL21*0.000453592*10^-3</f>
        <v>4.8455872583999998E-4</v>
      </c>
      <c r="AM21">
        <f>lbs_mWh!AM21*0.000453592*10^-3</f>
        <v>2.9430591172799998E-4</v>
      </c>
      <c r="AN21">
        <f>lbs_mWh!AN21*0.000453592*10^-3</f>
        <v>1.6554429709600004E-4</v>
      </c>
      <c r="AO21">
        <f>lbs_mWh!AO21*0.000453592*10^-3</f>
        <v>2.93869102632E-4</v>
      </c>
      <c r="AP21">
        <f>lbs_mWh!AP21*0.000453592*10^-3</f>
        <v>3.8101909436800003E-4</v>
      </c>
      <c r="AQ21">
        <f>lbs_mWh!AQ21*0.000453592*10^-3</f>
        <v>2.5417617389600003E-4</v>
      </c>
      <c r="AR21">
        <f>lbs_mWh!AR21*0.000453592*10^-3</f>
        <v>1.52217310544E-4</v>
      </c>
      <c r="AS21">
        <f>lbs_mWh!AS21*0.000453592*10^-3</f>
        <v>2.99899608272E-4</v>
      </c>
      <c r="AT21">
        <f>lbs_mWh!AT21*0.000453592*10^-3</f>
        <v>3.4980062496800003E-4</v>
      </c>
      <c r="AU21">
        <f>lbs_mWh!AU21*0.000453592*10^-3</f>
        <v>6.4466037252800001E-4</v>
      </c>
      <c r="AV21">
        <f>lbs_mWh!AV21*0.000453592*10^-3</f>
        <v>2.3695192487999999E-5</v>
      </c>
      <c r="AW21">
        <f>lbs_mWh!AW21*0.000453592*10^-3</f>
        <v>2.4475778960800004E-4</v>
      </c>
      <c r="AX21">
        <f>lbs_mWh!AX21*0.000453592*10^-3</f>
        <v>1.2092082332E-4</v>
      </c>
      <c r="AY21">
        <f>lbs_mWh!AY21*0.000453592*10^-3</f>
        <v>8.9306322744799993E-4</v>
      </c>
      <c r="AZ21">
        <f>lbs_mWh!AZ21*0.000453592*10^-3</f>
        <v>5.2778695062399991E-4</v>
      </c>
      <c r="BA21">
        <f>lbs_mWh!BA21*0.000453592*10^-3</f>
        <v>8.3155343069599998E-4</v>
      </c>
    </row>
    <row r="22" spans="1:53">
      <c r="A22" s="226">
        <v>2026</v>
      </c>
      <c r="B22" s="320"/>
    </row>
    <row r="23" spans="1:53">
      <c r="A23" s="228">
        <v>2027</v>
      </c>
      <c r="B23" s="319"/>
    </row>
    <row r="24" spans="1:53">
      <c r="A24" s="226">
        <v>2028</v>
      </c>
      <c r="B24" s="320"/>
    </row>
    <row r="25" spans="1:53">
      <c r="A25" s="228">
        <v>2029</v>
      </c>
      <c r="B25" s="319"/>
    </row>
    <row r="26" spans="1:53">
      <c r="A26" s="226">
        <v>2030</v>
      </c>
      <c r="B26" s="320"/>
    </row>
  </sheetData>
  <mergeCells count="1">
    <mergeCell ref="C1:BA1"/>
  </mergeCells>
  <pageMargins left="0.7" right="0.7" top="0.75" bottom="0.75" header="0.3" footer="0.3"/>
  <legacy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D741F-4C78-42BD-B918-74EA2C6DA63D}">
  <sheetPr>
    <tabColor theme="6" tint="0.39997558519241921"/>
  </sheetPr>
  <dimension ref="A1:C52"/>
  <sheetViews>
    <sheetView topLeftCell="A4" workbookViewId="0">
      <selection activeCell="C7" sqref="C7"/>
    </sheetView>
  </sheetViews>
  <sheetFormatPr defaultRowHeight="12.75"/>
  <cols>
    <col min="6" max="6" width="18" bestFit="1" customWidth="1"/>
    <col min="7" max="7" width="18" customWidth="1"/>
    <col min="8" max="8" width="17.5703125" bestFit="1" customWidth="1"/>
    <col min="10" max="10" width="15.28515625" bestFit="1" customWidth="1"/>
  </cols>
  <sheetData>
    <row r="1" spans="1:3">
      <c r="A1" s="165" t="s">
        <v>225</v>
      </c>
      <c r="B1" s="165" t="s">
        <v>225</v>
      </c>
      <c r="C1" s="165" t="s">
        <v>226</v>
      </c>
    </row>
    <row r="2" spans="1:3">
      <c r="A2" s="333" t="s">
        <v>257</v>
      </c>
      <c r="B2" s="333" t="s">
        <v>103</v>
      </c>
      <c r="C2">
        <v>10</v>
      </c>
    </row>
    <row r="3" spans="1:3">
      <c r="A3" s="333" t="s">
        <v>258</v>
      </c>
      <c r="B3" s="333" t="s">
        <v>102</v>
      </c>
      <c r="C3">
        <v>6</v>
      </c>
    </row>
    <row r="4" spans="1:3">
      <c r="A4" s="333" t="s">
        <v>259</v>
      </c>
      <c r="B4" s="333" t="s">
        <v>105</v>
      </c>
      <c r="C4">
        <v>7</v>
      </c>
    </row>
    <row r="5" spans="1:3">
      <c r="A5" s="333" t="s">
        <v>260</v>
      </c>
      <c r="B5" s="333" t="s">
        <v>104</v>
      </c>
      <c r="C5">
        <v>9</v>
      </c>
    </row>
    <row r="6" spans="1:3">
      <c r="A6" s="333" t="s">
        <v>261</v>
      </c>
      <c r="B6" s="333" t="s">
        <v>106</v>
      </c>
      <c r="C6">
        <v>10</v>
      </c>
    </row>
    <row r="7" spans="1:3">
      <c r="A7" s="333" t="s">
        <v>262</v>
      </c>
      <c r="B7" s="333" t="s">
        <v>107</v>
      </c>
      <c r="C7">
        <v>8</v>
      </c>
    </row>
    <row r="8" spans="1:3">
      <c r="A8" s="333" t="s">
        <v>263</v>
      </c>
      <c r="B8" s="333" t="s">
        <v>108</v>
      </c>
      <c r="C8">
        <v>1</v>
      </c>
    </row>
    <row r="9" spans="1:3">
      <c r="A9" s="333" t="s">
        <v>264</v>
      </c>
      <c r="B9" s="333" t="s">
        <v>110</v>
      </c>
      <c r="C9">
        <v>5</v>
      </c>
    </row>
    <row r="10" spans="1:3">
      <c r="A10" s="333" t="s">
        <v>265</v>
      </c>
      <c r="B10" s="333" t="s">
        <v>109</v>
      </c>
      <c r="C10">
        <v>5</v>
      </c>
    </row>
    <row r="11" spans="1:3">
      <c r="A11" s="333" t="s">
        <v>266</v>
      </c>
      <c r="B11" s="333" t="s">
        <v>111</v>
      </c>
      <c r="C11">
        <v>5</v>
      </c>
    </row>
    <row r="12" spans="1:3">
      <c r="A12" s="333" t="s">
        <v>267</v>
      </c>
      <c r="B12" s="333" t="s">
        <v>112</v>
      </c>
      <c r="C12">
        <v>5</v>
      </c>
    </row>
    <row r="13" spans="1:3">
      <c r="A13" s="333" t="s">
        <v>268</v>
      </c>
      <c r="B13" s="333" t="s">
        <v>113</v>
      </c>
      <c r="C13">
        <v>10</v>
      </c>
    </row>
    <row r="14" spans="1:3">
      <c r="A14" s="333" t="s">
        <v>269</v>
      </c>
      <c r="B14" s="333" t="s">
        <v>117</v>
      </c>
      <c r="C14">
        <v>4</v>
      </c>
    </row>
    <row r="15" spans="1:3">
      <c r="A15" s="333" t="s">
        <v>270</v>
      </c>
      <c r="B15" s="333" t="s">
        <v>114</v>
      </c>
      <c r="C15">
        <v>8</v>
      </c>
    </row>
    <row r="16" spans="1:3">
      <c r="A16" s="333" t="s">
        <v>271</v>
      </c>
      <c r="B16" s="333" t="s">
        <v>115</v>
      </c>
      <c r="C16">
        <v>3</v>
      </c>
    </row>
    <row r="17" spans="1:3">
      <c r="A17" s="333" t="s">
        <v>272</v>
      </c>
      <c r="B17" s="333" t="s">
        <v>116</v>
      </c>
      <c r="C17">
        <v>3</v>
      </c>
    </row>
    <row r="18" spans="1:3">
      <c r="A18" s="333" t="s">
        <v>273</v>
      </c>
      <c r="B18" s="333" t="s">
        <v>118</v>
      </c>
      <c r="C18">
        <v>4</v>
      </c>
    </row>
    <row r="19" spans="1:3">
      <c r="A19" s="333" t="s">
        <v>274</v>
      </c>
      <c r="B19" s="333" t="s">
        <v>119</v>
      </c>
      <c r="C19">
        <v>6</v>
      </c>
    </row>
    <row r="20" spans="1:3">
      <c r="A20" s="333" t="s">
        <v>275</v>
      </c>
      <c r="B20" s="333" t="s">
        <v>120</v>
      </c>
      <c r="C20">
        <v>7</v>
      </c>
    </row>
    <row r="21" spans="1:3">
      <c r="A21" s="333" t="s">
        <v>276</v>
      </c>
      <c r="B21" s="333" t="s">
        <v>123</v>
      </c>
      <c r="C21">
        <v>1</v>
      </c>
    </row>
    <row r="22" spans="1:3">
      <c r="A22" s="333" t="s">
        <v>277</v>
      </c>
      <c r="B22" s="333" t="s">
        <v>122</v>
      </c>
      <c r="C22">
        <v>5</v>
      </c>
    </row>
    <row r="23" spans="1:3">
      <c r="A23" s="333" t="s">
        <v>278</v>
      </c>
      <c r="B23" s="333" t="s">
        <v>121</v>
      </c>
      <c r="C23">
        <v>1</v>
      </c>
    </row>
    <row r="24" spans="1:3">
      <c r="A24" s="333" t="s">
        <v>279</v>
      </c>
      <c r="B24" s="333" t="s">
        <v>124</v>
      </c>
      <c r="C24">
        <v>3</v>
      </c>
    </row>
    <row r="25" spans="1:3">
      <c r="A25" s="333" t="s">
        <v>280</v>
      </c>
      <c r="B25" s="333" t="s">
        <v>125</v>
      </c>
      <c r="C25">
        <v>4</v>
      </c>
    </row>
    <row r="26" spans="1:3">
      <c r="A26" s="333" t="s">
        <v>281</v>
      </c>
      <c r="B26" s="333" t="s">
        <v>127</v>
      </c>
      <c r="C26">
        <v>4</v>
      </c>
    </row>
    <row r="27" spans="1:3">
      <c r="A27" s="333" t="s">
        <v>282</v>
      </c>
      <c r="B27" s="333" t="s">
        <v>126</v>
      </c>
      <c r="C27">
        <v>6</v>
      </c>
    </row>
    <row r="28" spans="1:3">
      <c r="A28" s="333" t="s">
        <v>283</v>
      </c>
      <c r="B28" s="333" t="s">
        <v>128</v>
      </c>
      <c r="C28">
        <v>8</v>
      </c>
    </row>
    <row r="29" spans="1:3">
      <c r="A29" s="333" t="s">
        <v>284</v>
      </c>
      <c r="B29" s="333" t="s">
        <v>135</v>
      </c>
      <c r="C29">
        <v>5</v>
      </c>
    </row>
    <row r="30" spans="1:3">
      <c r="A30" s="333" t="s">
        <v>285</v>
      </c>
      <c r="B30" s="333" t="s">
        <v>136</v>
      </c>
      <c r="C30">
        <v>4</v>
      </c>
    </row>
    <row r="31" spans="1:3">
      <c r="A31" s="333" t="s">
        <v>286</v>
      </c>
      <c r="B31" s="333" t="s">
        <v>129</v>
      </c>
      <c r="C31">
        <v>4</v>
      </c>
    </row>
    <row r="32" spans="1:3">
      <c r="A32" s="333" t="s">
        <v>287</v>
      </c>
      <c r="B32" s="333" t="s">
        <v>131</v>
      </c>
      <c r="C32">
        <v>1</v>
      </c>
    </row>
    <row r="33" spans="1:3">
      <c r="A33" s="333" t="s">
        <v>288</v>
      </c>
      <c r="B33" s="333" t="s">
        <v>132</v>
      </c>
      <c r="C33">
        <v>2</v>
      </c>
    </row>
    <row r="34" spans="1:3">
      <c r="A34" s="333" t="s">
        <v>289</v>
      </c>
      <c r="B34" s="333" t="s">
        <v>133</v>
      </c>
      <c r="C34">
        <v>9</v>
      </c>
    </row>
    <row r="35" spans="1:3">
      <c r="A35" s="333" t="s">
        <v>290</v>
      </c>
      <c r="B35" s="333" t="s">
        <v>130</v>
      </c>
      <c r="C35">
        <v>9</v>
      </c>
    </row>
    <row r="36" spans="1:3">
      <c r="A36" s="333" t="s">
        <v>291</v>
      </c>
      <c r="B36" s="333" t="s">
        <v>134</v>
      </c>
      <c r="C36">
        <v>2</v>
      </c>
    </row>
    <row r="37" spans="1:3">
      <c r="A37" s="333" t="s">
        <v>292</v>
      </c>
      <c r="B37" s="333" t="s">
        <v>137</v>
      </c>
      <c r="C37">
        <v>3</v>
      </c>
    </row>
    <row r="38" spans="1:3">
      <c r="A38" s="333" t="s">
        <v>293</v>
      </c>
      <c r="B38" s="333" t="s">
        <v>138</v>
      </c>
      <c r="C38">
        <v>7</v>
      </c>
    </row>
    <row r="39" spans="1:3">
      <c r="A39" s="333" t="s">
        <v>294</v>
      </c>
      <c r="B39" s="333" t="s">
        <v>139</v>
      </c>
      <c r="C39">
        <v>10</v>
      </c>
    </row>
    <row r="40" spans="1:3">
      <c r="A40" s="333" t="s">
        <v>295</v>
      </c>
      <c r="B40" s="333" t="s">
        <v>140</v>
      </c>
      <c r="C40">
        <v>2</v>
      </c>
    </row>
    <row r="41" spans="1:3">
      <c r="A41" s="333" t="s">
        <v>296</v>
      </c>
      <c r="B41" s="333" t="s">
        <v>141</v>
      </c>
      <c r="C41">
        <v>1</v>
      </c>
    </row>
    <row r="42" spans="1:3">
      <c r="A42" s="333" t="s">
        <v>297</v>
      </c>
      <c r="B42" s="333" t="s">
        <v>142</v>
      </c>
      <c r="C42">
        <v>5</v>
      </c>
    </row>
    <row r="43" spans="1:3">
      <c r="A43" s="333" t="s">
        <v>298</v>
      </c>
      <c r="B43" s="333" t="s">
        <v>143</v>
      </c>
      <c r="C43">
        <v>4</v>
      </c>
    </row>
    <row r="44" spans="1:3">
      <c r="A44" s="333" t="s">
        <v>299</v>
      </c>
      <c r="B44" s="333" t="s">
        <v>144</v>
      </c>
      <c r="C44">
        <v>6</v>
      </c>
    </row>
    <row r="45" spans="1:3">
      <c r="A45" s="333" t="s">
        <v>300</v>
      </c>
      <c r="B45" s="333" t="s">
        <v>145</v>
      </c>
      <c r="C45">
        <v>7</v>
      </c>
    </row>
    <row r="46" spans="1:3">
      <c r="A46" s="333" t="s">
        <v>301</v>
      </c>
      <c r="B46" s="333" t="s">
        <v>146</v>
      </c>
      <c r="C46">
        <v>8</v>
      </c>
    </row>
    <row r="47" spans="1:3">
      <c r="A47" s="333" t="s">
        <v>302</v>
      </c>
      <c r="B47" s="333" t="s">
        <v>148</v>
      </c>
      <c r="C47">
        <v>5</v>
      </c>
    </row>
    <row r="48" spans="1:3">
      <c r="A48" s="333" t="s">
        <v>303</v>
      </c>
      <c r="B48" s="333" t="s">
        <v>147</v>
      </c>
      <c r="C48">
        <v>1</v>
      </c>
    </row>
    <row r="49" spans="1:3">
      <c r="A49" s="333" t="s">
        <v>304</v>
      </c>
      <c r="B49" s="333" t="s">
        <v>149</v>
      </c>
      <c r="C49">
        <v>10</v>
      </c>
    </row>
    <row r="50" spans="1:3">
      <c r="A50" s="333" t="s">
        <v>305</v>
      </c>
      <c r="B50" s="333" t="s">
        <v>151</v>
      </c>
      <c r="C50">
        <v>3</v>
      </c>
    </row>
    <row r="51" spans="1:3">
      <c r="A51" s="333" t="s">
        <v>306</v>
      </c>
      <c r="B51" s="333" t="s">
        <v>150</v>
      </c>
      <c r="C51">
        <v>5</v>
      </c>
    </row>
    <row r="52" spans="1:3">
      <c r="A52" s="333" t="s">
        <v>307</v>
      </c>
      <c r="B52" s="333" t="s">
        <v>152</v>
      </c>
      <c r="C52">
        <v>8</v>
      </c>
    </row>
  </sheetData>
  <autoFilter ref="A1:C52" xr:uid="{DB1D741F-4C78-42BD-B918-74EA2C6DA63D}">
    <sortState xmlns:xlrd2="http://schemas.microsoft.com/office/spreadsheetml/2017/richdata2" ref="A2:C52">
      <sortCondition ref="B1"/>
    </sortState>
  </autoFilter>
  <pageMargins left="0.7" right="0.7" top="0.75" bottom="0.75" header="0.3" footer="0.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6" tint="0.39997558519241921"/>
  </sheetPr>
  <dimension ref="A1:AZ103"/>
  <sheetViews>
    <sheetView zoomScaleNormal="150" workbookViewId="0">
      <selection activeCell="C7" sqref="C7"/>
    </sheetView>
  </sheetViews>
  <sheetFormatPr defaultColWidth="8.85546875" defaultRowHeight="12.75"/>
  <cols>
    <col min="2" max="2" width="15" bestFit="1" customWidth="1"/>
    <col min="3" max="3" width="40.140625" style="4" customWidth="1"/>
    <col min="4" max="4" width="64.42578125" style="4" customWidth="1"/>
    <col min="5" max="5" width="11.42578125" customWidth="1"/>
    <col min="12" max="12" width="17.85546875" bestFit="1" customWidth="1"/>
    <col min="13" max="13" width="17.85546875" customWidth="1"/>
    <col min="14" max="14" width="15" bestFit="1" customWidth="1"/>
    <col min="15" max="15" width="9" bestFit="1" customWidth="1"/>
    <col min="16" max="16" width="18.85546875" bestFit="1" customWidth="1"/>
    <col min="17" max="17" width="17.85546875" bestFit="1" customWidth="1"/>
    <col min="18" max="18" width="12.85546875" customWidth="1"/>
    <col min="20" max="20" width="18.85546875" bestFit="1" customWidth="1"/>
    <col min="21" max="21" width="13.42578125" bestFit="1" customWidth="1"/>
    <col min="22" max="22" width="18.85546875" bestFit="1" customWidth="1"/>
    <col min="23" max="23" width="26" bestFit="1" customWidth="1"/>
    <col min="25" max="25" width="13.85546875" bestFit="1" customWidth="1"/>
    <col min="27" max="27" width="19.42578125" bestFit="1" customWidth="1"/>
    <col min="28" max="28" width="10.140625" bestFit="1" customWidth="1"/>
  </cols>
  <sheetData>
    <row r="1" spans="1:52" ht="13.5" thickBot="1">
      <c r="A1" s="108"/>
      <c r="B1" s="102"/>
      <c r="C1" s="103"/>
      <c r="D1" s="110"/>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row>
    <row r="2" spans="1:52" ht="20.25" customHeight="1" thickBot="1">
      <c r="A2" s="108"/>
      <c r="B2" s="470" t="s">
        <v>308</v>
      </c>
      <c r="C2" s="471"/>
      <c r="D2" s="471"/>
      <c r="E2" s="47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row>
    <row r="3" spans="1:52">
      <c r="A3" s="108"/>
      <c r="B3" s="10" t="s">
        <v>309</v>
      </c>
      <c r="C3" s="5" t="s">
        <v>310</v>
      </c>
      <c r="D3" s="5" t="s">
        <v>311</v>
      </c>
      <c r="E3" s="11" t="s">
        <v>312</v>
      </c>
      <c r="F3" s="102"/>
      <c r="G3" s="102"/>
      <c r="H3" s="102"/>
      <c r="I3" s="102"/>
      <c r="J3" s="102"/>
      <c r="K3" s="102"/>
      <c r="L3" s="102"/>
      <c r="M3" s="463" t="s">
        <v>313</v>
      </c>
      <c r="N3" s="464"/>
      <c r="O3" s="464"/>
      <c r="P3" s="464"/>
      <c r="Q3" s="464"/>
      <c r="R3" s="464"/>
      <c r="S3" s="464"/>
      <c r="T3" s="464"/>
      <c r="U3" s="464"/>
      <c r="V3" s="464"/>
      <c r="W3" s="465"/>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row>
    <row r="4" spans="1:52" ht="25.5" customHeight="1">
      <c r="A4" s="102"/>
      <c r="B4" s="151">
        <v>6.9899999999999997E-4</v>
      </c>
      <c r="C4" s="4" t="s">
        <v>314</v>
      </c>
      <c r="D4" s="12" t="s">
        <v>315</v>
      </c>
      <c r="E4" s="13" t="s">
        <v>316</v>
      </c>
      <c r="F4" s="102"/>
      <c r="G4" s="102"/>
      <c r="H4" s="102"/>
      <c r="I4" s="102"/>
      <c r="J4" s="102"/>
      <c r="K4" s="102"/>
      <c r="L4" s="102"/>
      <c r="M4" s="33" t="s">
        <v>317</v>
      </c>
      <c r="N4" s="22" t="s">
        <v>311</v>
      </c>
      <c r="O4" s="22" t="s">
        <v>318</v>
      </c>
      <c r="P4" s="23" t="s">
        <v>319</v>
      </c>
      <c r="Q4" s="22" t="s">
        <v>320</v>
      </c>
      <c r="R4" s="22" t="s">
        <v>321</v>
      </c>
      <c r="T4" s="467" t="s">
        <v>322</v>
      </c>
      <c r="U4" s="467"/>
      <c r="V4" s="4" t="s">
        <v>323</v>
      </c>
      <c r="W4" s="7"/>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row>
    <row r="5" spans="1:52" ht="13.5" thickBot="1">
      <c r="A5" s="102"/>
      <c r="B5" s="150">
        <v>5.3E-3</v>
      </c>
      <c r="C5" s="8" t="s">
        <v>324</v>
      </c>
      <c r="D5" s="14" t="s">
        <v>315</v>
      </c>
      <c r="E5" s="15" t="s">
        <v>325</v>
      </c>
      <c r="F5" s="102"/>
      <c r="G5" s="102"/>
      <c r="H5" s="102"/>
      <c r="I5" s="102"/>
      <c r="J5" s="102"/>
      <c r="K5" s="102"/>
      <c r="L5" s="111"/>
      <c r="M5" s="473" t="s">
        <v>326</v>
      </c>
      <c r="N5" s="24" t="s">
        <v>327</v>
      </c>
      <c r="O5" s="25">
        <v>1600</v>
      </c>
      <c r="P5" s="25">
        <v>199827000</v>
      </c>
      <c r="Q5" s="26">
        <v>171</v>
      </c>
      <c r="R5" s="25">
        <v>54672700</v>
      </c>
      <c r="T5" s="466">
        <f>P5*Q5</f>
        <v>34170417000</v>
      </c>
      <c r="U5" s="466"/>
      <c r="V5" s="34">
        <f>O5*(T5*10^-6)</f>
        <v>54672667.200000003</v>
      </c>
      <c r="W5" s="7"/>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102"/>
      <c r="AW5" s="102"/>
      <c r="AX5" s="102"/>
      <c r="AY5" s="102"/>
      <c r="AZ5" s="102"/>
    </row>
    <row r="6" spans="1:52">
      <c r="A6" s="102"/>
      <c r="B6" s="102"/>
      <c r="C6" s="102"/>
      <c r="D6" s="102"/>
      <c r="E6" s="102"/>
      <c r="F6" s="102"/>
      <c r="G6" s="102"/>
      <c r="H6" s="102"/>
      <c r="I6" s="102"/>
      <c r="J6" s="102"/>
      <c r="K6" s="102"/>
      <c r="L6" s="102"/>
      <c r="M6" s="473"/>
      <c r="N6" s="24" t="s">
        <v>328</v>
      </c>
      <c r="O6" s="25">
        <v>2100</v>
      </c>
      <c r="P6" s="25">
        <v>88370000</v>
      </c>
      <c r="Q6" s="26">
        <v>171</v>
      </c>
      <c r="R6" s="25">
        <v>31733700</v>
      </c>
      <c r="T6" s="466">
        <f>P6*Q6</f>
        <v>15111270000</v>
      </c>
      <c r="U6" s="466"/>
      <c r="V6" s="34">
        <f>O6*(T6*10^-6)</f>
        <v>31733666.999999996</v>
      </c>
      <c r="W6" s="7"/>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row>
    <row r="7" spans="1:52" ht="13.5" thickBot="1">
      <c r="A7" s="108"/>
      <c r="B7" s="108"/>
      <c r="C7" s="108"/>
      <c r="D7" s="108"/>
      <c r="E7" s="108"/>
      <c r="F7" s="108"/>
      <c r="G7" s="108"/>
      <c r="H7" s="108"/>
      <c r="I7" s="108"/>
      <c r="J7" s="108"/>
      <c r="K7" s="108"/>
      <c r="L7" s="108"/>
      <c r="M7" s="473"/>
      <c r="N7" s="24" t="s">
        <v>329</v>
      </c>
      <c r="O7" s="25">
        <v>12000</v>
      </c>
      <c r="P7" s="25">
        <v>9416000</v>
      </c>
      <c r="Q7" s="26">
        <v>171</v>
      </c>
      <c r="R7" s="25">
        <v>19321500</v>
      </c>
      <c r="T7" s="466">
        <f>P7*Q7</f>
        <v>1610136000</v>
      </c>
      <c r="U7" s="466"/>
      <c r="V7" s="34">
        <f>O7*(T7*10^-6)</f>
        <v>19321632</v>
      </c>
      <c r="W7" s="7"/>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row>
    <row r="8" spans="1:52" ht="15.75">
      <c r="A8" s="109"/>
      <c r="B8" s="457" t="s">
        <v>330</v>
      </c>
      <c r="C8" s="458"/>
      <c r="D8" s="458"/>
      <c r="E8" s="459"/>
      <c r="F8" s="102"/>
      <c r="G8" s="108"/>
      <c r="H8" s="102"/>
      <c r="I8" s="102"/>
      <c r="J8" s="102"/>
      <c r="K8" s="102"/>
      <c r="L8" s="108"/>
      <c r="M8" s="474" t="s">
        <v>331</v>
      </c>
      <c r="N8" s="24" t="s">
        <v>327</v>
      </c>
      <c r="O8" s="25">
        <v>1600</v>
      </c>
      <c r="P8" s="25">
        <v>5354000</v>
      </c>
      <c r="Q8" s="26">
        <v>171</v>
      </c>
      <c r="R8" s="25">
        <v>1464850</v>
      </c>
      <c r="T8" s="466">
        <f>P8*Q8</f>
        <v>915534000</v>
      </c>
      <c r="U8" s="466"/>
      <c r="V8" s="34">
        <f>O8*(T8*10^-6)</f>
        <v>1464854.4</v>
      </c>
      <c r="W8" s="7"/>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row>
    <row r="9" spans="1:52" ht="13.5" thickBot="1">
      <c r="A9" s="102"/>
      <c r="B9" s="10" t="s">
        <v>309</v>
      </c>
      <c r="C9" s="5" t="s">
        <v>310</v>
      </c>
      <c r="D9" s="5" t="s">
        <v>311</v>
      </c>
      <c r="E9" s="11" t="s">
        <v>312</v>
      </c>
      <c r="F9" s="102"/>
      <c r="G9" s="102"/>
      <c r="H9" s="102"/>
      <c r="I9" s="102"/>
      <c r="J9" s="102"/>
      <c r="K9" s="102"/>
      <c r="L9" s="102"/>
      <c r="M9" s="474"/>
      <c r="N9" s="24" t="s">
        <v>328</v>
      </c>
      <c r="O9" s="25">
        <v>2100</v>
      </c>
      <c r="P9" s="25">
        <v>855000</v>
      </c>
      <c r="Q9" s="26">
        <v>171</v>
      </c>
      <c r="R9" s="25">
        <v>307000</v>
      </c>
      <c r="T9" s="466">
        <f>P9*Q9</f>
        <v>146205000</v>
      </c>
      <c r="U9" s="466"/>
      <c r="V9" s="34">
        <f>O9*(T9*10^-6)</f>
        <v>307030.49999999994</v>
      </c>
      <c r="W9" s="7"/>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row>
    <row r="10" spans="1:52" ht="39" thickBot="1">
      <c r="A10" s="102"/>
      <c r="B10" s="6">
        <v>2.0691526617559E-3</v>
      </c>
      <c r="C10" s="4" t="s">
        <v>332</v>
      </c>
      <c r="D10" s="4" t="s">
        <v>333</v>
      </c>
      <c r="E10" s="7"/>
      <c r="F10" s="102"/>
      <c r="G10" s="102"/>
      <c r="H10" s="102"/>
      <c r="I10" s="102"/>
      <c r="J10" s="102"/>
      <c r="K10" s="102"/>
      <c r="L10" s="102"/>
      <c r="M10" s="475" t="s">
        <v>334</v>
      </c>
      <c r="N10" s="476"/>
      <c r="O10" s="476"/>
      <c r="P10" s="468">
        <v>107500000</v>
      </c>
      <c r="Q10" s="468"/>
      <c r="R10" s="468"/>
      <c r="S10" t="s">
        <v>96</v>
      </c>
      <c r="T10" s="27">
        <f>SUM(T5:T9)</f>
        <v>51953562000</v>
      </c>
      <c r="U10" s="28" t="s">
        <v>335</v>
      </c>
      <c r="V10" s="27">
        <f>SUM(V5:V9)</f>
        <v>107499851.10000001</v>
      </c>
      <c r="W10" s="29" t="s">
        <v>336</v>
      </c>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row>
    <row r="11" spans="1:52" ht="39" thickBot="1">
      <c r="A11" s="102"/>
      <c r="B11" s="6">
        <v>2.5206089206880802E-3</v>
      </c>
      <c r="C11" s="4" t="s">
        <v>337</v>
      </c>
      <c r="D11" s="4" t="s">
        <v>333</v>
      </c>
      <c r="E11" s="7"/>
      <c r="F11" s="102"/>
      <c r="G11" s="102"/>
      <c r="H11" s="102"/>
      <c r="I11" s="102"/>
      <c r="J11" s="102"/>
      <c r="K11" s="102"/>
      <c r="L11" s="102"/>
      <c r="M11" s="475" t="s">
        <v>338</v>
      </c>
      <c r="N11" s="476"/>
      <c r="O11" s="476"/>
      <c r="P11" s="469" t="s">
        <v>339</v>
      </c>
      <c r="Q11" s="469"/>
      <c r="R11" s="469"/>
      <c r="T11" s="31">
        <f>T10*365</f>
        <v>18963050130000</v>
      </c>
      <c r="U11" s="32" t="s">
        <v>340</v>
      </c>
      <c r="V11" s="30">
        <f>V10*365</f>
        <v>39237445651.5</v>
      </c>
      <c r="W11" s="29" t="s">
        <v>341</v>
      </c>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row>
    <row r="12" spans="1:52" ht="25.5">
      <c r="A12" s="102"/>
      <c r="B12" s="311">
        <v>0.67800000000000005</v>
      </c>
      <c r="C12" s="5" t="s">
        <v>342</v>
      </c>
      <c r="D12" s="5" t="s">
        <v>343</v>
      </c>
      <c r="E12" s="13"/>
      <c r="F12" s="102"/>
      <c r="G12" s="102"/>
      <c r="H12" s="102"/>
      <c r="I12" s="102"/>
      <c r="J12" s="102"/>
      <c r="K12" s="102"/>
      <c r="L12" s="102"/>
      <c r="M12" s="6"/>
      <c r="P12" s="35"/>
      <c r="W12" s="7"/>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row>
    <row r="13" spans="1:52" ht="25.5">
      <c r="A13" s="102"/>
      <c r="B13" s="311">
        <v>0.60699999999999998</v>
      </c>
      <c r="C13" s="5" t="s">
        <v>344</v>
      </c>
      <c r="D13" s="5" t="s">
        <v>343</v>
      </c>
      <c r="E13" s="13"/>
      <c r="F13" s="102"/>
      <c r="G13" s="102"/>
      <c r="H13" s="102"/>
      <c r="I13" s="102"/>
      <c r="J13" s="102"/>
      <c r="K13" s="102"/>
      <c r="L13" s="102"/>
      <c r="M13" s="6"/>
      <c r="P13" s="35"/>
      <c r="W13" s="7"/>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row>
    <row r="14" spans="1:52" ht="13.5" thickBot="1">
      <c r="A14" s="102"/>
      <c r="B14" s="312">
        <v>125</v>
      </c>
      <c r="C14" s="5" t="s">
        <v>345</v>
      </c>
      <c r="D14" s="5" t="s">
        <v>346</v>
      </c>
      <c r="E14" s="13"/>
      <c r="F14" s="102"/>
      <c r="G14" s="102"/>
      <c r="H14" s="102"/>
      <c r="I14" s="102"/>
      <c r="J14" s="102"/>
      <c r="K14" s="102"/>
      <c r="L14" s="102"/>
      <c r="M14" s="6"/>
      <c r="P14" s="35"/>
      <c r="W14" s="7"/>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row>
    <row r="15" spans="1:52" ht="13.5" thickBot="1">
      <c r="A15" s="102"/>
      <c r="B15" s="312">
        <v>61.5</v>
      </c>
      <c r="C15" s="5" t="s">
        <v>347</v>
      </c>
      <c r="D15" s="5" t="s">
        <v>343</v>
      </c>
      <c r="E15" s="13"/>
      <c r="F15" s="102"/>
      <c r="G15" s="102"/>
      <c r="H15" s="102"/>
      <c r="I15" s="102"/>
      <c r="J15" s="102"/>
      <c r="K15" s="102"/>
      <c r="L15" s="102"/>
      <c r="M15" s="20"/>
      <c r="N15" s="36"/>
      <c r="O15" s="36"/>
      <c r="P15" s="36"/>
      <c r="Q15" s="36"/>
      <c r="R15" s="36"/>
      <c r="S15" s="36"/>
      <c r="T15" s="36"/>
      <c r="U15" s="36"/>
      <c r="V15" s="48">
        <f>V11/T11</f>
        <v>2.0691526617558965E-3</v>
      </c>
      <c r="W15" s="49" t="s">
        <v>348</v>
      </c>
      <c r="X15" s="102"/>
      <c r="Y15" s="102"/>
      <c r="Z15" s="463" t="s">
        <v>349</v>
      </c>
      <c r="AA15" s="464"/>
      <c r="AB15" s="55" t="s">
        <v>350</v>
      </c>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row>
    <row r="16" spans="1:52" ht="25.5">
      <c r="A16" s="102"/>
      <c r="B16" s="312">
        <f>B14-B15</f>
        <v>63.5</v>
      </c>
      <c r="C16" s="5" t="s">
        <v>351</v>
      </c>
      <c r="D16" s="5" t="s">
        <v>352</v>
      </c>
      <c r="E16" s="13"/>
      <c r="F16" s="102"/>
      <c r="G16" s="102"/>
      <c r="H16" s="102"/>
      <c r="I16" s="102"/>
      <c r="J16" s="102"/>
      <c r="K16" s="102"/>
      <c r="L16" s="102"/>
      <c r="M16" s="463" t="s">
        <v>353</v>
      </c>
      <c r="N16" s="464"/>
      <c r="O16" s="464"/>
      <c r="P16" s="464"/>
      <c r="Q16" s="464"/>
      <c r="R16" s="464"/>
      <c r="S16" s="464"/>
      <c r="T16" s="464"/>
      <c r="U16" s="464"/>
      <c r="V16" s="464"/>
      <c r="W16" s="465"/>
      <c r="X16" s="102"/>
      <c r="Y16" s="102"/>
      <c r="Z16" s="6">
        <v>1.5E-3</v>
      </c>
      <c r="AA16" t="s">
        <v>354</v>
      </c>
      <c r="AB16" s="54">
        <f>(V15-Z16)/Z16</f>
        <v>0.37943510783726431</v>
      </c>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row>
    <row r="17" spans="1:52" ht="25.5">
      <c r="A17" s="102"/>
      <c r="B17" s="6">
        <v>75</v>
      </c>
      <c r="C17" s="4" t="s">
        <v>355</v>
      </c>
      <c r="D17" s="4" t="s">
        <v>356</v>
      </c>
      <c r="E17" s="7" t="s">
        <v>357</v>
      </c>
      <c r="F17" s="102"/>
      <c r="G17" s="102"/>
      <c r="H17" s="102"/>
      <c r="I17" s="102"/>
      <c r="J17" s="102"/>
      <c r="K17" s="102"/>
      <c r="L17" s="102"/>
      <c r="M17" s="45"/>
      <c r="N17" s="37"/>
      <c r="O17" s="38"/>
      <c r="P17" s="37"/>
      <c r="W17" s="7"/>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row>
    <row r="18" spans="1:52" ht="25.5">
      <c r="A18" s="102"/>
      <c r="B18" s="6">
        <v>1</v>
      </c>
      <c r="C18" s="4" t="s">
        <v>358</v>
      </c>
      <c r="D18" s="4" t="s">
        <v>359</v>
      </c>
      <c r="E18" s="13" t="s">
        <v>357</v>
      </c>
      <c r="F18" s="102"/>
      <c r="G18" s="102"/>
      <c r="H18" s="102"/>
      <c r="I18" s="102"/>
      <c r="J18" s="102"/>
      <c r="K18" s="102"/>
      <c r="L18" s="102"/>
      <c r="M18" s="45"/>
      <c r="N18" s="37"/>
      <c r="O18" s="38"/>
      <c r="P18" s="37"/>
      <c r="W18" s="7"/>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row>
    <row r="19" spans="1:52" ht="26.25" thickBot="1">
      <c r="A19" s="102"/>
      <c r="B19" s="20">
        <v>0.75</v>
      </c>
      <c r="C19" s="8" t="s">
        <v>360</v>
      </c>
      <c r="D19" s="8" t="s">
        <v>359</v>
      </c>
      <c r="E19" s="15" t="s">
        <v>357</v>
      </c>
      <c r="F19" s="102"/>
      <c r="G19" s="102"/>
      <c r="H19" s="102"/>
      <c r="I19" s="102"/>
      <c r="J19" s="102"/>
      <c r="K19" s="102"/>
      <c r="L19" s="102"/>
      <c r="M19" s="45"/>
      <c r="N19" s="37"/>
      <c r="O19" s="38"/>
      <c r="P19" s="37"/>
      <c r="W19" s="7"/>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row>
    <row r="20" spans="1:52" ht="25.5">
      <c r="A20" s="102"/>
      <c r="B20" s="102"/>
      <c r="C20" s="102"/>
      <c r="D20" s="102"/>
      <c r="E20" s="102"/>
      <c r="F20" s="102"/>
      <c r="G20" s="102"/>
      <c r="H20" s="102"/>
      <c r="I20" s="102"/>
      <c r="J20" s="102"/>
      <c r="K20" s="102"/>
      <c r="L20" s="102"/>
      <c r="M20" s="46" t="s">
        <v>361</v>
      </c>
      <c r="N20" s="26">
        <v>750</v>
      </c>
      <c r="O20" s="39">
        <v>422</v>
      </c>
      <c r="P20" s="25">
        <v>316500</v>
      </c>
      <c r="W20" s="7"/>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row>
    <row r="21" spans="1:52" ht="13.5" thickBot="1">
      <c r="A21" s="102"/>
      <c r="B21" s="102"/>
      <c r="C21" s="102"/>
      <c r="D21" s="102"/>
      <c r="E21" s="102"/>
      <c r="F21" s="102"/>
      <c r="G21" s="102"/>
      <c r="H21" s="102"/>
      <c r="I21" s="102"/>
      <c r="J21" s="102"/>
      <c r="K21" s="102"/>
      <c r="L21" s="102"/>
      <c r="M21" s="46"/>
      <c r="N21" s="26"/>
      <c r="O21" s="39"/>
      <c r="P21" s="25"/>
      <c r="W21" s="7"/>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row>
    <row r="22" spans="1:52" ht="15.75">
      <c r="A22" s="102"/>
      <c r="B22" s="457" t="s">
        <v>362</v>
      </c>
      <c r="C22" s="458"/>
      <c r="D22" s="458"/>
      <c r="E22" s="459"/>
      <c r="F22" s="102"/>
      <c r="G22" s="102"/>
      <c r="H22" s="102"/>
      <c r="I22" s="102"/>
      <c r="J22" s="102"/>
      <c r="K22" s="102"/>
      <c r="L22" s="102"/>
      <c r="M22" s="46"/>
      <c r="N22" s="26"/>
      <c r="O22" s="39"/>
      <c r="P22" s="25"/>
      <c r="W22" s="7"/>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row>
    <row r="23" spans="1:52">
      <c r="A23" s="102"/>
      <c r="B23" s="16" t="s">
        <v>309</v>
      </c>
      <c r="C23" s="4" t="s">
        <v>363</v>
      </c>
      <c r="D23" s="4" t="s">
        <v>311</v>
      </c>
      <c r="E23" s="11" t="s">
        <v>312</v>
      </c>
      <c r="F23" s="102"/>
      <c r="G23" s="102"/>
      <c r="H23" s="102"/>
      <c r="I23" s="102"/>
      <c r="J23" s="102"/>
      <c r="K23" s="102"/>
      <c r="L23" s="102"/>
      <c r="M23" s="46" t="s">
        <v>364</v>
      </c>
      <c r="N23" s="25">
        <v>2080</v>
      </c>
      <c r="O23" s="25">
        <v>13142</v>
      </c>
      <c r="P23" s="25">
        <v>27335360</v>
      </c>
      <c r="W23" s="7"/>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row>
    <row r="24" spans="1:52" ht="25.5">
      <c r="A24" s="102"/>
      <c r="B24" s="6">
        <v>99976</v>
      </c>
      <c r="C24" s="5" t="s">
        <v>365</v>
      </c>
      <c r="D24" s="5" t="s">
        <v>366</v>
      </c>
      <c r="E24" s="13" t="s">
        <v>367</v>
      </c>
      <c r="F24" s="102"/>
      <c r="G24" s="102"/>
      <c r="H24" s="102"/>
      <c r="I24" s="102"/>
      <c r="J24" s="102"/>
      <c r="K24" s="102"/>
      <c r="L24" s="102"/>
      <c r="M24" s="46" t="s">
        <v>368</v>
      </c>
      <c r="N24" s="25">
        <v>2690</v>
      </c>
      <c r="O24" s="25">
        <v>16776</v>
      </c>
      <c r="P24" s="25">
        <v>45127500</v>
      </c>
      <c r="W24" s="7"/>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row>
    <row r="25" spans="1:52">
      <c r="A25" s="102"/>
      <c r="B25" s="6">
        <v>10.307</v>
      </c>
      <c r="C25" s="5" t="s">
        <v>369</v>
      </c>
      <c r="D25" s="5" t="s">
        <v>366</v>
      </c>
      <c r="E25" s="13" t="s">
        <v>370</v>
      </c>
      <c r="F25" s="102"/>
      <c r="G25" s="102"/>
      <c r="H25" s="102"/>
      <c r="I25" s="102"/>
      <c r="J25" s="102"/>
      <c r="K25" s="102"/>
      <c r="L25" s="102"/>
      <c r="M25" s="46" t="s">
        <v>371</v>
      </c>
      <c r="N25" s="25">
        <v>2960</v>
      </c>
      <c r="O25" s="40">
        <v>1815</v>
      </c>
      <c r="P25" s="25">
        <v>5372400</v>
      </c>
      <c r="W25" s="7"/>
      <c r="X25" s="102"/>
      <c r="Y25" s="102"/>
      <c r="Z25" s="102"/>
      <c r="AA25" s="102"/>
      <c r="AB25" s="102"/>
      <c r="AC25" s="102"/>
      <c r="AD25" s="102"/>
      <c r="AE25" s="102"/>
      <c r="AF25" s="102"/>
      <c r="AG25" s="102"/>
      <c r="AH25" s="102"/>
      <c r="AI25" s="102"/>
      <c r="AJ25" s="102"/>
      <c r="AK25" s="102"/>
      <c r="AL25" s="102"/>
      <c r="AM25" s="102"/>
      <c r="AN25" s="102"/>
      <c r="AO25" s="102"/>
      <c r="AP25" s="102"/>
      <c r="AQ25" s="102"/>
      <c r="AR25" s="102"/>
      <c r="AS25" s="102"/>
      <c r="AT25" s="102"/>
      <c r="AU25" s="102"/>
      <c r="AV25" s="102"/>
      <c r="AW25" s="102"/>
      <c r="AX25" s="102"/>
      <c r="AY25" s="102"/>
      <c r="AZ25" s="102"/>
    </row>
    <row r="26" spans="1:52" ht="25.5">
      <c r="A26" s="102"/>
      <c r="B26" s="6">
        <v>7.4805000000000001</v>
      </c>
      <c r="C26" s="5" t="s">
        <v>372</v>
      </c>
      <c r="D26" s="5" t="s">
        <v>366</v>
      </c>
      <c r="E26" s="13" t="s">
        <v>367</v>
      </c>
      <c r="F26" s="102"/>
      <c r="G26" s="102"/>
      <c r="H26" s="102"/>
      <c r="I26" s="102"/>
      <c r="J26" s="102"/>
      <c r="K26" s="102"/>
      <c r="L26" s="102"/>
      <c r="M26" s="46" t="s">
        <v>373</v>
      </c>
      <c r="N26" s="25">
        <v>1280</v>
      </c>
      <c r="O26" s="41" t="s">
        <v>374</v>
      </c>
      <c r="P26" s="25">
        <v>4480000</v>
      </c>
      <c r="W26" s="7"/>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row>
    <row r="27" spans="1:52" ht="13.5" thickBot="1">
      <c r="A27" s="102"/>
      <c r="B27" s="6">
        <v>264.17205235814799</v>
      </c>
      <c r="C27" s="4" t="s">
        <v>375</v>
      </c>
      <c r="D27" s="5" t="s">
        <v>366</v>
      </c>
      <c r="E27" s="13" t="s">
        <v>376</v>
      </c>
      <c r="F27" s="102"/>
      <c r="G27" s="102"/>
      <c r="H27" s="102"/>
      <c r="I27" s="102"/>
      <c r="J27" s="102"/>
      <c r="K27" s="102"/>
      <c r="L27" s="102"/>
      <c r="M27" s="46" t="s">
        <v>377</v>
      </c>
      <c r="N27" s="26">
        <v>830</v>
      </c>
      <c r="O27" s="39">
        <v>190</v>
      </c>
      <c r="P27" s="25">
        <v>157700</v>
      </c>
      <c r="W27" s="7"/>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row>
    <row r="28" spans="1:52" ht="26.25" thickBot="1">
      <c r="A28" s="102"/>
      <c r="B28" s="6">
        <v>29.300111000000001</v>
      </c>
      <c r="C28" s="5" t="s">
        <v>378</v>
      </c>
      <c r="D28" s="5" t="s">
        <v>366</v>
      </c>
      <c r="E28" s="13" t="s">
        <v>370</v>
      </c>
      <c r="F28" s="102"/>
      <c r="G28" s="102"/>
      <c r="H28" s="102"/>
      <c r="I28" s="102"/>
      <c r="J28" s="102"/>
      <c r="K28" s="102"/>
      <c r="L28" s="102"/>
      <c r="M28" s="460" t="s">
        <v>334</v>
      </c>
      <c r="N28" s="461"/>
      <c r="O28" s="42">
        <v>32845</v>
      </c>
      <c r="P28" s="43">
        <v>82789400</v>
      </c>
      <c r="Q28" s="27">
        <f>O28*365</f>
        <v>11988425</v>
      </c>
      <c r="R28" s="44" t="s">
        <v>379</v>
      </c>
      <c r="T28" s="27">
        <f>P28*365</f>
        <v>30218131000</v>
      </c>
      <c r="U28" s="29" t="s">
        <v>341</v>
      </c>
      <c r="W28" s="7"/>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row>
    <row r="29" spans="1:52" ht="13.5" thickBot="1">
      <c r="A29" s="102"/>
      <c r="B29" s="17">
        <v>8.3452640999999996</v>
      </c>
      <c r="C29" s="4" t="s">
        <v>380</v>
      </c>
      <c r="D29" s="4" t="s">
        <v>381</v>
      </c>
      <c r="E29" s="13" t="s">
        <v>382</v>
      </c>
      <c r="F29" s="102"/>
      <c r="G29" s="102"/>
      <c r="H29" s="102"/>
      <c r="I29" s="102"/>
      <c r="J29" s="102"/>
      <c r="K29" s="102"/>
      <c r="L29" s="102"/>
      <c r="M29" s="460" t="s">
        <v>338</v>
      </c>
      <c r="N29" s="462"/>
      <c r="O29" s="461"/>
      <c r="P29" s="24" t="s">
        <v>383</v>
      </c>
      <c r="Q29" s="47"/>
      <c r="W29" s="7"/>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102"/>
      <c r="AY29" s="102"/>
      <c r="AZ29" s="102"/>
    </row>
    <row r="30" spans="1:52" ht="13.5" thickBot="1">
      <c r="A30" s="102"/>
      <c r="B30" s="17">
        <v>3412.1414798969399</v>
      </c>
      <c r="C30" s="4" t="s">
        <v>384</v>
      </c>
      <c r="D30" s="4" t="s">
        <v>381</v>
      </c>
      <c r="E30" s="13" t="s">
        <v>385</v>
      </c>
      <c r="F30" s="102"/>
      <c r="G30" s="102"/>
      <c r="H30" s="102"/>
      <c r="I30" s="102"/>
      <c r="J30" s="102"/>
      <c r="K30" s="102"/>
      <c r="L30" s="102"/>
      <c r="M30" s="20"/>
      <c r="N30" s="36"/>
      <c r="O30" s="36"/>
      <c r="P30" s="36"/>
      <c r="Q30" s="36"/>
      <c r="R30" s="36"/>
      <c r="S30" s="36"/>
      <c r="T30" s="36"/>
      <c r="U30" s="36"/>
      <c r="V30" s="48">
        <f>T28/(Q28*10^6)</f>
        <v>2.5206089206880802E-3</v>
      </c>
      <c r="W30" s="49" t="s">
        <v>386</v>
      </c>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row>
    <row r="31" spans="1:52" ht="25.5">
      <c r="A31" s="108"/>
      <c r="B31" s="6">
        <v>1</v>
      </c>
      <c r="C31" s="4" t="s">
        <v>387</v>
      </c>
      <c r="D31" s="4" t="s">
        <v>388</v>
      </c>
      <c r="E31" s="57" t="s">
        <v>389</v>
      </c>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2"/>
      <c r="AV31" s="102"/>
      <c r="AW31" s="102"/>
      <c r="AX31" s="102"/>
      <c r="AY31" s="102"/>
      <c r="AZ31" s="102"/>
    </row>
    <row r="32" spans="1:52" ht="51">
      <c r="A32" s="102"/>
      <c r="B32" s="16">
        <f>(B31*(1/B30)*B29*B17)/B18</f>
        <v>0.18343166928673324</v>
      </c>
      <c r="C32" s="5" t="s">
        <v>390</v>
      </c>
      <c r="D32" s="5" t="s">
        <v>391</v>
      </c>
      <c r="E32" s="58"/>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row>
    <row r="33" spans="1:52" ht="38.25">
      <c r="A33" s="102"/>
      <c r="B33" s="6">
        <f>(((1/B24)/(1/B29)*B17)/B19)</f>
        <v>8.3472674441866044E-3</v>
      </c>
      <c r="C33" s="56" t="s">
        <v>392</v>
      </c>
      <c r="D33" s="4" t="s">
        <v>391</v>
      </c>
      <c r="E33" s="7"/>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row>
    <row r="34" spans="1:52" ht="26.25" thickBot="1">
      <c r="A34" s="102"/>
      <c r="B34" s="20">
        <f>B33*(1/B25)</f>
        <v>8.0986392201286544E-4</v>
      </c>
      <c r="C34" s="59" t="s">
        <v>393</v>
      </c>
      <c r="D34" s="8" t="s">
        <v>391</v>
      </c>
      <c r="E34" s="9"/>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row>
    <row r="35" spans="1:52" ht="13.5" thickBot="1">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row>
    <row r="36" spans="1:52" ht="15.75">
      <c r="A36" s="102"/>
      <c r="B36" s="457" t="s">
        <v>394</v>
      </c>
      <c r="C36" s="458"/>
      <c r="D36" s="458"/>
      <c r="E36" s="459"/>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c r="AZ36" s="102"/>
    </row>
    <row r="37" spans="1:52">
      <c r="A37" s="102"/>
      <c r="B37" s="16" t="s">
        <v>309</v>
      </c>
      <c r="C37" s="4" t="s">
        <v>363</v>
      </c>
      <c r="D37" s="4" t="s">
        <v>311</v>
      </c>
      <c r="E37" s="11" t="s">
        <v>312</v>
      </c>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row>
    <row r="38" spans="1:52">
      <c r="A38" s="102"/>
      <c r="B38" s="237">
        <v>77100</v>
      </c>
      <c r="C38" s="238" t="s">
        <v>395</v>
      </c>
      <c r="D38" s="5" t="s">
        <v>396</v>
      </c>
      <c r="E38" s="13"/>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row>
    <row r="39" spans="1:52">
      <c r="A39" s="102"/>
      <c r="B39" s="237">
        <v>30600</v>
      </c>
      <c r="C39" s="238" t="s">
        <v>397</v>
      </c>
      <c r="D39" s="5" t="s">
        <v>396</v>
      </c>
      <c r="E39" s="13"/>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c r="AZ39" s="102"/>
    </row>
    <row r="40" spans="1:52">
      <c r="A40" s="102"/>
      <c r="B40" s="237">
        <v>42700</v>
      </c>
      <c r="C40" s="238" t="s">
        <v>398</v>
      </c>
      <c r="D40" s="5" t="s">
        <v>396</v>
      </c>
      <c r="E40" s="13"/>
      <c r="F40" s="102"/>
      <c r="G40" s="102"/>
      <c r="H40" s="102"/>
      <c r="I40" s="102"/>
      <c r="J40" s="102"/>
      <c r="K40" s="102"/>
      <c r="L40" s="102"/>
      <c r="M40" s="102"/>
      <c r="N40" s="102"/>
      <c r="O40" s="102"/>
      <c r="P40" s="102"/>
      <c r="Q40" s="102"/>
      <c r="R40" s="102"/>
      <c r="S40" s="102"/>
      <c r="T40" s="102"/>
      <c r="U40" s="102"/>
      <c r="V40" s="102"/>
      <c r="W40" s="102"/>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row>
    <row r="41" spans="1:52">
      <c r="A41" s="102"/>
      <c r="B41" s="242">
        <f>Indoor_Use_home*0.7</f>
        <v>29889.999999999996</v>
      </c>
      <c r="C41" s="238" t="s">
        <v>399</v>
      </c>
      <c r="D41" s="5"/>
      <c r="E41" s="13"/>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row>
    <row r="42" spans="1:52">
      <c r="A42" s="102"/>
      <c r="B42" s="242">
        <f>Indoor_Use_home-B41</f>
        <v>12810.000000000004</v>
      </c>
      <c r="C42" s="238" t="s">
        <v>400</v>
      </c>
      <c r="D42" s="5"/>
      <c r="E42" s="13"/>
      <c r="F42" s="102"/>
      <c r="G42" s="102"/>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row>
    <row r="43" spans="1:52">
      <c r="A43" s="102"/>
      <c r="B43" s="239">
        <v>0.33200000000000002</v>
      </c>
      <c r="C43" s="238" t="s">
        <v>401</v>
      </c>
      <c r="D43" s="5" t="s">
        <v>396</v>
      </c>
      <c r="E43" s="13"/>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102"/>
      <c r="AY43" s="102"/>
      <c r="AZ43" s="102"/>
    </row>
    <row r="44" spans="1:52" ht="13.5" thickBot="1">
      <c r="A44" s="102"/>
      <c r="B44" s="243">
        <f>B42*B43</f>
        <v>4252.920000000001</v>
      </c>
      <c r="C44" s="240" t="s">
        <v>402</v>
      </c>
      <c r="D44" s="241" t="s">
        <v>396</v>
      </c>
      <c r="E44" s="15"/>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row>
    <row r="45" spans="1:52">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c r="AX45" s="102"/>
      <c r="AY45" s="102"/>
      <c r="AZ45" s="102"/>
    </row>
    <row r="46" spans="1:52">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2"/>
      <c r="AY46" s="102"/>
      <c r="AZ46" s="102"/>
    </row>
    <row r="47" spans="1:52">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c r="AB47" s="102"/>
      <c r="AC47" s="102"/>
      <c r="AD47" s="102"/>
      <c r="AE47" s="102"/>
      <c r="AF47" s="102"/>
      <c r="AG47" s="102"/>
      <c r="AH47" s="102"/>
      <c r="AI47" s="102"/>
      <c r="AJ47" s="102"/>
      <c r="AK47" s="102"/>
      <c r="AL47" s="102"/>
      <c r="AM47" s="102"/>
      <c r="AN47" s="102"/>
      <c r="AO47" s="102"/>
      <c r="AP47" s="102"/>
      <c r="AQ47" s="102"/>
      <c r="AR47" s="102"/>
      <c r="AS47" s="102"/>
      <c r="AT47" s="102"/>
      <c r="AU47" s="102"/>
      <c r="AV47" s="102"/>
      <c r="AW47" s="102"/>
      <c r="AX47" s="102"/>
      <c r="AY47" s="102"/>
      <c r="AZ47" s="102"/>
    </row>
    <row r="48" spans="1:52">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2"/>
      <c r="AC48" s="102"/>
      <c r="AD48" s="102"/>
      <c r="AE48" s="102"/>
      <c r="AF48" s="102"/>
      <c r="AG48" s="102"/>
      <c r="AH48" s="102"/>
      <c r="AI48" s="102"/>
      <c r="AJ48" s="102"/>
      <c r="AK48" s="102"/>
      <c r="AL48" s="102"/>
      <c r="AM48" s="102"/>
      <c r="AN48" s="102"/>
      <c r="AO48" s="102"/>
      <c r="AP48" s="102"/>
      <c r="AQ48" s="102"/>
      <c r="AR48" s="102"/>
      <c r="AS48" s="102"/>
      <c r="AT48" s="102"/>
      <c r="AU48" s="102"/>
      <c r="AV48" s="102"/>
      <c r="AW48" s="102"/>
      <c r="AX48" s="102"/>
      <c r="AY48" s="102"/>
      <c r="AZ48" s="102"/>
    </row>
    <row r="49" spans="1:52">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row>
    <row r="50" spans="1:52">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row>
    <row r="51" spans="1:52">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row>
    <row r="52" spans="1:52">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row>
    <row r="53" spans="1:52">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c r="AZ53" s="102"/>
    </row>
    <row r="54" spans="1:52">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102"/>
      <c r="AZ54" s="102"/>
    </row>
    <row r="55" spans="1:52">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2"/>
      <c r="AY55" s="102"/>
      <c r="AZ55" s="102"/>
    </row>
    <row r="56" spans="1:52">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row>
    <row r="57" spans="1:52">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102"/>
      <c r="AX57" s="102"/>
      <c r="AY57" s="102"/>
      <c r="AZ57" s="102"/>
    </row>
    <row r="58" spans="1:52">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2"/>
      <c r="AY58" s="102"/>
      <c r="AZ58" s="102"/>
    </row>
    <row r="59" spans="1:52">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2"/>
      <c r="AY59" s="102"/>
      <c r="AZ59" s="102"/>
    </row>
    <row r="60" spans="1:52">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c r="AK60" s="102"/>
      <c r="AL60" s="102"/>
      <c r="AM60" s="102"/>
      <c r="AN60" s="102"/>
      <c r="AO60" s="102"/>
      <c r="AP60" s="102"/>
      <c r="AQ60" s="102"/>
      <c r="AR60" s="102"/>
      <c r="AS60" s="102"/>
      <c r="AT60" s="102"/>
      <c r="AU60" s="102"/>
      <c r="AV60" s="102"/>
      <c r="AW60" s="102"/>
      <c r="AX60" s="102"/>
      <c r="AY60" s="102"/>
      <c r="AZ60" s="102"/>
    </row>
    <row r="61" spans="1:52">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2"/>
      <c r="AV61" s="102"/>
      <c r="AW61" s="102"/>
      <c r="AX61" s="102"/>
      <c r="AY61" s="102"/>
      <c r="AZ61" s="102"/>
    </row>
    <row r="62" spans="1:52">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102"/>
      <c r="AJ62" s="102"/>
      <c r="AK62" s="102"/>
      <c r="AL62" s="102"/>
      <c r="AM62" s="102"/>
      <c r="AN62" s="102"/>
      <c r="AO62" s="102"/>
      <c r="AP62" s="102"/>
      <c r="AQ62" s="102"/>
      <c r="AR62" s="102"/>
      <c r="AS62" s="102"/>
      <c r="AT62" s="102"/>
      <c r="AU62" s="102"/>
      <c r="AV62" s="102"/>
      <c r="AW62" s="102"/>
      <c r="AX62" s="102"/>
      <c r="AY62" s="102"/>
      <c r="AZ62" s="102"/>
    </row>
    <row r="63" spans="1:52">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102"/>
      <c r="AY63" s="102"/>
      <c r="AZ63" s="102"/>
    </row>
    <row r="64" spans="1:52">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row>
    <row r="65" spans="1:52">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2"/>
      <c r="AY65" s="102"/>
      <c r="AZ65" s="102"/>
    </row>
    <row r="66" spans="1:52">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row>
    <row r="67" spans="1:52">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row>
    <row r="68" spans="1:52">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row>
    <row r="69" spans="1:52">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row>
    <row r="70" spans="1:52">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row>
    <row r="71" spans="1:52">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c r="AA71" s="102"/>
      <c r="AB71" s="102"/>
      <c r="AC71" s="102"/>
      <c r="AD71" s="102"/>
      <c r="AE71" s="102"/>
      <c r="AF71" s="102"/>
      <c r="AG71" s="102"/>
      <c r="AH71" s="102"/>
      <c r="AI71" s="102"/>
      <c r="AJ71" s="102"/>
      <c r="AK71" s="102"/>
      <c r="AL71" s="102"/>
      <c r="AM71" s="102"/>
      <c r="AN71" s="102"/>
      <c r="AO71" s="102"/>
      <c r="AP71" s="102"/>
      <c r="AQ71" s="102"/>
      <c r="AR71" s="102"/>
      <c r="AS71" s="102"/>
      <c r="AT71" s="102"/>
      <c r="AU71" s="102"/>
      <c r="AV71" s="102"/>
      <c r="AW71" s="102"/>
      <c r="AX71" s="102"/>
      <c r="AY71" s="102"/>
      <c r="AZ71" s="102"/>
    </row>
    <row r="72" spans="1:52">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c r="AA72" s="102"/>
      <c r="AB72" s="102"/>
      <c r="AC72" s="102"/>
      <c r="AD72" s="102"/>
      <c r="AE72" s="102"/>
      <c r="AF72" s="102"/>
      <c r="AG72" s="102"/>
      <c r="AH72" s="102"/>
      <c r="AI72" s="102"/>
      <c r="AJ72" s="102"/>
      <c r="AK72" s="102"/>
      <c r="AL72" s="102"/>
      <c r="AM72" s="102"/>
      <c r="AN72" s="102"/>
      <c r="AO72" s="102"/>
      <c r="AP72" s="102"/>
      <c r="AQ72" s="102"/>
      <c r="AR72" s="102"/>
      <c r="AS72" s="102"/>
      <c r="AT72" s="102"/>
      <c r="AU72" s="102"/>
      <c r="AV72" s="102"/>
      <c r="AW72" s="102"/>
      <c r="AX72" s="102"/>
      <c r="AY72" s="102"/>
      <c r="AZ72" s="102"/>
    </row>
    <row r="73" spans="1:52">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c r="AA73" s="102"/>
      <c r="AB73" s="102"/>
      <c r="AC73" s="102"/>
      <c r="AD73" s="102"/>
      <c r="AE73" s="102"/>
      <c r="AF73" s="102"/>
      <c r="AG73" s="102"/>
      <c r="AH73" s="102"/>
      <c r="AI73" s="102"/>
      <c r="AJ73" s="102"/>
      <c r="AK73" s="102"/>
      <c r="AL73" s="102"/>
      <c r="AM73" s="102"/>
      <c r="AN73" s="102"/>
      <c r="AO73" s="102"/>
      <c r="AP73" s="102"/>
      <c r="AQ73" s="102"/>
      <c r="AR73" s="102"/>
      <c r="AS73" s="102"/>
      <c r="AT73" s="102"/>
      <c r="AU73" s="102"/>
      <c r="AV73" s="102"/>
      <c r="AW73" s="102"/>
      <c r="AX73" s="102"/>
      <c r="AY73" s="102"/>
      <c r="AZ73" s="102"/>
    </row>
    <row r="74" spans="1:52">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c r="AA74" s="102"/>
      <c r="AB74" s="102"/>
      <c r="AC74" s="102"/>
      <c r="AD74" s="102"/>
      <c r="AE74" s="102"/>
      <c r="AF74" s="102"/>
      <c r="AG74" s="102"/>
      <c r="AH74" s="102"/>
      <c r="AI74" s="102"/>
      <c r="AJ74" s="102"/>
      <c r="AK74" s="102"/>
      <c r="AL74" s="102"/>
      <c r="AM74" s="102"/>
      <c r="AN74" s="102"/>
      <c r="AO74" s="102"/>
      <c r="AP74" s="102"/>
      <c r="AQ74" s="102"/>
      <c r="AR74" s="102"/>
      <c r="AS74" s="102"/>
      <c r="AT74" s="102"/>
      <c r="AU74" s="102"/>
      <c r="AV74" s="102"/>
      <c r="AW74" s="102"/>
      <c r="AX74" s="102"/>
      <c r="AY74" s="102"/>
      <c r="AZ74" s="102"/>
    </row>
    <row r="75" spans="1:52">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c r="AA75" s="102"/>
      <c r="AB75" s="102"/>
      <c r="AC75" s="102"/>
      <c r="AD75" s="102"/>
      <c r="AE75" s="102"/>
      <c r="AF75" s="102"/>
      <c r="AG75" s="102"/>
      <c r="AH75" s="102"/>
      <c r="AI75" s="102"/>
      <c r="AJ75" s="102"/>
      <c r="AK75" s="102"/>
      <c r="AL75" s="102"/>
      <c r="AM75" s="102"/>
      <c r="AN75" s="102"/>
      <c r="AO75" s="102"/>
      <c r="AP75" s="102"/>
      <c r="AQ75" s="102"/>
      <c r="AR75" s="102"/>
      <c r="AS75" s="102"/>
      <c r="AT75" s="102"/>
      <c r="AU75" s="102"/>
      <c r="AV75" s="102"/>
      <c r="AW75" s="102"/>
      <c r="AX75" s="102"/>
      <c r="AY75" s="102"/>
      <c r="AZ75" s="102"/>
    </row>
    <row r="76" spans="1:52">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2"/>
      <c r="AY76" s="102"/>
      <c r="AZ76" s="102"/>
    </row>
    <row r="77" spans="1:52">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2"/>
      <c r="AY77" s="102"/>
      <c r="AZ77" s="102"/>
    </row>
    <row r="78" spans="1:52">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B78" s="102"/>
      <c r="AC78" s="102"/>
      <c r="AD78" s="102"/>
      <c r="AE78" s="102"/>
      <c r="AF78" s="102"/>
      <c r="AG78" s="102"/>
      <c r="AH78" s="102"/>
      <c r="AI78" s="102"/>
      <c r="AJ78" s="102"/>
      <c r="AK78" s="102"/>
      <c r="AL78" s="102"/>
      <c r="AM78" s="102"/>
      <c r="AN78" s="102"/>
      <c r="AO78" s="102"/>
      <c r="AP78" s="102"/>
      <c r="AQ78" s="102"/>
      <c r="AR78" s="102"/>
      <c r="AS78" s="102"/>
      <c r="AT78" s="102"/>
      <c r="AU78" s="102"/>
      <c r="AV78" s="102"/>
      <c r="AW78" s="102"/>
      <c r="AX78" s="102"/>
      <c r="AY78" s="102"/>
      <c r="AZ78" s="102"/>
    </row>
    <row r="79" spans="1:52">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2"/>
      <c r="AY79" s="102"/>
      <c r="AZ79" s="102"/>
    </row>
    <row r="80" spans="1:52">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2"/>
      <c r="AY80" s="102"/>
      <c r="AZ80" s="102"/>
    </row>
    <row r="81" spans="1:52">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c r="AA81" s="102"/>
      <c r="AB81" s="102"/>
      <c r="AC81" s="102"/>
      <c r="AD81" s="102"/>
      <c r="AE81" s="102"/>
      <c r="AF81" s="102"/>
      <c r="AG81" s="102"/>
      <c r="AH81" s="102"/>
      <c r="AI81" s="102"/>
      <c r="AJ81" s="102"/>
      <c r="AK81" s="102"/>
      <c r="AL81" s="102"/>
      <c r="AM81" s="102"/>
      <c r="AN81" s="102"/>
      <c r="AO81" s="102"/>
      <c r="AP81" s="102"/>
      <c r="AQ81" s="102"/>
      <c r="AR81" s="102"/>
      <c r="AS81" s="102"/>
      <c r="AT81" s="102"/>
      <c r="AU81" s="102"/>
      <c r="AV81" s="102"/>
      <c r="AW81" s="102"/>
      <c r="AX81" s="102"/>
      <c r="AY81" s="102"/>
      <c r="AZ81" s="102"/>
    </row>
    <row r="82" spans="1:52">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B82" s="102"/>
      <c r="AC82" s="102"/>
      <c r="AD82" s="102"/>
      <c r="AE82" s="102"/>
      <c r="AF82" s="102"/>
      <c r="AG82" s="102"/>
      <c r="AH82" s="102"/>
      <c r="AI82" s="102"/>
      <c r="AJ82" s="102"/>
      <c r="AK82" s="102"/>
      <c r="AL82" s="102"/>
      <c r="AM82" s="102"/>
      <c r="AN82" s="102"/>
      <c r="AO82" s="102"/>
      <c r="AP82" s="102"/>
      <c r="AQ82" s="102"/>
      <c r="AR82" s="102"/>
      <c r="AS82" s="102"/>
      <c r="AT82" s="102"/>
      <c r="AU82" s="102"/>
      <c r="AV82" s="102"/>
      <c r="AW82" s="102"/>
      <c r="AX82" s="102"/>
      <c r="AY82" s="102"/>
      <c r="AZ82" s="102"/>
    </row>
    <row r="83" spans="1:52">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row>
    <row r="84" spans="1:52">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row>
    <row r="85" spans="1:52">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row>
    <row r="86" spans="1:52">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row>
    <row r="87" spans="1:52">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c r="AA87" s="102"/>
      <c r="AB87" s="102"/>
      <c r="AC87" s="102"/>
      <c r="AD87" s="102"/>
      <c r="AE87" s="102"/>
      <c r="AF87" s="102"/>
      <c r="AG87" s="102"/>
      <c r="AH87" s="102"/>
      <c r="AI87" s="102"/>
      <c r="AJ87" s="102"/>
      <c r="AK87" s="102"/>
      <c r="AL87" s="102"/>
      <c r="AM87" s="102"/>
      <c r="AN87" s="102"/>
      <c r="AO87" s="102"/>
      <c r="AP87" s="102"/>
      <c r="AQ87" s="102"/>
      <c r="AR87" s="102"/>
      <c r="AS87" s="102"/>
      <c r="AT87" s="102"/>
      <c r="AU87" s="102"/>
      <c r="AV87" s="102"/>
      <c r="AW87" s="102"/>
      <c r="AX87" s="102"/>
      <c r="AY87" s="102"/>
      <c r="AZ87" s="102"/>
    </row>
    <row r="88" spans="1:52">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row>
    <row r="89" spans="1:52">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row>
    <row r="90" spans="1:52">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c r="AA90" s="102"/>
      <c r="AB90" s="102"/>
      <c r="AC90" s="102"/>
      <c r="AD90" s="102"/>
      <c r="AE90" s="102"/>
      <c r="AF90" s="102"/>
      <c r="AG90" s="102"/>
      <c r="AH90" s="102"/>
      <c r="AI90" s="102"/>
      <c r="AJ90" s="102"/>
      <c r="AK90" s="102"/>
      <c r="AL90" s="102"/>
      <c r="AM90" s="102"/>
      <c r="AN90" s="102"/>
      <c r="AO90" s="102"/>
      <c r="AP90" s="102"/>
      <c r="AQ90" s="102"/>
      <c r="AR90" s="102"/>
      <c r="AS90" s="102"/>
      <c r="AT90" s="102"/>
      <c r="AU90" s="102"/>
      <c r="AV90" s="102"/>
      <c r="AW90" s="102"/>
      <c r="AX90" s="102"/>
      <c r="AY90" s="102"/>
      <c r="AZ90" s="102"/>
    </row>
    <row r="91" spans="1:52">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row>
    <row r="92" spans="1:52">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row>
    <row r="93" spans="1:52">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c r="AA93" s="102"/>
      <c r="AB93" s="102"/>
      <c r="AC93" s="102"/>
      <c r="AD93" s="102"/>
      <c r="AE93" s="102"/>
      <c r="AF93" s="102"/>
      <c r="AG93" s="102"/>
      <c r="AH93" s="102"/>
      <c r="AI93" s="102"/>
      <c r="AJ93" s="102"/>
      <c r="AK93" s="102"/>
      <c r="AL93" s="102"/>
      <c r="AM93" s="102"/>
      <c r="AN93" s="102"/>
      <c r="AO93" s="102"/>
      <c r="AP93" s="102"/>
      <c r="AQ93" s="102"/>
      <c r="AR93" s="102"/>
      <c r="AS93" s="102"/>
      <c r="AT93" s="102"/>
      <c r="AU93" s="102"/>
      <c r="AV93" s="102"/>
      <c r="AW93" s="102"/>
      <c r="AX93" s="102"/>
      <c r="AY93" s="102"/>
      <c r="AZ93" s="102"/>
    </row>
    <row r="94" spans="1:52">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c r="AA94" s="102"/>
      <c r="AB94" s="102"/>
      <c r="AC94" s="102"/>
      <c r="AD94" s="102"/>
      <c r="AE94" s="102"/>
      <c r="AF94" s="102"/>
      <c r="AG94" s="102"/>
      <c r="AH94" s="102"/>
      <c r="AI94" s="102"/>
      <c r="AJ94" s="102"/>
      <c r="AK94" s="102"/>
      <c r="AL94" s="102"/>
      <c r="AM94" s="102"/>
      <c r="AN94" s="102"/>
      <c r="AO94" s="102"/>
      <c r="AP94" s="102"/>
      <c r="AQ94" s="102"/>
      <c r="AR94" s="102"/>
      <c r="AS94" s="102"/>
      <c r="AT94" s="102"/>
      <c r="AU94" s="102"/>
      <c r="AV94" s="102"/>
      <c r="AW94" s="102"/>
      <c r="AX94" s="102"/>
      <c r="AY94" s="102"/>
      <c r="AZ94" s="102"/>
    </row>
    <row r="95" spans="1:52">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c r="AA95" s="102"/>
      <c r="AB95" s="102"/>
      <c r="AC95" s="102"/>
      <c r="AD95" s="102"/>
      <c r="AE95" s="102"/>
      <c r="AF95" s="102"/>
      <c r="AG95" s="102"/>
      <c r="AH95" s="102"/>
      <c r="AI95" s="102"/>
      <c r="AJ95" s="102"/>
      <c r="AK95" s="102"/>
      <c r="AL95" s="102"/>
      <c r="AM95" s="102"/>
      <c r="AN95" s="102"/>
      <c r="AO95" s="102"/>
      <c r="AP95" s="102"/>
      <c r="AQ95" s="102"/>
      <c r="AR95" s="102"/>
      <c r="AS95" s="102"/>
      <c r="AT95" s="102"/>
      <c r="AU95" s="102"/>
      <c r="AV95" s="102"/>
      <c r="AW95" s="102"/>
      <c r="AX95" s="102"/>
      <c r="AY95" s="102"/>
      <c r="AZ95" s="102"/>
    </row>
    <row r="96" spans="1:52">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c r="AA96" s="102"/>
      <c r="AB96" s="102"/>
      <c r="AC96" s="102"/>
      <c r="AD96" s="102"/>
      <c r="AE96" s="102"/>
      <c r="AF96" s="102"/>
      <c r="AG96" s="102"/>
      <c r="AH96" s="102"/>
      <c r="AI96" s="102"/>
      <c r="AJ96" s="102"/>
      <c r="AK96" s="102"/>
      <c r="AL96" s="102"/>
      <c r="AM96" s="102"/>
      <c r="AN96" s="102"/>
      <c r="AO96" s="102"/>
      <c r="AP96" s="102"/>
      <c r="AQ96" s="102"/>
      <c r="AR96" s="102"/>
      <c r="AS96" s="102"/>
      <c r="AT96" s="102"/>
      <c r="AU96" s="102"/>
      <c r="AV96" s="102"/>
      <c r="AW96" s="102"/>
      <c r="AX96" s="102"/>
      <c r="AY96" s="102"/>
      <c r="AZ96" s="102"/>
    </row>
    <row r="97" spans="1:52">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c r="AA97" s="102"/>
      <c r="AB97" s="102"/>
      <c r="AC97" s="102"/>
      <c r="AD97" s="102"/>
      <c r="AE97" s="102"/>
      <c r="AF97" s="102"/>
      <c r="AG97" s="102"/>
      <c r="AH97" s="102"/>
      <c r="AI97" s="102"/>
      <c r="AJ97" s="102"/>
      <c r="AK97" s="102"/>
      <c r="AL97" s="102"/>
      <c r="AM97" s="102"/>
      <c r="AN97" s="102"/>
      <c r="AO97" s="102"/>
      <c r="AP97" s="102"/>
      <c r="AQ97" s="102"/>
      <c r="AR97" s="102"/>
      <c r="AS97" s="102"/>
      <c r="AT97" s="102"/>
      <c r="AU97" s="102"/>
      <c r="AV97" s="102"/>
      <c r="AW97" s="102"/>
      <c r="AX97" s="102"/>
      <c r="AY97" s="102"/>
      <c r="AZ97" s="102"/>
    </row>
    <row r="98" spans="1:52">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c r="AA98" s="102"/>
      <c r="AB98" s="102"/>
      <c r="AC98" s="102"/>
      <c r="AD98" s="102"/>
      <c r="AE98" s="102"/>
      <c r="AF98" s="102"/>
      <c r="AG98" s="102"/>
      <c r="AH98" s="102"/>
      <c r="AI98" s="102"/>
      <c r="AJ98" s="102"/>
      <c r="AK98" s="102"/>
      <c r="AL98" s="102"/>
      <c r="AM98" s="102"/>
      <c r="AN98" s="102"/>
      <c r="AO98" s="102"/>
      <c r="AP98" s="102"/>
      <c r="AQ98" s="102"/>
      <c r="AR98" s="102"/>
      <c r="AS98" s="102"/>
      <c r="AT98" s="102"/>
      <c r="AU98" s="102"/>
      <c r="AV98" s="102"/>
      <c r="AW98" s="102"/>
      <c r="AX98" s="102"/>
      <c r="AY98" s="102"/>
      <c r="AZ98" s="102"/>
    </row>
    <row r="99" spans="1:52">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row>
    <row r="100" spans="1:52">
      <c r="A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row>
    <row r="101" spans="1:52">
      <c r="A101" s="102"/>
      <c r="F101" s="102"/>
      <c r="G101" s="102"/>
      <c r="H101" s="102"/>
      <c r="I101" s="102"/>
      <c r="J101" s="102"/>
      <c r="K101" s="102"/>
      <c r="L101" s="102"/>
      <c r="M101" s="102"/>
      <c r="N101" s="102"/>
      <c r="O101" s="102"/>
      <c r="P101" s="102"/>
      <c r="Q101" s="102"/>
      <c r="R101" s="102"/>
      <c r="S101" s="102"/>
      <c r="T101" s="102"/>
      <c r="U101" s="102"/>
      <c r="V101" s="102"/>
      <c r="W101" s="102"/>
      <c r="X101" s="102"/>
      <c r="Y101" s="102"/>
      <c r="Z101" s="102"/>
      <c r="AA101" s="102"/>
      <c r="AB101" s="102"/>
      <c r="AC101" s="102"/>
      <c r="AD101" s="102"/>
      <c r="AE101" s="102"/>
      <c r="AF101" s="102"/>
      <c r="AG101" s="102"/>
      <c r="AH101" s="102"/>
      <c r="AI101" s="102"/>
      <c r="AJ101" s="102"/>
      <c r="AK101" s="102"/>
      <c r="AL101" s="102"/>
      <c r="AM101" s="102"/>
      <c r="AN101" s="102"/>
      <c r="AO101" s="102"/>
      <c r="AP101" s="102"/>
      <c r="AQ101" s="102"/>
      <c r="AR101" s="102"/>
      <c r="AS101" s="102"/>
      <c r="AT101" s="102"/>
      <c r="AU101" s="102"/>
      <c r="AV101" s="102"/>
      <c r="AW101" s="102"/>
      <c r="AX101" s="102"/>
      <c r="AY101" s="102"/>
      <c r="AZ101" s="102"/>
    </row>
    <row r="102" spans="1:52">
      <c r="A102" s="102"/>
      <c r="F102" s="102"/>
      <c r="G102" s="102"/>
      <c r="H102" s="102"/>
      <c r="I102" s="102"/>
      <c r="J102" s="102"/>
      <c r="K102" s="102"/>
      <c r="L102" s="102"/>
      <c r="M102" s="102"/>
      <c r="N102" s="102"/>
      <c r="O102" s="102"/>
      <c r="P102" s="102"/>
      <c r="Q102" s="102"/>
      <c r="R102" s="102"/>
      <c r="S102" s="102"/>
      <c r="T102" s="102"/>
      <c r="U102" s="102"/>
      <c r="V102" s="102"/>
      <c r="W102" s="102"/>
      <c r="X102" s="102"/>
      <c r="Y102" s="102"/>
      <c r="Z102" s="102"/>
      <c r="AA102" s="102"/>
      <c r="AB102" s="102"/>
      <c r="AC102" s="102"/>
      <c r="AD102" s="102"/>
      <c r="AE102" s="102"/>
      <c r="AF102" s="102"/>
      <c r="AG102" s="102"/>
      <c r="AH102" s="102"/>
      <c r="AI102" s="102"/>
      <c r="AJ102" s="102"/>
      <c r="AK102" s="102"/>
      <c r="AL102" s="102"/>
      <c r="AM102" s="102"/>
      <c r="AN102" s="102"/>
      <c r="AO102" s="102"/>
      <c r="AP102" s="102"/>
      <c r="AQ102" s="102"/>
      <c r="AR102" s="102"/>
      <c r="AS102" s="102"/>
      <c r="AT102" s="102"/>
      <c r="AU102" s="102"/>
      <c r="AV102" s="102"/>
      <c r="AW102" s="102"/>
      <c r="AX102" s="102"/>
      <c r="AY102" s="102"/>
      <c r="AZ102" s="102"/>
    </row>
    <row r="103" spans="1:52">
      <c r="A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row>
  </sheetData>
  <mergeCells count="21">
    <mergeCell ref="B2:E2"/>
    <mergeCell ref="B8:E8"/>
    <mergeCell ref="B22:E22"/>
    <mergeCell ref="M5:M7"/>
    <mergeCell ref="M8:M9"/>
    <mergeCell ref="M10:O10"/>
    <mergeCell ref="M11:O11"/>
    <mergeCell ref="T4:U4"/>
    <mergeCell ref="M3:W3"/>
    <mergeCell ref="P10:R10"/>
    <mergeCell ref="P11:R11"/>
    <mergeCell ref="Z15:AA15"/>
    <mergeCell ref="B36:E36"/>
    <mergeCell ref="M28:N28"/>
    <mergeCell ref="M29:O29"/>
    <mergeCell ref="M16:W16"/>
    <mergeCell ref="T5:U5"/>
    <mergeCell ref="T6:U6"/>
    <mergeCell ref="T7:U7"/>
    <mergeCell ref="T8:U8"/>
    <mergeCell ref="T9:U9"/>
  </mergeCells>
  <phoneticPr fontId="43" type="noConversion"/>
  <hyperlinks>
    <hyperlink ref="E30" r:id="rId1" xr:uid="{00000000-0004-0000-0E00-000000000000}"/>
    <hyperlink ref="E31" r:id="rId2" xr:uid="{00000000-0004-0000-0E00-000001000000}"/>
    <hyperlink ref="E26" r:id="rId3" xr:uid="{00000000-0004-0000-0E00-000002000000}"/>
    <hyperlink ref="E28" r:id="rId4" xr:uid="{00000000-0004-0000-0E00-000003000000}"/>
    <hyperlink ref="E24" r:id="rId5" xr:uid="{00000000-0004-0000-0E00-000004000000}"/>
    <hyperlink ref="E25" r:id="rId6" xr:uid="{00000000-0004-0000-0E00-000005000000}"/>
    <hyperlink ref="E5" r:id="rId7" xr:uid="{00000000-0004-0000-0E00-000006000000}"/>
    <hyperlink ref="E4" r:id="rId8" xr:uid="{6078A50D-328F-41B4-8199-EEFA7EE3F8FE}"/>
  </hyperlinks>
  <pageMargins left="0.7" right="0.7" top="0.75" bottom="0.75" header="0.3" footer="0.3"/>
  <pageSetup orientation="portrait" r:id="rId9"/>
  <legacyDrawing r:id="rId10"/>
  <tableParts count="4">
    <tablePart r:id="rId11"/>
    <tablePart r:id="rId12"/>
    <tablePart r:id="rId13"/>
    <tablePart r:id="rId1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CABD8-0341-4B31-AC0D-CAA09CEFFC22}">
  <sheetPr codeName="Sheet11">
    <tabColor theme="3" tint="0.39997558519241921"/>
  </sheetPr>
  <dimension ref="A1:O38"/>
  <sheetViews>
    <sheetView topLeftCell="B1" workbookViewId="0">
      <selection activeCell="C7" sqref="C7"/>
    </sheetView>
  </sheetViews>
  <sheetFormatPr defaultColWidth="8.7109375" defaultRowHeight="12.75"/>
  <cols>
    <col min="1" max="1" width="6.7109375" customWidth="1"/>
    <col min="2" max="2" width="8.7109375" customWidth="1"/>
    <col min="3" max="11" width="14.7109375" customWidth="1"/>
  </cols>
  <sheetData>
    <row r="1" spans="1:15">
      <c r="A1" s="63"/>
      <c r="B1" s="63"/>
      <c r="C1" s="63"/>
      <c r="D1" s="63"/>
      <c r="E1" s="63"/>
      <c r="F1" s="63"/>
      <c r="G1" s="63"/>
      <c r="H1" s="63"/>
      <c r="I1" s="63"/>
      <c r="J1" s="63"/>
      <c r="K1" s="63"/>
      <c r="L1" s="63"/>
      <c r="M1" s="63"/>
      <c r="N1" s="63"/>
      <c r="O1" s="63"/>
    </row>
    <row r="2" spans="1:15" s="263" customFormat="1" ht="13.5" customHeight="1">
      <c r="A2" s="253"/>
      <c r="B2" s="253"/>
      <c r="C2" s="379" t="str">
        <f>IF(
AND(partner_type="Retailer/Distributor",OR(Introduction!F17="Custom Value",Introduction!F18="Custom Value",Introduction!F19="Custom Value",Introduction!F20="Custom Value")),
"Directions: Please enter the total number of WaterSense labeled products shipped in each category below.
Please ensure you have entered the appropriate values for custom utility rates on the 'Utility Cost' tab.",
IF(partner_type="Retailer/Distributor","Directions: Please enter the total number of WaterSense labeled products shipped in each category below.","This tab is only used for retailer or distributor partners. Please select the appropriate tab from the options at the bottom of the spreadsheet."))</f>
        <v>This tab is only used for retailer or distributor partners. Please select the appropriate tab from the options at the bottom of the spreadsheet.</v>
      </c>
      <c r="D2" s="379"/>
      <c r="E2" s="379"/>
      <c r="F2" s="379"/>
      <c r="G2" s="379"/>
      <c r="H2" s="379"/>
      <c r="I2" s="379"/>
      <c r="J2" s="379"/>
      <c r="K2" s="379"/>
      <c r="L2" s="253"/>
      <c r="M2" s="253"/>
      <c r="N2" s="253"/>
      <c r="O2" s="253"/>
    </row>
    <row r="3" spans="1:15" s="263" customFormat="1" ht="14.25" customHeight="1">
      <c r="A3" s="253"/>
      <c r="B3" s="253"/>
      <c r="C3" s="379"/>
      <c r="D3" s="379"/>
      <c r="E3" s="379"/>
      <c r="F3" s="379"/>
      <c r="G3" s="379"/>
      <c r="H3" s="379"/>
      <c r="I3" s="379"/>
      <c r="J3" s="379"/>
      <c r="K3" s="379"/>
      <c r="L3" s="253"/>
      <c r="M3" s="253"/>
      <c r="N3" s="253"/>
      <c r="O3" s="253"/>
    </row>
    <row r="4" spans="1:15" ht="15">
      <c r="A4" s="63"/>
      <c r="B4" s="63"/>
      <c r="C4" s="244"/>
      <c r="D4" s="244"/>
      <c r="E4" s="244"/>
      <c r="F4" s="244"/>
      <c r="G4" s="244"/>
      <c r="H4" s="244"/>
      <c r="I4" s="244"/>
      <c r="J4" s="244"/>
      <c r="K4" s="244"/>
      <c r="L4" s="63"/>
      <c r="M4" s="63"/>
      <c r="N4" s="63"/>
      <c r="O4" s="63"/>
    </row>
    <row r="5" spans="1:15" ht="15">
      <c r="A5" s="63"/>
      <c r="B5" s="63"/>
      <c r="C5" s="378" t="s">
        <v>26</v>
      </c>
      <c r="D5" s="378"/>
      <c r="E5" s="378"/>
      <c r="F5" s="378"/>
      <c r="G5" s="378"/>
      <c r="H5" s="378"/>
      <c r="I5" s="378"/>
      <c r="J5" s="378"/>
      <c r="K5" s="378"/>
      <c r="L5" s="63"/>
      <c r="M5" s="63"/>
      <c r="N5" s="63"/>
      <c r="O5" s="63"/>
    </row>
    <row r="6" spans="1:15" ht="60">
      <c r="A6" s="63"/>
      <c r="B6" s="257" t="s">
        <v>11</v>
      </c>
      <c r="C6" s="256" t="s">
        <v>12</v>
      </c>
      <c r="D6" s="256" t="s">
        <v>13</v>
      </c>
      <c r="E6" s="256" t="s">
        <v>14</v>
      </c>
      <c r="F6" s="256" t="s">
        <v>15</v>
      </c>
      <c r="G6" s="256" t="s">
        <v>16</v>
      </c>
      <c r="H6" s="256" t="s">
        <v>17</v>
      </c>
      <c r="I6" s="256" t="s">
        <v>18</v>
      </c>
      <c r="J6" s="256" t="s">
        <v>19</v>
      </c>
      <c r="K6" s="256" t="s">
        <v>20</v>
      </c>
      <c r="L6" s="63"/>
      <c r="M6" s="63"/>
      <c r="N6" s="63"/>
      <c r="O6" s="63"/>
    </row>
    <row r="7" spans="1:15" ht="15">
      <c r="A7" s="63"/>
      <c r="B7" s="258">
        <v>2007</v>
      </c>
      <c r="C7" s="261"/>
      <c r="D7" s="260"/>
      <c r="E7" s="260"/>
      <c r="F7" s="260"/>
      <c r="G7" s="260"/>
      <c r="H7" s="260"/>
      <c r="I7" s="260"/>
      <c r="J7" s="260"/>
      <c r="K7" s="260"/>
      <c r="L7" s="63"/>
      <c r="M7" s="63"/>
      <c r="N7" s="63"/>
      <c r="O7" s="63"/>
    </row>
    <row r="8" spans="1:15" ht="15">
      <c r="A8" s="63"/>
      <c r="B8" s="257">
        <v>2008</v>
      </c>
      <c r="C8" s="261"/>
      <c r="D8" s="261"/>
      <c r="E8" s="261"/>
      <c r="F8" s="262"/>
      <c r="G8" s="262"/>
      <c r="H8" s="262"/>
      <c r="I8" s="262"/>
      <c r="J8" s="262"/>
      <c r="K8" s="262"/>
      <c r="L8" s="63"/>
      <c r="M8" s="63"/>
      <c r="N8" s="63"/>
      <c r="O8" s="63"/>
    </row>
    <row r="9" spans="1:15" ht="15">
      <c r="A9" s="63"/>
      <c r="B9" s="258">
        <v>2009</v>
      </c>
      <c r="C9" s="261"/>
      <c r="D9" s="261"/>
      <c r="E9" s="261"/>
      <c r="F9" s="260"/>
      <c r="G9" s="260"/>
      <c r="H9" s="260"/>
      <c r="I9" s="260"/>
      <c r="J9" s="260"/>
      <c r="K9" s="260"/>
      <c r="L9" s="63"/>
      <c r="M9" s="63"/>
      <c r="N9" s="63"/>
      <c r="O9" s="63"/>
    </row>
    <row r="10" spans="1:15" ht="15">
      <c r="A10" s="63"/>
      <c r="B10" s="257">
        <v>2010</v>
      </c>
      <c r="C10" s="261"/>
      <c r="D10" s="261"/>
      <c r="E10" s="261"/>
      <c r="F10" s="261"/>
      <c r="G10" s="262"/>
      <c r="H10" s="261"/>
      <c r="I10" s="262"/>
      <c r="J10" s="262"/>
      <c r="K10" s="262"/>
      <c r="L10" s="63"/>
      <c r="M10" s="63"/>
      <c r="N10" s="63"/>
      <c r="O10" s="63"/>
    </row>
    <row r="11" spans="1:15" ht="15">
      <c r="A11" s="63"/>
      <c r="B11" s="258">
        <v>2011</v>
      </c>
      <c r="C11" s="261"/>
      <c r="D11" s="261"/>
      <c r="E11" s="261"/>
      <c r="F11" s="261"/>
      <c r="G11" s="260"/>
      <c r="H11" s="261"/>
      <c r="I11" s="260"/>
      <c r="J11" s="260"/>
      <c r="K11" s="260"/>
      <c r="L11" s="63"/>
      <c r="M11" s="63"/>
      <c r="N11" s="63"/>
      <c r="O11" s="63"/>
    </row>
    <row r="12" spans="1:15" ht="15">
      <c r="A12" s="63"/>
      <c r="B12" s="257">
        <v>2012</v>
      </c>
      <c r="C12" s="261"/>
      <c r="D12" s="261"/>
      <c r="E12" s="261"/>
      <c r="F12" s="261"/>
      <c r="G12" s="262"/>
      <c r="H12" s="261"/>
      <c r="I12" s="261"/>
      <c r="J12" s="260"/>
      <c r="K12" s="262"/>
      <c r="L12" s="63"/>
      <c r="M12" s="63"/>
      <c r="N12" s="63"/>
      <c r="O12" s="63"/>
    </row>
    <row r="13" spans="1:15" ht="15">
      <c r="A13" s="63"/>
      <c r="B13" s="258">
        <v>2013</v>
      </c>
      <c r="C13" s="261"/>
      <c r="D13" s="261"/>
      <c r="E13" s="261"/>
      <c r="F13" s="261"/>
      <c r="G13" s="260"/>
      <c r="H13" s="261"/>
      <c r="I13" s="261"/>
      <c r="J13" s="260"/>
      <c r="K13" s="260"/>
      <c r="L13" s="63"/>
      <c r="M13" s="63"/>
      <c r="N13" s="63"/>
      <c r="O13" s="63"/>
    </row>
    <row r="14" spans="1:15" ht="15">
      <c r="A14" s="63"/>
      <c r="B14" s="257">
        <v>2014</v>
      </c>
      <c r="C14" s="261"/>
      <c r="D14" s="261"/>
      <c r="E14" s="261"/>
      <c r="F14" s="261"/>
      <c r="G14" s="262"/>
      <c r="H14" s="261"/>
      <c r="I14" s="261"/>
      <c r="J14" s="260"/>
      <c r="K14" s="262"/>
      <c r="L14" s="63"/>
      <c r="M14" s="63"/>
      <c r="N14" s="63"/>
      <c r="O14" s="63"/>
    </row>
    <row r="15" spans="1:15" ht="15">
      <c r="A15" s="63"/>
      <c r="B15" s="258">
        <v>2015</v>
      </c>
      <c r="C15" s="261"/>
      <c r="D15" s="261"/>
      <c r="E15" s="261"/>
      <c r="F15" s="261"/>
      <c r="G15" s="260"/>
      <c r="H15" s="261"/>
      <c r="I15" s="261"/>
      <c r="J15" s="260"/>
      <c r="K15" s="260"/>
      <c r="L15" s="63"/>
      <c r="M15" s="63"/>
      <c r="N15" s="63"/>
      <c r="O15" s="63"/>
    </row>
    <row r="16" spans="1:15" ht="15">
      <c r="A16" s="63"/>
      <c r="B16" s="257">
        <v>2016</v>
      </c>
      <c r="C16" s="261"/>
      <c r="D16" s="261"/>
      <c r="E16" s="261"/>
      <c r="F16" s="261"/>
      <c r="G16" s="261"/>
      <c r="H16" s="261"/>
      <c r="I16" s="261"/>
      <c r="J16" s="260"/>
      <c r="K16" s="262"/>
      <c r="L16" s="63"/>
      <c r="M16" s="63"/>
      <c r="N16" s="63"/>
      <c r="O16" s="63"/>
    </row>
    <row r="17" spans="1:15" ht="15">
      <c r="A17" s="63"/>
      <c r="B17" s="258">
        <v>2017</v>
      </c>
      <c r="C17" s="261"/>
      <c r="D17" s="261"/>
      <c r="E17" s="261"/>
      <c r="F17" s="261"/>
      <c r="G17" s="261"/>
      <c r="H17" s="261"/>
      <c r="I17" s="261"/>
      <c r="J17" s="260"/>
      <c r="K17" s="260"/>
      <c r="L17" s="63"/>
      <c r="M17" s="63"/>
      <c r="N17" s="63"/>
      <c r="O17" s="63"/>
    </row>
    <row r="18" spans="1:15" ht="15">
      <c r="A18" s="63"/>
      <c r="B18" s="257">
        <v>2018</v>
      </c>
      <c r="C18" s="261"/>
      <c r="D18" s="261"/>
      <c r="E18" s="261"/>
      <c r="F18" s="261"/>
      <c r="G18" s="261"/>
      <c r="H18" s="261"/>
      <c r="I18" s="261"/>
      <c r="J18" s="260"/>
      <c r="K18" s="261"/>
      <c r="L18" s="63"/>
      <c r="M18" s="63"/>
      <c r="N18" s="63"/>
      <c r="O18" s="63"/>
    </row>
    <row r="19" spans="1:15" ht="15">
      <c r="A19" s="63"/>
      <c r="B19" s="258">
        <v>2019</v>
      </c>
      <c r="C19" s="261"/>
      <c r="D19" s="261"/>
      <c r="E19" s="261"/>
      <c r="F19" s="261"/>
      <c r="G19" s="261"/>
      <c r="H19" s="261"/>
      <c r="I19" s="261"/>
      <c r="J19" s="260"/>
      <c r="K19" s="261"/>
      <c r="L19" s="63"/>
      <c r="M19" s="63"/>
      <c r="N19" s="63"/>
      <c r="O19" s="63"/>
    </row>
    <row r="20" spans="1:15" ht="15">
      <c r="A20" s="63"/>
      <c r="B20" s="257">
        <v>2020</v>
      </c>
      <c r="C20" s="261"/>
      <c r="D20" s="261"/>
      <c r="E20" s="261"/>
      <c r="F20" s="261"/>
      <c r="G20" s="261"/>
      <c r="H20" s="261"/>
      <c r="I20" s="261"/>
      <c r="J20" s="260"/>
      <c r="K20" s="261"/>
      <c r="L20" s="63"/>
      <c r="M20" s="63"/>
      <c r="N20" s="63"/>
      <c r="O20" s="63"/>
    </row>
    <row r="21" spans="1:15" ht="15">
      <c r="A21" s="63"/>
      <c r="B21" s="258">
        <v>2021</v>
      </c>
      <c r="C21" s="261"/>
      <c r="D21" s="261"/>
      <c r="E21" s="261"/>
      <c r="F21" s="261"/>
      <c r="G21" s="261"/>
      <c r="H21" s="261"/>
      <c r="I21" s="261"/>
      <c r="J21" s="260"/>
      <c r="K21" s="261"/>
      <c r="L21" s="63"/>
      <c r="M21" s="63"/>
      <c r="N21" s="63"/>
      <c r="O21" s="63"/>
    </row>
    <row r="22" spans="1:15" ht="15">
      <c r="A22" s="63"/>
      <c r="B22" s="257">
        <v>2022</v>
      </c>
      <c r="C22" s="261"/>
      <c r="D22" s="261"/>
      <c r="E22" s="261"/>
      <c r="F22" s="261"/>
      <c r="G22" s="261"/>
      <c r="H22" s="261"/>
      <c r="I22" s="261"/>
      <c r="J22" s="261"/>
      <c r="K22" s="261"/>
      <c r="L22" s="63"/>
      <c r="M22" s="63"/>
      <c r="N22" s="63"/>
      <c r="O22" s="63"/>
    </row>
    <row r="23" spans="1:15" ht="15">
      <c r="A23" s="63"/>
      <c r="B23" s="258">
        <v>2023</v>
      </c>
      <c r="C23" s="261"/>
      <c r="D23" s="261"/>
      <c r="E23" s="261"/>
      <c r="F23" s="261"/>
      <c r="G23" s="261"/>
      <c r="H23" s="261"/>
      <c r="I23" s="261"/>
      <c r="J23" s="261"/>
      <c r="K23" s="261"/>
      <c r="L23" s="63"/>
      <c r="M23" s="63"/>
      <c r="N23" s="63"/>
      <c r="O23" s="63"/>
    </row>
    <row r="24" spans="1:15" ht="15">
      <c r="A24" s="63"/>
      <c r="B24" s="257">
        <v>2024</v>
      </c>
      <c r="C24" s="261"/>
      <c r="D24" s="261"/>
      <c r="E24" s="261"/>
      <c r="F24" s="261"/>
      <c r="G24" s="261"/>
      <c r="H24" s="261"/>
      <c r="I24" s="261"/>
      <c r="J24" s="261"/>
      <c r="K24" s="261"/>
      <c r="L24" s="63"/>
      <c r="M24" s="63"/>
      <c r="N24" s="63"/>
      <c r="O24" s="63"/>
    </row>
    <row r="25" spans="1:15" ht="15" hidden="1">
      <c r="A25" s="63"/>
      <c r="B25" s="258">
        <v>2025</v>
      </c>
      <c r="C25" s="261"/>
      <c r="D25" s="261"/>
      <c r="E25" s="261"/>
      <c r="F25" s="261"/>
      <c r="G25" s="261"/>
      <c r="H25" s="261"/>
      <c r="I25" s="261"/>
      <c r="J25" s="261"/>
      <c r="K25" s="261"/>
      <c r="L25" s="63"/>
      <c r="M25" s="63"/>
      <c r="N25" s="63"/>
      <c r="O25" s="63"/>
    </row>
    <row r="26" spans="1:15" ht="15" hidden="1">
      <c r="A26" s="63"/>
      <c r="B26" s="257">
        <v>2026</v>
      </c>
      <c r="C26" s="261"/>
      <c r="D26" s="261"/>
      <c r="E26" s="261"/>
      <c r="F26" s="261"/>
      <c r="G26" s="261"/>
      <c r="H26" s="261"/>
      <c r="I26" s="261"/>
      <c r="J26" s="261"/>
      <c r="K26" s="261"/>
      <c r="L26" s="63"/>
      <c r="M26" s="63"/>
      <c r="N26" s="63"/>
      <c r="O26" s="63"/>
    </row>
    <row r="27" spans="1:15" ht="15" hidden="1">
      <c r="A27" s="63"/>
      <c r="B27" s="258">
        <v>2027</v>
      </c>
      <c r="C27" s="261"/>
      <c r="D27" s="261"/>
      <c r="E27" s="261"/>
      <c r="F27" s="261"/>
      <c r="G27" s="261"/>
      <c r="H27" s="261"/>
      <c r="I27" s="261"/>
      <c r="J27" s="261"/>
      <c r="K27" s="261"/>
      <c r="L27" s="63"/>
      <c r="M27" s="63"/>
      <c r="N27" s="63"/>
      <c r="O27" s="63"/>
    </row>
    <row r="28" spans="1:15" ht="15" hidden="1">
      <c r="A28" s="63"/>
      <c r="B28" s="257">
        <v>2028</v>
      </c>
      <c r="C28" s="261"/>
      <c r="D28" s="261"/>
      <c r="E28" s="261"/>
      <c r="F28" s="261"/>
      <c r="G28" s="261"/>
      <c r="H28" s="261"/>
      <c r="I28" s="261"/>
      <c r="J28" s="261"/>
      <c r="K28" s="261"/>
      <c r="L28" s="63"/>
      <c r="M28" s="63"/>
      <c r="N28" s="63"/>
      <c r="O28" s="63"/>
    </row>
    <row r="29" spans="1:15" ht="15" hidden="1">
      <c r="A29" s="63"/>
      <c r="B29" s="258">
        <v>2029</v>
      </c>
      <c r="C29" s="261"/>
      <c r="D29" s="261"/>
      <c r="E29" s="261"/>
      <c r="F29" s="261"/>
      <c r="G29" s="261"/>
      <c r="H29" s="261"/>
      <c r="I29" s="261"/>
      <c r="J29" s="261"/>
      <c r="K29" s="261"/>
      <c r="L29" s="63"/>
      <c r="M29" s="63"/>
      <c r="N29" s="63"/>
      <c r="O29" s="63"/>
    </row>
    <row r="30" spans="1:15" ht="15" hidden="1">
      <c r="A30" s="63"/>
      <c r="B30" s="257">
        <v>2030</v>
      </c>
      <c r="C30" s="261"/>
      <c r="D30" s="261"/>
      <c r="E30" s="261"/>
      <c r="F30" s="261"/>
      <c r="G30" s="261"/>
      <c r="H30" s="261"/>
      <c r="I30" s="261"/>
      <c r="J30" s="261"/>
      <c r="K30" s="261"/>
      <c r="L30" s="63"/>
      <c r="M30" s="63"/>
      <c r="N30" s="63"/>
      <c r="O30" s="63"/>
    </row>
    <row r="31" spans="1:15">
      <c r="A31" s="63"/>
      <c r="B31" s="63"/>
      <c r="C31" s="63"/>
      <c r="D31" s="63"/>
      <c r="E31" s="63"/>
      <c r="F31" s="63"/>
      <c r="G31" s="63"/>
      <c r="H31" s="63"/>
      <c r="I31" s="63"/>
      <c r="J31" s="63"/>
      <c r="K31" s="63"/>
      <c r="L31" s="63"/>
      <c r="M31" s="63"/>
      <c r="N31" s="63"/>
      <c r="O31" s="63"/>
    </row>
    <row r="32" spans="1:15" ht="15">
      <c r="A32" s="63"/>
      <c r="B32" s="63"/>
      <c r="C32" s="259" t="s">
        <v>21</v>
      </c>
      <c r="D32" s="253"/>
      <c r="E32" s="253"/>
      <c r="F32" s="63"/>
      <c r="G32" s="63"/>
      <c r="H32" s="63"/>
      <c r="I32" s="63"/>
      <c r="J32" s="63"/>
      <c r="K32" s="63"/>
      <c r="L32" s="63"/>
      <c r="M32" s="63"/>
      <c r="N32" s="63"/>
      <c r="O32" s="63"/>
    </row>
    <row r="33" spans="1:15" ht="14.25">
      <c r="A33" s="63"/>
      <c r="B33" s="63"/>
      <c r="C33" s="260" t="s">
        <v>22</v>
      </c>
      <c r="D33" s="260"/>
      <c r="E33" s="260"/>
      <c r="F33" s="63"/>
      <c r="G33" s="63"/>
      <c r="H33" s="63"/>
      <c r="I33" s="63"/>
      <c r="J33" s="63"/>
      <c r="K33" s="63"/>
      <c r="L33" s="63"/>
      <c r="M33" s="63"/>
      <c r="N33" s="63"/>
      <c r="O33" s="63"/>
    </row>
    <row r="34" spans="1:15" ht="14.25">
      <c r="A34" s="63"/>
      <c r="B34" s="63"/>
      <c r="C34" s="380" t="s">
        <v>27</v>
      </c>
      <c r="D34" s="381"/>
      <c r="E34" s="382"/>
      <c r="F34" s="63"/>
      <c r="G34" s="63"/>
      <c r="H34" s="63"/>
      <c r="I34" s="63"/>
      <c r="J34" s="63"/>
      <c r="K34" s="63"/>
      <c r="L34" s="63"/>
      <c r="M34" s="63"/>
      <c r="N34" s="63"/>
      <c r="O34" s="63"/>
    </row>
    <row r="35" spans="1:15">
      <c r="A35" s="63"/>
      <c r="B35" s="63"/>
      <c r="C35" s="63"/>
      <c r="D35" s="63"/>
      <c r="E35" s="63"/>
      <c r="F35" s="63"/>
      <c r="G35" s="63"/>
      <c r="H35" s="63"/>
      <c r="I35" s="63"/>
      <c r="J35" s="63"/>
      <c r="K35" s="63"/>
      <c r="L35" s="63"/>
      <c r="M35" s="63"/>
      <c r="N35" s="63"/>
      <c r="O35" s="63"/>
    </row>
    <row r="36" spans="1:15">
      <c r="A36" s="63"/>
      <c r="B36" s="63" t="s">
        <v>28</v>
      </c>
      <c r="C36" s="63"/>
      <c r="D36" s="63"/>
      <c r="E36" s="63"/>
      <c r="F36" s="63"/>
      <c r="G36" s="63"/>
      <c r="H36" s="63"/>
      <c r="I36" s="63"/>
      <c r="J36" s="63"/>
      <c r="K36" s="63"/>
      <c r="L36" s="63"/>
      <c r="M36" s="63"/>
      <c r="N36" s="63"/>
      <c r="O36" s="63"/>
    </row>
    <row r="37" spans="1:15">
      <c r="A37" s="63"/>
      <c r="B37" s="63" t="s">
        <v>29</v>
      </c>
      <c r="C37" s="63"/>
      <c r="D37" s="63"/>
      <c r="E37" s="63"/>
      <c r="F37" s="63"/>
      <c r="G37" s="63"/>
      <c r="H37" s="63"/>
      <c r="I37" s="63"/>
      <c r="J37" s="63"/>
      <c r="K37" s="63"/>
      <c r="L37" s="63"/>
      <c r="M37" s="63"/>
      <c r="N37" s="63"/>
      <c r="O37" s="63"/>
    </row>
    <row r="38" spans="1:15">
      <c r="A38" s="63"/>
      <c r="B38" s="63"/>
      <c r="C38" s="63"/>
      <c r="D38" s="63"/>
      <c r="E38" s="63"/>
      <c r="F38" s="63"/>
      <c r="G38" s="63"/>
      <c r="H38" s="63"/>
      <c r="I38" s="63"/>
      <c r="J38" s="63"/>
      <c r="K38" s="63"/>
      <c r="L38" s="63"/>
      <c r="M38" s="63"/>
      <c r="N38" s="63"/>
      <c r="O38" s="63"/>
    </row>
  </sheetData>
  <sheetProtection algorithmName="SHA-512" hashValue="K/m4GvtNsdZiD/6s/kMHgyfft3gxvETX6VAKtlzAsOcX62Ui08ZNBJNi4JIqwWNnC5BAs5sDVdObEkbRis/ePw==" saltValue="9d1LAdJjd3ZZXP0THUYq5g==" spinCount="100000" sheet="1" selectLockedCells="1"/>
  <mergeCells count="3">
    <mergeCell ref="C5:K5"/>
    <mergeCell ref="C34:E34"/>
    <mergeCell ref="C2:K3"/>
  </mergeCells>
  <dataValidations count="1">
    <dataValidation type="whole" operator="greaterThanOrEqual" allowBlank="1" showInputMessage="1" showErrorMessage="1" sqref="C7:C24 D8:E24 F10:F24 G16:G24 H10:H24 I12:I24 J22:J24 K18:K24" xr:uid="{54B63542-D274-4463-B4F8-AC85BE261A7E}">
      <formula1>0</formula1>
    </dataValidation>
  </dataValidation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E3EC8-C406-4739-95AD-A2DC97A0CDBF}">
  <sheetPr codeName="Sheet12">
    <tabColor theme="3" tint="0.39997558519241921"/>
  </sheetPr>
  <dimension ref="A1:BC38"/>
  <sheetViews>
    <sheetView zoomScaleNormal="100" workbookViewId="0">
      <selection activeCell="C9" sqref="C9"/>
    </sheetView>
  </sheetViews>
  <sheetFormatPr defaultRowHeight="12.75"/>
  <cols>
    <col min="1" max="1" width="6.7109375" customWidth="1"/>
    <col min="2" max="2" width="8.7109375" customWidth="1"/>
    <col min="3" max="3" width="35.42578125" customWidth="1"/>
    <col min="4" max="4" width="13.42578125" customWidth="1"/>
    <col min="5" max="6" width="9.28515625" customWidth="1"/>
  </cols>
  <sheetData>
    <row r="1" spans="1:55">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row>
    <row r="2" spans="1:55" ht="43.5" customHeight="1">
      <c r="A2" s="63"/>
      <c r="B2" s="63"/>
      <c r="C2" s="379" t="str">
        <f>IF(
AND(partner_type="Builder",OR(Introduction!F17="Custom Value",Introduction!F18="Custom Value",Introduction!F19="Custom Value",Introduction!F20="Custom Value")),
"Directions: Please enter the total number of single-family homes built featuring WaterSense labeled plumbing products and the number of single-family WaterSense labeled homes built in each State below."&amp;" Please ensure you have entered the appropriate values for custom utility rates on the 'Utility Cost' tab.",
IF(partner_type="Builder","Directions: Please enter the total number of single-family homes built featuring WaterSense labeled plumbing products and the number of single-family WaterSense labeled homes built in each State below.","This tab is only used for builder partners. Please select the appropriate tab from the options at the bottom of the spreadsheet."))</f>
        <v>This tab is only used for builder partners. Please select the appropriate tab from the options at the bottom of the spreadsheet.</v>
      </c>
      <c r="D2" s="379"/>
      <c r="E2" s="379"/>
      <c r="F2" s="379"/>
      <c r="G2" s="379"/>
      <c r="H2" s="379"/>
      <c r="I2" s="379"/>
      <c r="J2" s="379"/>
      <c r="K2" s="379"/>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row>
    <row r="3" spans="1:55" ht="12.75" customHeight="1">
      <c r="A3" s="63"/>
      <c r="B3" s="63"/>
      <c r="C3" s="244"/>
      <c r="D3" s="244"/>
      <c r="E3" s="244"/>
      <c r="F3" s="244"/>
      <c r="G3" s="244"/>
      <c r="H3" s="244"/>
      <c r="I3" s="244"/>
      <c r="J3" s="244"/>
      <c r="K3" s="244"/>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row>
    <row r="4" spans="1:5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row>
    <row r="5" spans="1:55" s="263" customFormat="1" ht="12.75" customHeight="1">
      <c r="A5" s="253"/>
      <c r="B5" s="378" t="s">
        <v>30</v>
      </c>
      <c r="C5" s="378"/>
      <c r="D5" s="253"/>
      <c r="E5" s="383" t="s">
        <v>31</v>
      </c>
      <c r="F5" s="383"/>
      <c r="G5" s="383"/>
      <c r="H5" s="383"/>
      <c r="I5" s="383"/>
      <c r="J5" s="383"/>
      <c r="K5" s="383"/>
      <c r="L5" s="383"/>
      <c r="M5" s="383"/>
      <c r="N5" s="383"/>
      <c r="O5" s="383"/>
      <c r="P5" s="383"/>
      <c r="Q5" s="383"/>
      <c r="R5" s="383"/>
      <c r="S5" s="383"/>
      <c r="T5" s="383"/>
      <c r="U5" s="383"/>
      <c r="V5" s="383"/>
      <c r="W5" s="383"/>
      <c r="X5" s="383"/>
      <c r="Y5" s="383"/>
      <c r="Z5" s="383"/>
      <c r="AA5" s="383"/>
      <c r="AB5" s="383"/>
      <c r="AC5" s="383"/>
      <c r="AD5" s="383"/>
      <c r="AE5" s="383"/>
      <c r="AF5" s="383"/>
      <c r="AG5" s="383"/>
      <c r="AH5" s="383"/>
      <c r="AI5" s="383"/>
      <c r="AJ5" s="383"/>
      <c r="AK5" s="383"/>
      <c r="AL5" s="383"/>
      <c r="AM5" s="383"/>
      <c r="AN5" s="383"/>
      <c r="AO5" s="383"/>
      <c r="AP5" s="383"/>
      <c r="AQ5" s="383"/>
      <c r="AR5" s="383"/>
      <c r="AS5" s="383"/>
      <c r="AT5" s="383"/>
      <c r="AU5" s="383"/>
      <c r="AV5" s="383"/>
      <c r="AW5" s="383"/>
      <c r="AX5" s="383"/>
      <c r="AY5" s="383"/>
      <c r="AZ5" s="383"/>
      <c r="BA5" s="383"/>
      <c r="BB5" s="383"/>
      <c r="BC5" s="383"/>
    </row>
    <row r="6" spans="1:55" s="263" customFormat="1" ht="76.5" customHeight="1">
      <c r="A6" s="253"/>
      <c r="B6" s="257" t="s">
        <v>11</v>
      </c>
      <c r="C6" s="264" t="s">
        <v>32</v>
      </c>
      <c r="D6" s="253"/>
      <c r="E6" s="256" t="str">
        <f>Homes_calc!C34</f>
        <v>AL</v>
      </c>
      <c r="F6" s="256" t="str">
        <f>Homes_calc!D34</f>
        <v>AK</v>
      </c>
      <c r="G6" s="256" t="str">
        <f>Homes_calc!E34</f>
        <v>AZ</v>
      </c>
      <c r="H6" s="256" t="str">
        <f>Homes_calc!F34</f>
        <v>AR</v>
      </c>
      <c r="I6" s="256" t="str">
        <f>Homes_calc!G34</f>
        <v>CA</v>
      </c>
      <c r="J6" s="256" t="str">
        <f>Homes_calc!H34</f>
        <v>CO</v>
      </c>
      <c r="K6" s="256" t="str">
        <f>Homes_calc!I34</f>
        <v>CT</v>
      </c>
      <c r="L6" s="256" t="str">
        <f>Homes_calc!J34</f>
        <v>DE</v>
      </c>
      <c r="M6" s="256" t="str">
        <f>Homes_calc!K34</f>
        <v>DC</v>
      </c>
      <c r="N6" s="256" t="str">
        <f>Homes_calc!L34</f>
        <v>FL</v>
      </c>
      <c r="O6" s="256" t="str">
        <f>Homes_calc!M34</f>
        <v>GA</v>
      </c>
      <c r="P6" s="256" t="str">
        <f>Homes_calc!N34</f>
        <v>HI</v>
      </c>
      <c r="Q6" s="256" t="str">
        <f>Homes_calc!O34</f>
        <v>ID</v>
      </c>
      <c r="R6" s="256" t="str">
        <f>Homes_calc!P34</f>
        <v>IL</v>
      </c>
      <c r="S6" s="256" t="str">
        <f>Homes_calc!Q34</f>
        <v>IN</v>
      </c>
      <c r="T6" s="256" t="str">
        <f>Homes_calc!R34</f>
        <v>IA</v>
      </c>
      <c r="U6" s="256" t="str">
        <f>Homes_calc!S34</f>
        <v>KS</v>
      </c>
      <c r="V6" s="256" t="str">
        <f>Homes_calc!T34</f>
        <v>KY</v>
      </c>
      <c r="W6" s="256" t="str">
        <f>Homes_calc!U34</f>
        <v>LA</v>
      </c>
      <c r="X6" s="256" t="str">
        <f>Homes_calc!V34</f>
        <v>ME</v>
      </c>
      <c r="Y6" s="256" t="str">
        <f>Homes_calc!W34</f>
        <v>MD</v>
      </c>
      <c r="Z6" s="256" t="str">
        <f>Homes_calc!X34</f>
        <v>MA</v>
      </c>
      <c r="AA6" s="256" t="str">
        <f>Homes_calc!Y34</f>
        <v>MI</v>
      </c>
      <c r="AB6" s="256" t="str">
        <f>Homes_calc!Z34</f>
        <v>MN</v>
      </c>
      <c r="AC6" s="256" t="str">
        <f>Homes_calc!AA34</f>
        <v>MS</v>
      </c>
      <c r="AD6" s="256" t="str">
        <f>Homes_calc!AB34</f>
        <v>MO</v>
      </c>
      <c r="AE6" s="256" t="str">
        <f>Homes_calc!AC34</f>
        <v>MT</v>
      </c>
      <c r="AF6" s="256" t="str">
        <f>Homes_calc!AD34</f>
        <v>NE</v>
      </c>
      <c r="AG6" s="256" t="str">
        <f>Homes_calc!AE34</f>
        <v>NV</v>
      </c>
      <c r="AH6" s="256" t="str">
        <f>Homes_calc!AF34</f>
        <v>NH</v>
      </c>
      <c r="AI6" s="256" t="str">
        <f>Homes_calc!AG34</f>
        <v>NJ</v>
      </c>
      <c r="AJ6" s="256" t="str">
        <f>Homes_calc!AH34</f>
        <v>NM</v>
      </c>
      <c r="AK6" s="256" t="str">
        <f>Homes_calc!AI34</f>
        <v>NY</v>
      </c>
      <c r="AL6" s="256" t="str">
        <f>Homes_calc!AJ34</f>
        <v>NC</v>
      </c>
      <c r="AM6" s="256" t="str">
        <f>Homes_calc!AK34</f>
        <v>ND</v>
      </c>
      <c r="AN6" s="256" t="str">
        <f>Homes_calc!AL34</f>
        <v>OH</v>
      </c>
      <c r="AO6" s="256" t="str">
        <f>Homes_calc!AM34</f>
        <v>OK</v>
      </c>
      <c r="AP6" s="256" t="str">
        <f>Homes_calc!AN34</f>
        <v>OR</v>
      </c>
      <c r="AQ6" s="256" t="str">
        <f>Homes_calc!AO34</f>
        <v>PA</v>
      </c>
      <c r="AR6" s="256" t="str">
        <f>Homes_calc!AP34</f>
        <v>RI</v>
      </c>
      <c r="AS6" s="256" t="str">
        <f>Homes_calc!AQ34</f>
        <v>SC</v>
      </c>
      <c r="AT6" s="256" t="str">
        <f>Homes_calc!AR34</f>
        <v>SD</v>
      </c>
      <c r="AU6" s="256" t="str">
        <f>Homes_calc!AS34</f>
        <v>TN</v>
      </c>
      <c r="AV6" s="256" t="str">
        <f>Homes_calc!AT34</f>
        <v>TX</v>
      </c>
      <c r="AW6" s="256" t="str">
        <f>Homes_calc!AU34</f>
        <v>UT</v>
      </c>
      <c r="AX6" s="256" t="str">
        <f>Homes_calc!AV34</f>
        <v>VT</v>
      </c>
      <c r="AY6" s="256" t="str">
        <f>Homes_calc!AW34</f>
        <v>VA</v>
      </c>
      <c r="AZ6" s="256" t="str">
        <f>Homes_calc!AX34</f>
        <v>WA</v>
      </c>
      <c r="BA6" s="256" t="str">
        <f>Homes_calc!AY34</f>
        <v>WV</v>
      </c>
      <c r="BB6" s="256" t="str">
        <f>Homes_calc!AZ34</f>
        <v>WI</v>
      </c>
      <c r="BC6" s="256" t="str">
        <f>Homes_calc!BA34</f>
        <v>WY</v>
      </c>
    </row>
    <row r="7" spans="1:55" s="263" customFormat="1" ht="15" hidden="1">
      <c r="A7" s="253"/>
      <c r="B7" s="258">
        <v>2007</v>
      </c>
      <c r="C7" s="260"/>
      <c r="D7" s="253"/>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c r="AU7" s="260"/>
      <c r="AV7" s="260"/>
      <c r="AW7" s="260"/>
      <c r="AX7" s="260"/>
      <c r="AY7" s="260"/>
      <c r="AZ7" s="260"/>
      <c r="BA7" s="260"/>
      <c r="BB7" s="260"/>
      <c r="BC7" s="260"/>
    </row>
    <row r="8" spans="1:55" s="263" customFormat="1" ht="15" hidden="1">
      <c r="A8" s="253"/>
      <c r="B8" s="257">
        <v>2008</v>
      </c>
      <c r="C8" s="260"/>
      <c r="D8" s="253"/>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0"/>
      <c r="AY8" s="260"/>
      <c r="AZ8" s="260"/>
      <c r="BA8" s="260"/>
      <c r="BB8" s="260"/>
      <c r="BC8" s="260"/>
    </row>
    <row r="9" spans="1:55" s="263" customFormat="1" ht="15">
      <c r="A9" s="253"/>
      <c r="B9" s="258">
        <v>2009</v>
      </c>
      <c r="C9" s="261"/>
      <c r="D9" s="253"/>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254"/>
      <c r="AL9" s="254"/>
      <c r="AM9" s="254"/>
      <c r="AN9" s="254"/>
      <c r="AO9" s="254"/>
      <c r="AP9" s="254"/>
      <c r="AQ9" s="254"/>
      <c r="AR9" s="254"/>
      <c r="AS9" s="254"/>
      <c r="AT9" s="254"/>
      <c r="AU9" s="254"/>
      <c r="AV9" s="254"/>
      <c r="AW9" s="254"/>
      <c r="AX9" s="254"/>
      <c r="AY9" s="254"/>
      <c r="AZ9" s="254"/>
      <c r="BA9" s="254"/>
      <c r="BB9" s="254"/>
      <c r="BC9" s="254"/>
    </row>
    <row r="10" spans="1:55" s="263" customFormat="1" ht="15">
      <c r="A10" s="253"/>
      <c r="B10" s="257">
        <v>2010</v>
      </c>
      <c r="C10" s="261"/>
      <c r="D10" s="253"/>
      <c r="E10" s="261"/>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c r="BC10" s="254"/>
    </row>
    <row r="11" spans="1:55" s="263" customFormat="1" ht="15">
      <c r="A11" s="253"/>
      <c r="B11" s="258">
        <v>2011</v>
      </c>
      <c r="C11" s="261"/>
      <c r="D11" s="253"/>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c r="BC11" s="254"/>
    </row>
    <row r="12" spans="1:55" s="263" customFormat="1" ht="15">
      <c r="A12" s="253"/>
      <c r="B12" s="257">
        <v>2012</v>
      </c>
      <c r="C12" s="261"/>
      <c r="D12" s="253"/>
      <c r="E12" s="261"/>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row>
    <row r="13" spans="1:55" s="263" customFormat="1" ht="15">
      <c r="A13" s="253"/>
      <c r="B13" s="258">
        <v>2013</v>
      </c>
      <c r="C13" s="261"/>
      <c r="D13" s="253"/>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row>
    <row r="14" spans="1:55" s="263" customFormat="1" ht="15">
      <c r="A14" s="253"/>
      <c r="B14" s="257">
        <v>2014</v>
      </c>
      <c r="C14" s="261"/>
      <c r="D14" s="253"/>
      <c r="E14" s="261"/>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row>
    <row r="15" spans="1:55" s="263" customFormat="1" ht="15">
      <c r="A15" s="253"/>
      <c r="B15" s="258">
        <v>2015</v>
      </c>
      <c r="C15" s="261"/>
      <c r="D15" s="253"/>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4"/>
      <c r="AY15" s="254"/>
      <c r="AZ15" s="254"/>
      <c r="BA15" s="254"/>
      <c r="BB15" s="254"/>
      <c r="BC15" s="254"/>
    </row>
    <row r="16" spans="1:55" s="263" customFormat="1" ht="15">
      <c r="A16" s="253"/>
      <c r="B16" s="257">
        <v>2016</v>
      </c>
      <c r="C16" s="261"/>
      <c r="D16" s="253"/>
      <c r="E16" s="261"/>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54"/>
      <c r="AZ16" s="254"/>
      <c r="BA16" s="254"/>
      <c r="BB16" s="254"/>
      <c r="BC16" s="254"/>
    </row>
    <row r="17" spans="1:55" s="263" customFormat="1" ht="15">
      <c r="A17" s="253"/>
      <c r="B17" s="258">
        <v>2017</v>
      </c>
      <c r="C17" s="261"/>
      <c r="D17" s="253"/>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54"/>
      <c r="AZ17" s="254"/>
      <c r="BA17" s="254"/>
      <c r="BB17" s="254"/>
      <c r="BC17" s="254"/>
    </row>
    <row r="18" spans="1:55" s="263" customFormat="1" ht="15">
      <c r="A18" s="253"/>
      <c r="B18" s="257">
        <v>2018</v>
      </c>
      <c r="C18" s="261"/>
      <c r="D18" s="253"/>
      <c r="E18" s="261"/>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row>
    <row r="19" spans="1:55" s="263" customFormat="1" ht="15">
      <c r="A19" s="253"/>
      <c r="B19" s="258">
        <v>2019</v>
      </c>
      <c r="C19" s="261"/>
      <c r="D19" s="253"/>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c r="BC19" s="254"/>
    </row>
    <row r="20" spans="1:55" s="263" customFormat="1" ht="15">
      <c r="A20" s="253"/>
      <c r="B20" s="257">
        <v>2020</v>
      </c>
      <c r="C20" s="261"/>
      <c r="D20" s="253"/>
      <c r="E20" s="261"/>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row>
    <row r="21" spans="1:55" s="263" customFormat="1" ht="15">
      <c r="A21" s="253"/>
      <c r="B21" s="258">
        <v>2021</v>
      </c>
      <c r="C21" s="261"/>
      <c r="D21" s="253"/>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row>
    <row r="22" spans="1:55" s="263" customFormat="1" ht="15">
      <c r="A22" s="253"/>
      <c r="B22" s="257">
        <v>2022</v>
      </c>
      <c r="C22" s="261"/>
      <c r="D22" s="253"/>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c r="AQ22" s="261"/>
      <c r="AR22" s="261"/>
      <c r="AS22" s="261"/>
      <c r="AT22" s="261"/>
      <c r="AU22" s="261"/>
      <c r="AV22" s="261"/>
      <c r="AW22" s="261"/>
      <c r="AX22" s="261"/>
      <c r="AY22" s="261"/>
      <c r="AZ22" s="261"/>
      <c r="BA22" s="261"/>
      <c r="BB22" s="261"/>
      <c r="BC22" s="261"/>
    </row>
    <row r="23" spans="1:55" s="263" customFormat="1" ht="15">
      <c r="A23" s="253"/>
      <c r="B23" s="258">
        <v>2023</v>
      </c>
      <c r="C23" s="261"/>
      <c r="D23" s="253"/>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row>
    <row r="24" spans="1:55" s="263" customFormat="1" ht="15">
      <c r="A24" s="253"/>
      <c r="B24" s="257">
        <v>2024</v>
      </c>
      <c r="C24" s="261"/>
      <c r="D24" s="253"/>
      <c r="E24" s="261"/>
      <c r="F24" s="261"/>
      <c r="G24" s="261"/>
      <c r="H24" s="261"/>
      <c r="I24" s="261"/>
      <c r="J24" s="261"/>
      <c r="K24" s="254"/>
      <c r="L24" s="254"/>
      <c r="M24" s="254"/>
      <c r="N24" s="261"/>
      <c r="O24" s="254"/>
      <c r="P24" s="254"/>
      <c r="Q24" s="254"/>
      <c r="R24" s="254"/>
      <c r="S24" s="254"/>
      <c r="T24" s="254"/>
      <c r="U24" s="254"/>
      <c r="V24" s="254"/>
      <c r="W24" s="254"/>
      <c r="X24" s="254"/>
      <c r="Y24" s="261"/>
      <c r="Z24" s="254"/>
      <c r="AA24" s="254"/>
      <c r="AB24" s="254"/>
      <c r="AC24" s="254"/>
      <c r="AD24" s="254"/>
      <c r="AE24" s="254"/>
      <c r="AF24" s="254"/>
      <c r="AG24" s="261"/>
      <c r="AH24" s="254"/>
      <c r="AI24" s="254"/>
      <c r="AJ24" s="254"/>
      <c r="AK24" s="254"/>
      <c r="AL24" s="254"/>
      <c r="AM24" s="254"/>
      <c r="AN24" s="254"/>
      <c r="AO24" s="254"/>
      <c r="AP24" s="254"/>
      <c r="AQ24" s="254"/>
      <c r="AR24" s="254"/>
      <c r="AS24" s="254"/>
      <c r="AT24" s="254"/>
      <c r="AU24" s="254"/>
      <c r="AV24" s="261"/>
      <c r="AW24" s="254"/>
      <c r="AX24" s="254"/>
      <c r="AY24" s="254"/>
      <c r="AZ24" s="254"/>
      <c r="BA24" s="254"/>
      <c r="BB24" s="254"/>
      <c r="BC24" s="254"/>
    </row>
    <row r="25" spans="1:55" s="263" customFormat="1" ht="15" hidden="1">
      <c r="A25" s="253"/>
      <c r="B25" s="258">
        <v>2025</v>
      </c>
      <c r="C25" s="254"/>
      <c r="D25" s="253"/>
      <c r="E25" s="254"/>
      <c r="F25" s="254"/>
      <c r="G25" s="254"/>
      <c r="H25" s="254"/>
      <c r="I25" s="254"/>
      <c r="J25" s="254"/>
      <c r="K25" s="254"/>
      <c r="L25" s="254"/>
      <c r="M25" s="254"/>
      <c r="N25" s="254"/>
      <c r="O25" s="254"/>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row>
    <row r="26" spans="1:55" s="263" customFormat="1" ht="15" hidden="1">
      <c r="A26" s="253"/>
      <c r="B26" s="257">
        <v>2026</v>
      </c>
      <c r="C26" s="261"/>
      <c r="D26" s="253"/>
      <c r="E26" s="261"/>
      <c r="F26" s="261"/>
      <c r="G26" s="261"/>
      <c r="H26" s="261"/>
      <c r="I26" s="261"/>
      <c r="J26" s="261"/>
      <c r="K26" s="254"/>
      <c r="L26" s="254"/>
      <c r="M26" s="254"/>
      <c r="N26" s="261"/>
      <c r="O26" s="254"/>
      <c r="P26" s="254"/>
      <c r="Q26" s="254"/>
      <c r="R26" s="254"/>
      <c r="S26" s="254"/>
      <c r="T26" s="254"/>
      <c r="U26" s="254"/>
      <c r="V26" s="254"/>
      <c r="W26" s="254"/>
      <c r="X26" s="254"/>
      <c r="Y26" s="261"/>
      <c r="Z26" s="254"/>
      <c r="AA26" s="254"/>
      <c r="AB26" s="254"/>
      <c r="AC26" s="254"/>
      <c r="AD26" s="254"/>
      <c r="AE26" s="254"/>
      <c r="AF26" s="254"/>
      <c r="AG26" s="261"/>
      <c r="AH26" s="254"/>
      <c r="AI26" s="254"/>
      <c r="AJ26" s="254"/>
      <c r="AK26" s="254"/>
      <c r="AL26" s="254"/>
      <c r="AM26" s="254"/>
      <c r="AN26" s="254"/>
      <c r="AO26" s="254"/>
      <c r="AP26" s="254"/>
      <c r="AQ26" s="254"/>
      <c r="AR26" s="254"/>
      <c r="AS26" s="254"/>
      <c r="AT26" s="254"/>
      <c r="AU26" s="254"/>
      <c r="AV26" s="261"/>
      <c r="AW26" s="254"/>
      <c r="AX26" s="254"/>
      <c r="AY26" s="254"/>
      <c r="AZ26" s="254"/>
      <c r="BA26" s="254"/>
      <c r="BB26" s="254"/>
      <c r="BC26" s="254"/>
    </row>
    <row r="27" spans="1:55" s="263" customFormat="1" ht="15" hidden="1">
      <c r="A27" s="253"/>
      <c r="B27" s="258">
        <v>2027</v>
      </c>
      <c r="C27" s="254"/>
      <c r="D27" s="253"/>
      <c r="E27" s="254"/>
      <c r="F27" s="254"/>
      <c r="G27" s="254"/>
      <c r="H27" s="254"/>
      <c r="I27" s="254"/>
      <c r="J27" s="254"/>
      <c r="K27" s="254"/>
      <c r="L27" s="254"/>
      <c r="M27" s="254"/>
      <c r="N27" s="254"/>
      <c r="O27" s="254"/>
      <c r="P27" s="254"/>
      <c r="Q27" s="254"/>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c r="BC27" s="254"/>
    </row>
    <row r="28" spans="1:55" s="263" customFormat="1" ht="15" hidden="1">
      <c r="A28" s="253"/>
      <c r="B28" s="257">
        <v>2028</v>
      </c>
      <c r="C28" s="261"/>
      <c r="D28" s="253"/>
      <c r="E28" s="261"/>
      <c r="F28" s="261"/>
      <c r="G28" s="261"/>
      <c r="H28" s="261"/>
      <c r="I28" s="261"/>
      <c r="J28" s="261"/>
      <c r="K28" s="254"/>
      <c r="L28" s="254"/>
      <c r="M28" s="254"/>
      <c r="N28" s="261"/>
      <c r="O28" s="254"/>
      <c r="P28" s="254"/>
      <c r="Q28" s="254"/>
      <c r="R28" s="254"/>
      <c r="S28" s="254"/>
      <c r="T28" s="254"/>
      <c r="U28" s="254"/>
      <c r="V28" s="254"/>
      <c r="W28" s="254"/>
      <c r="X28" s="254"/>
      <c r="Y28" s="261"/>
      <c r="Z28" s="254"/>
      <c r="AA28" s="254"/>
      <c r="AB28" s="254"/>
      <c r="AC28" s="254"/>
      <c r="AD28" s="254"/>
      <c r="AE28" s="254"/>
      <c r="AF28" s="254"/>
      <c r="AG28" s="261"/>
      <c r="AH28" s="254"/>
      <c r="AI28" s="254"/>
      <c r="AJ28" s="254"/>
      <c r="AK28" s="254"/>
      <c r="AL28" s="254"/>
      <c r="AM28" s="254"/>
      <c r="AN28" s="254"/>
      <c r="AO28" s="254"/>
      <c r="AP28" s="254"/>
      <c r="AQ28" s="254"/>
      <c r="AR28" s="254"/>
      <c r="AS28" s="254"/>
      <c r="AT28" s="254"/>
      <c r="AU28" s="254"/>
      <c r="AV28" s="261"/>
      <c r="AW28" s="254"/>
      <c r="AX28" s="254"/>
      <c r="AY28" s="254"/>
      <c r="AZ28" s="254"/>
      <c r="BA28" s="254"/>
      <c r="BB28" s="254"/>
      <c r="BC28" s="254"/>
    </row>
    <row r="29" spans="1:55" s="263" customFormat="1" ht="15" hidden="1">
      <c r="A29" s="253"/>
      <c r="B29" s="258">
        <v>2029</v>
      </c>
      <c r="C29" s="254"/>
      <c r="D29" s="253"/>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c r="BB29" s="254"/>
      <c r="BC29" s="254"/>
    </row>
    <row r="30" spans="1:55" s="263" customFormat="1" ht="15" hidden="1">
      <c r="A30" s="253"/>
      <c r="B30" s="257">
        <v>2030</v>
      </c>
      <c r="C30" s="261"/>
      <c r="D30" s="253"/>
      <c r="E30" s="261"/>
      <c r="F30" s="261"/>
      <c r="G30" s="261"/>
      <c r="H30" s="261"/>
      <c r="I30" s="261"/>
      <c r="J30" s="261"/>
      <c r="K30" s="254"/>
      <c r="L30" s="254"/>
      <c r="M30" s="254"/>
      <c r="N30" s="261"/>
      <c r="O30" s="254"/>
      <c r="P30" s="254"/>
      <c r="Q30" s="254"/>
      <c r="R30" s="254"/>
      <c r="S30" s="254"/>
      <c r="T30" s="254"/>
      <c r="U30" s="254"/>
      <c r="V30" s="254"/>
      <c r="W30" s="254"/>
      <c r="X30" s="254"/>
      <c r="Y30" s="261"/>
      <c r="Z30" s="254"/>
      <c r="AA30" s="254"/>
      <c r="AB30" s="254"/>
      <c r="AC30" s="254"/>
      <c r="AD30" s="254"/>
      <c r="AE30" s="254"/>
      <c r="AF30" s="254"/>
      <c r="AG30" s="261"/>
      <c r="AH30" s="254"/>
      <c r="AI30" s="254"/>
      <c r="AJ30" s="254"/>
      <c r="AK30" s="254"/>
      <c r="AL30" s="254"/>
      <c r="AM30" s="254"/>
      <c r="AN30" s="254"/>
      <c r="AO30" s="254"/>
      <c r="AP30" s="254"/>
      <c r="AQ30" s="254"/>
      <c r="AR30" s="254"/>
      <c r="AS30" s="254"/>
      <c r="AT30" s="254"/>
      <c r="AU30" s="254"/>
      <c r="AV30" s="261"/>
      <c r="AW30" s="254"/>
      <c r="AX30" s="254"/>
      <c r="AY30" s="254"/>
      <c r="AZ30" s="254"/>
      <c r="BA30" s="254"/>
      <c r="BB30" s="254"/>
      <c r="BC30" s="254"/>
    </row>
    <row r="31" spans="1:55">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row>
    <row r="32" spans="1:55" ht="15">
      <c r="A32" s="63"/>
      <c r="B32" s="259" t="s">
        <v>21</v>
      </c>
      <c r="C32" s="253"/>
      <c r="D32" s="63"/>
      <c r="E32" s="82" t="s">
        <v>33</v>
      </c>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row>
    <row r="33" spans="1:55" ht="14.25">
      <c r="A33" s="63"/>
      <c r="B33" s="260" t="s">
        <v>34</v>
      </c>
      <c r="C33" s="260"/>
      <c r="D33" s="63"/>
      <c r="E33" s="82" t="s">
        <v>35</v>
      </c>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row>
    <row r="34" spans="1:55" ht="14.25">
      <c r="A34" s="63"/>
      <c r="B34" s="362" t="s">
        <v>36</v>
      </c>
      <c r="C34" s="362"/>
      <c r="D34" s="63"/>
      <c r="E34" s="82" t="s">
        <v>37</v>
      </c>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row>
    <row r="35" spans="1:55">
      <c r="A35" s="63"/>
      <c r="B35" s="63"/>
      <c r="C35" s="63"/>
      <c r="D35" s="63"/>
      <c r="E35" s="82" t="s">
        <v>38</v>
      </c>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row>
    <row r="36" spans="1:55">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row>
    <row r="37" spans="1:55">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row>
    <row r="38" spans="1:55">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row>
  </sheetData>
  <sheetProtection algorithmName="SHA-512" hashValue="fQQiEh4ydyFDoOS7pmKLFdHLcNuzKKk/KpHAKVGq9wdobukhr9wztF+wEfmKM3oD2Q8H+gzIhP34UQbZg+1GNg==" saltValue="4fpQcQ8RJsuk8OwKTF4T4w==" spinCount="100000" sheet="1" selectLockedCells="1"/>
  <mergeCells count="3">
    <mergeCell ref="C2:K2"/>
    <mergeCell ref="E5:BC5"/>
    <mergeCell ref="B5:C5"/>
  </mergeCells>
  <dataValidations count="1">
    <dataValidation type="whole" operator="greaterThanOrEqual" allowBlank="1" showInputMessage="1" showErrorMessage="1" sqref="C9:C24 E9:BC24" xr:uid="{760160D6-F96A-4193-AC8A-F06741042D52}">
      <formula1>0</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B5793-128B-4B42-AFA3-03F413836400}">
  <sheetPr>
    <tabColor theme="3" tint="0.39997558519241921"/>
  </sheetPr>
  <dimension ref="A1:P38"/>
  <sheetViews>
    <sheetView workbookViewId="0">
      <selection activeCell="C7" sqref="C7"/>
    </sheetView>
  </sheetViews>
  <sheetFormatPr defaultColWidth="8.7109375" defaultRowHeight="12.75"/>
  <cols>
    <col min="1" max="1" width="6.7109375" customWidth="1"/>
    <col min="2" max="2" width="8.7109375" customWidth="1"/>
    <col min="3" max="12" width="14.7109375" customWidth="1"/>
  </cols>
  <sheetData>
    <row r="1" spans="1:16">
      <c r="A1" s="63"/>
      <c r="B1" s="63"/>
      <c r="C1" s="63"/>
      <c r="D1" s="63"/>
      <c r="E1" s="63"/>
      <c r="F1" s="63"/>
      <c r="G1" s="63"/>
      <c r="H1" s="63"/>
      <c r="I1" s="63"/>
      <c r="J1" s="63"/>
      <c r="K1" s="63"/>
      <c r="L1" s="63"/>
      <c r="M1" s="63"/>
      <c r="N1" s="63"/>
      <c r="O1" s="63"/>
      <c r="P1" s="63"/>
    </row>
    <row r="2" spans="1:16" s="263" customFormat="1" ht="13.5" customHeight="1">
      <c r="A2" s="253"/>
      <c r="B2" s="253"/>
      <c r="C2" s="379" t="str">
        <f>IF(
AND(partner_type="Utility/District",OR(Introduction!F17="Custom Value",Introduction!F18="Custom Value",Introduction!F19="Custom Value",Introduction!F20="Custom Value")),
"Directions: Please enter the total number of WaterSense labeled products and homes incentivized in each category below.
Please ensure you have entered the appropriate values for custom utility rates on the 'Utility Cost' tab.",
IF(partner_type="Utility/District","Directions: Please enter the total number of WaterSense labeled products and homes incentivized in each category below.","This tab is only used for utility or district partners. Please select the appropriate tab from the options at the bottom of the spreadsheet."))</f>
        <v>This tab is only used for utility or district partners. Please select the appropriate tab from the options at the bottom of the spreadsheet.</v>
      </c>
      <c r="D2" s="379"/>
      <c r="E2" s="379"/>
      <c r="F2" s="379"/>
      <c r="G2" s="379"/>
      <c r="H2" s="379"/>
      <c r="I2" s="379"/>
      <c r="J2" s="379"/>
      <c r="K2" s="379"/>
      <c r="L2" s="379"/>
      <c r="M2" s="253"/>
      <c r="N2" s="253"/>
      <c r="O2" s="253"/>
      <c r="P2" s="253"/>
    </row>
    <row r="3" spans="1:16" s="263" customFormat="1" ht="15" customHeight="1">
      <c r="A3" s="253"/>
      <c r="B3" s="253"/>
      <c r="C3" s="379"/>
      <c r="D3" s="379"/>
      <c r="E3" s="379"/>
      <c r="F3" s="379"/>
      <c r="G3" s="379"/>
      <c r="H3" s="379"/>
      <c r="I3" s="379"/>
      <c r="J3" s="379"/>
      <c r="K3" s="379"/>
      <c r="L3" s="379"/>
      <c r="M3" s="253"/>
      <c r="N3" s="253"/>
      <c r="O3" s="253"/>
      <c r="P3" s="253"/>
    </row>
    <row r="4" spans="1:16" ht="15">
      <c r="A4" s="63"/>
      <c r="B4" s="63"/>
      <c r="C4" s="244"/>
      <c r="D4" s="244"/>
      <c r="E4" s="244"/>
      <c r="F4" s="244"/>
      <c r="G4" s="244"/>
      <c r="H4" s="244"/>
      <c r="I4" s="244"/>
      <c r="J4" s="244"/>
      <c r="K4" s="244"/>
      <c r="L4" s="244"/>
      <c r="M4" s="63"/>
      <c r="N4" s="63"/>
      <c r="O4" s="63"/>
      <c r="P4" s="63"/>
    </row>
    <row r="5" spans="1:16" ht="15">
      <c r="A5" s="63"/>
      <c r="B5" s="63"/>
      <c r="C5" s="378" t="s">
        <v>39</v>
      </c>
      <c r="D5" s="378"/>
      <c r="E5" s="378"/>
      <c r="F5" s="378"/>
      <c r="G5" s="378"/>
      <c r="H5" s="378"/>
      <c r="I5" s="378"/>
      <c r="J5" s="378"/>
      <c r="K5" s="378"/>
      <c r="L5" s="378"/>
      <c r="M5" s="63"/>
      <c r="N5" s="63"/>
      <c r="O5" s="63"/>
      <c r="P5" s="63"/>
    </row>
    <row r="6" spans="1:16" ht="60">
      <c r="A6" s="63"/>
      <c r="B6" s="257" t="s">
        <v>11</v>
      </c>
      <c r="C6" s="256" t="s">
        <v>12</v>
      </c>
      <c r="D6" s="256" t="s">
        <v>13</v>
      </c>
      <c r="E6" s="256" t="s">
        <v>14</v>
      </c>
      <c r="F6" s="256" t="s">
        <v>15</v>
      </c>
      <c r="G6" s="256" t="s">
        <v>16</v>
      </c>
      <c r="H6" s="256" t="s">
        <v>17</v>
      </c>
      <c r="I6" s="256" t="s">
        <v>18</v>
      </c>
      <c r="J6" s="256" t="s">
        <v>19</v>
      </c>
      <c r="K6" s="256" t="s">
        <v>20</v>
      </c>
      <c r="L6" s="256" t="s">
        <v>40</v>
      </c>
      <c r="M6" s="63"/>
      <c r="N6" s="63"/>
      <c r="O6" s="63"/>
      <c r="P6" s="63"/>
    </row>
    <row r="7" spans="1:16" ht="15">
      <c r="A7" s="63"/>
      <c r="B7" s="258">
        <v>2007</v>
      </c>
      <c r="C7" s="261"/>
      <c r="D7" s="260"/>
      <c r="E7" s="260"/>
      <c r="F7" s="260"/>
      <c r="G7" s="260"/>
      <c r="H7" s="260"/>
      <c r="I7" s="260"/>
      <c r="J7" s="260"/>
      <c r="K7" s="260"/>
      <c r="L7" s="260"/>
      <c r="M7" s="63"/>
      <c r="N7" s="63"/>
      <c r="O7" s="63"/>
      <c r="P7" s="63"/>
    </row>
    <row r="8" spans="1:16" ht="15">
      <c r="A8" s="63"/>
      <c r="B8" s="257">
        <v>2008</v>
      </c>
      <c r="C8" s="261"/>
      <c r="D8" s="261"/>
      <c r="E8" s="261"/>
      <c r="F8" s="262"/>
      <c r="G8" s="262"/>
      <c r="H8" s="262"/>
      <c r="I8" s="262"/>
      <c r="J8" s="262"/>
      <c r="K8" s="262"/>
      <c r="L8" s="262"/>
      <c r="M8" s="63"/>
      <c r="N8" s="63"/>
      <c r="O8" s="63"/>
      <c r="P8" s="63"/>
    </row>
    <row r="9" spans="1:16" ht="15">
      <c r="A9" s="63"/>
      <c r="B9" s="258">
        <v>2009</v>
      </c>
      <c r="C9" s="261"/>
      <c r="D9" s="261"/>
      <c r="E9" s="261"/>
      <c r="F9" s="260"/>
      <c r="G9" s="260"/>
      <c r="H9" s="260"/>
      <c r="I9" s="260"/>
      <c r="J9" s="260"/>
      <c r="K9" s="260"/>
      <c r="L9" s="261"/>
      <c r="M9" s="63"/>
      <c r="N9" s="63"/>
      <c r="O9" s="63"/>
      <c r="P9" s="63"/>
    </row>
    <row r="10" spans="1:16" ht="15">
      <c r="A10" s="63"/>
      <c r="B10" s="257">
        <v>2010</v>
      </c>
      <c r="C10" s="261"/>
      <c r="D10" s="261"/>
      <c r="E10" s="261"/>
      <c r="F10" s="261"/>
      <c r="G10" s="262"/>
      <c r="H10" s="261"/>
      <c r="I10" s="262"/>
      <c r="J10" s="262"/>
      <c r="K10" s="262"/>
      <c r="L10" s="261"/>
      <c r="M10" s="63"/>
      <c r="N10" s="63"/>
      <c r="O10" s="63"/>
      <c r="P10" s="63"/>
    </row>
    <row r="11" spans="1:16" ht="15">
      <c r="A11" s="63"/>
      <c r="B11" s="258">
        <v>2011</v>
      </c>
      <c r="C11" s="261"/>
      <c r="D11" s="261"/>
      <c r="E11" s="261"/>
      <c r="F11" s="261"/>
      <c r="G11" s="260"/>
      <c r="H11" s="261"/>
      <c r="I11" s="260"/>
      <c r="J11" s="260"/>
      <c r="K11" s="260"/>
      <c r="L11" s="261"/>
      <c r="M11" s="63"/>
      <c r="N11" s="63"/>
      <c r="O11" s="63"/>
      <c r="P11" s="63"/>
    </row>
    <row r="12" spans="1:16" ht="15">
      <c r="A12" s="63"/>
      <c r="B12" s="257">
        <v>2012</v>
      </c>
      <c r="C12" s="261"/>
      <c r="D12" s="261"/>
      <c r="E12" s="261"/>
      <c r="F12" s="261"/>
      <c r="G12" s="262"/>
      <c r="H12" s="261"/>
      <c r="I12" s="261"/>
      <c r="J12" s="260"/>
      <c r="K12" s="262"/>
      <c r="L12" s="261"/>
      <c r="M12" s="63"/>
      <c r="N12" s="63"/>
      <c r="O12" s="63"/>
      <c r="P12" s="63"/>
    </row>
    <row r="13" spans="1:16" ht="15">
      <c r="A13" s="63"/>
      <c r="B13" s="258">
        <v>2013</v>
      </c>
      <c r="C13" s="261"/>
      <c r="D13" s="261"/>
      <c r="E13" s="261"/>
      <c r="F13" s="261"/>
      <c r="G13" s="260"/>
      <c r="H13" s="261"/>
      <c r="I13" s="261"/>
      <c r="J13" s="260"/>
      <c r="K13" s="260"/>
      <c r="L13" s="261"/>
      <c r="M13" s="63"/>
      <c r="N13" s="63"/>
      <c r="O13" s="63"/>
      <c r="P13" s="63"/>
    </row>
    <row r="14" spans="1:16" ht="15">
      <c r="A14" s="63"/>
      <c r="B14" s="257">
        <v>2014</v>
      </c>
      <c r="C14" s="261"/>
      <c r="D14" s="261"/>
      <c r="E14" s="261"/>
      <c r="F14" s="261"/>
      <c r="G14" s="262"/>
      <c r="H14" s="261"/>
      <c r="I14" s="261"/>
      <c r="J14" s="260"/>
      <c r="K14" s="262"/>
      <c r="L14" s="261"/>
      <c r="M14" s="63"/>
      <c r="N14" s="63"/>
      <c r="O14" s="63"/>
      <c r="P14" s="63"/>
    </row>
    <row r="15" spans="1:16" ht="15">
      <c r="A15" s="63"/>
      <c r="B15" s="258">
        <v>2015</v>
      </c>
      <c r="C15" s="261"/>
      <c r="D15" s="261"/>
      <c r="E15" s="261"/>
      <c r="F15" s="261"/>
      <c r="G15" s="260"/>
      <c r="H15" s="261"/>
      <c r="I15" s="261"/>
      <c r="J15" s="260"/>
      <c r="K15" s="260"/>
      <c r="L15" s="261"/>
      <c r="M15" s="63"/>
      <c r="N15" s="63"/>
      <c r="O15" s="63"/>
      <c r="P15" s="63"/>
    </row>
    <row r="16" spans="1:16" ht="15">
      <c r="A16" s="63"/>
      <c r="B16" s="257">
        <v>2016</v>
      </c>
      <c r="C16" s="261"/>
      <c r="D16" s="261"/>
      <c r="E16" s="261"/>
      <c r="F16" s="261"/>
      <c r="G16" s="261"/>
      <c r="H16" s="261"/>
      <c r="I16" s="261"/>
      <c r="J16" s="260"/>
      <c r="K16" s="262"/>
      <c r="L16" s="261"/>
      <c r="M16" s="63"/>
      <c r="N16" s="63"/>
      <c r="O16" s="63"/>
      <c r="P16" s="63"/>
    </row>
    <row r="17" spans="1:16" ht="15">
      <c r="A17" s="63"/>
      <c r="B17" s="258">
        <v>2017</v>
      </c>
      <c r="C17" s="261"/>
      <c r="D17" s="261"/>
      <c r="E17" s="261"/>
      <c r="F17" s="261"/>
      <c r="G17" s="261"/>
      <c r="H17" s="261"/>
      <c r="I17" s="261"/>
      <c r="J17" s="260"/>
      <c r="K17" s="260"/>
      <c r="L17" s="261"/>
      <c r="M17" s="63"/>
      <c r="N17" s="63"/>
      <c r="O17" s="63"/>
      <c r="P17" s="63"/>
    </row>
    <row r="18" spans="1:16" ht="15">
      <c r="A18" s="63"/>
      <c r="B18" s="257">
        <v>2018</v>
      </c>
      <c r="C18" s="261"/>
      <c r="D18" s="261"/>
      <c r="E18" s="261"/>
      <c r="F18" s="261"/>
      <c r="G18" s="261"/>
      <c r="H18" s="261"/>
      <c r="I18" s="261"/>
      <c r="J18" s="260"/>
      <c r="K18" s="261"/>
      <c r="L18" s="261"/>
      <c r="M18" s="63"/>
      <c r="N18" s="63"/>
      <c r="O18" s="63"/>
      <c r="P18" s="63"/>
    </row>
    <row r="19" spans="1:16" ht="15">
      <c r="A19" s="63"/>
      <c r="B19" s="258">
        <v>2019</v>
      </c>
      <c r="C19" s="261"/>
      <c r="D19" s="261"/>
      <c r="E19" s="261"/>
      <c r="F19" s="261"/>
      <c r="G19" s="261"/>
      <c r="H19" s="261"/>
      <c r="I19" s="261"/>
      <c r="J19" s="260"/>
      <c r="K19" s="261"/>
      <c r="L19" s="261"/>
      <c r="M19" s="63"/>
      <c r="N19" s="63"/>
      <c r="O19" s="63"/>
      <c r="P19" s="63"/>
    </row>
    <row r="20" spans="1:16" ht="15">
      <c r="A20" s="63"/>
      <c r="B20" s="257">
        <v>2020</v>
      </c>
      <c r="C20" s="261"/>
      <c r="D20" s="261"/>
      <c r="E20" s="261"/>
      <c r="F20" s="261"/>
      <c r="G20" s="261"/>
      <c r="H20" s="261"/>
      <c r="I20" s="261"/>
      <c r="J20" s="260"/>
      <c r="K20" s="261"/>
      <c r="L20" s="261"/>
      <c r="M20" s="63"/>
      <c r="N20" s="63"/>
      <c r="O20" s="63"/>
      <c r="P20" s="63"/>
    </row>
    <row r="21" spans="1:16" ht="15">
      <c r="A21" s="63"/>
      <c r="B21" s="258">
        <v>2021</v>
      </c>
      <c r="C21" s="261"/>
      <c r="D21" s="261"/>
      <c r="E21" s="261"/>
      <c r="F21" s="261"/>
      <c r="G21" s="261"/>
      <c r="H21" s="261"/>
      <c r="I21" s="261"/>
      <c r="J21" s="260"/>
      <c r="K21" s="261"/>
      <c r="L21" s="261"/>
      <c r="M21" s="63"/>
      <c r="N21" s="63"/>
      <c r="O21" s="63"/>
      <c r="P21" s="63"/>
    </row>
    <row r="22" spans="1:16" ht="15">
      <c r="A22" s="63"/>
      <c r="B22" s="257">
        <v>2022</v>
      </c>
      <c r="C22" s="261"/>
      <c r="D22" s="261"/>
      <c r="E22" s="261"/>
      <c r="F22" s="261"/>
      <c r="G22" s="261"/>
      <c r="H22" s="261"/>
      <c r="I22" s="261"/>
      <c r="J22" s="261"/>
      <c r="K22" s="261"/>
      <c r="L22" s="261"/>
      <c r="M22" s="63"/>
      <c r="N22" s="63"/>
      <c r="O22" s="63"/>
      <c r="P22" s="63"/>
    </row>
    <row r="23" spans="1:16" ht="15">
      <c r="A23" s="63"/>
      <c r="B23" s="258">
        <v>2023</v>
      </c>
      <c r="C23" s="261"/>
      <c r="D23" s="261"/>
      <c r="E23" s="261"/>
      <c r="F23" s="261"/>
      <c r="G23" s="261"/>
      <c r="H23" s="261"/>
      <c r="I23" s="261"/>
      <c r="J23" s="261"/>
      <c r="K23" s="261"/>
      <c r="L23" s="261"/>
      <c r="M23" s="63"/>
      <c r="N23" s="63"/>
      <c r="O23" s="63"/>
      <c r="P23" s="63"/>
    </row>
    <row r="24" spans="1:16" ht="15">
      <c r="A24" s="63"/>
      <c r="B24" s="257">
        <v>2024</v>
      </c>
      <c r="C24" s="261"/>
      <c r="D24" s="261"/>
      <c r="E24" s="261"/>
      <c r="F24" s="261"/>
      <c r="G24" s="261"/>
      <c r="H24" s="261"/>
      <c r="I24" s="261"/>
      <c r="J24" s="261"/>
      <c r="K24" s="261"/>
      <c r="L24" s="261"/>
      <c r="M24" s="63"/>
      <c r="N24" s="63"/>
      <c r="O24" s="63"/>
      <c r="P24" s="63"/>
    </row>
    <row r="25" spans="1:16" ht="15" hidden="1">
      <c r="A25" s="63"/>
      <c r="B25" s="258">
        <v>2025</v>
      </c>
      <c r="C25" s="261"/>
      <c r="D25" s="261"/>
      <c r="E25" s="261"/>
      <c r="F25" s="261"/>
      <c r="G25" s="261"/>
      <c r="H25" s="261"/>
      <c r="I25" s="261"/>
      <c r="J25" s="261"/>
      <c r="K25" s="261"/>
      <c r="L25" s="261"/>
      <c r="M25" s="63"/>
      <c r="N25" s="63"/>
      <c r="O25" s="63"/>
      <c r="P25" s="63"/>
    </row>
    <row r="26" spans="1:16" ht="15" hidden="1">
      <c r="A26" s="63"/>
      <c r="B26" s="257">
        <v>2026</v>
      </c>
      <c r="C26" s="261"/>
      <c r="D26" s="261"/>
      <c r="E26" s="261"/>
      <c r="F26" s="261"/>
      <c r="G26" s="261"/>
      <c r="H26" s="261"/>
      <c r="I26" s="261"/>
      <c r="J26" s="261"/>
      <c r="K26" s="261"/>
      <c r="L26" s="261"/>
      <c r="M26" s="63"/>
      <c r="N26" s="63"/>
      <c r="O26" s="63"/>
      <c r="P26" s="63"/>
    </row>
    <row r="27" spans="1:16" ht="15" hidden="1">
      <c r="A27" s="63"/>
      <c r="B27" s="258">
        <v>2027</v>
      </c>
      <c r="C27" s="261"/>
      <c r="D27" s="261"/>
      <c r="E27" s="261"/>
      <c r="F27" s="261"/>
      <c r="G27" s="261"/>
      <c r="H27" s="261"/>
      <c r="I27" s="261"/>
      <c r="J27" s="261"/>
      <c r="K27" s="261"/>
      <c r="L27" s="261"/>
      <c r="M27" s="63"/>
      <c r="N27" s="63"/>
      <c r="O27" s="63"/>
      <c r="P27" s="63"/>
    </row>
    <row r="28" spans="1:16" ht="15" hidden="1">
      <c r="A28" s="63"/>
      <c r="B28" s="257">
        <v>2028</v>
      </c>
      <c r="C28" s="261"/>
      <c r="D28" s="261"/>
      <c r="E28" s="261"/>
      <c r="F28" s="261"/>
      <c r="G28" s="261"/>
      <c r="H28" s="261"/>
      <c r="I28" s="261"/>
      <c r="J28" s="261"/>
      <c r="K28" s="261"/>
      <c r="L28" s="261"/>
      <c r="M28" s="63"/>
      <c r="N28" s="63"/>
      <c r="O28" s="63"/>
      <c r="P28" s="63"/>
    </row>
    <row r="29" spans="1:16" ht="15" hidden="1">
      <c r="A29" s="63"/>
      <c r="B29" s="258">
        <v>2029</v>
      </c>
      <c r="C29" s="261"/>
      <c r="D29" s="261"/>
      <c r="E29" s="261"/>
      <c r="F29" s="261"/>
      <c r="G29" s="261"/>
      <c r="H29" s="261"/>
      <c r="I29" s="261"/>
      <c r="J29" s="261"/>
      <c r="K29" s="261"/>
      <c r="L29" s="261"/>
      <c r="M29" s="63"/>
      <c r="N29" s="63"/>
      <c r="O29" s="63"/>
      <c r="P29" s="63"/>
    </row>
    <row r="30" spans="1:16" ht="15" hidden="1">
      <c r="A30" s="63"/>
      <c r="B30" s="257">
        <v>2030</v>
      </c>
      <c r="C30" s="261"/>
      <c r="D30" s="261"/>
      <c r="E30" s="261"/>
      <c r="F30" s="261"/>
      <c r="G30" s="261"/>
      <c r="H30" s="261"/>
      <c r="I30" s="261"/>
      <c r="J30" s="261"/>
      <c r="K30" s="261"/>
      <c r="L30" s="261"/>
      <c r="M30" s="63"/>
      <c r="N30" s="63"/>
      <c r="O30" s="63"/>
      <c r="P30" s="63"/>
    </row>
    <row r="31" spans="1:16">
      <c r="A31" s="63"/>
      <c r="B31" s="63"/>
      <c r="C31" s="63"/>
      <c r="D31" s="63"/>
      <c r="E31" s="63"/>
      <c r="F31" s="63"/>
      <c r="G31" s="63"/>
      <c r="H31" s="63"/>
      <c r="I31" s="63"/>
      <c r="J31" s="63"/>
      <c r="K31" s="63"/>
      <c r="L31" s="63"/>
      <c r="M31" s="63"/>
      <c r="N31" s="63"/>
      <c r="O31" s="63"/>
      <c r="P31" s="63"/>
    </row>
    <row r="32" spans="1:16" ht="15">
      <c r="A32" s="63"/>
      <c r="B32" s="63"/>
      <c r="C32" s="259" t="s">
        <v>21</v>
      </c>
      <c r="D32" s="253"/>
      <c r="E32" s="253"/>
      <c r="F32" s="63"/>
      <c r="G32" s="63"/>
      <c r="H32" s="63"/>
      <c r="I32" s="63"/>
      <c r="J32" s="63"/>
      <c r="K32" s="63"/>
      <c r="L32" s="63"/>
      <c r="M32" s="63"/>
      <c r="N32" s="63"/>
      <c r="O32" s="63"/>
      <c r="P32" s="63"/>
    </row>
    <row r="33" spans="1:16" ht="14.25">
      <c r="A33" s="63"/>
      <c r="B33" s="63"/>
      <c r="C33" s="384" t="s">
        <v>41</v>
      </c>
      <c r="D33" s="385"/>
      <c r="E33" s="386"/>
      <c r="F33" s="63"/>
      <c r="G33" s="63"/>
      <c r="H33" s="63"/>
      <c r="I33" s="63"/>
      <c r="J33" s="63"/>
      <c r="K33" s="63"/>
      <c r="L33" s="63"/>
      <c r="M33" s="63"/>
      <c r="N33" s="63"/>
      <c r="O33" s="63"/>
      <c r="P33" s="63"/>
    </row>
    <row r="34" spans="1:16" ht="14.25">
      <c r="A34" s="63"/>
      <c r="B34" s="63"/>
      <c r="C34" s="380" t="s">
        <v>42</v>
      </c>
      <c r="D34" s="381"/>
      <c r="E34" s="382"/>
      <c r="F34" s="63"/>
      <c r="G34" s="63"/>
      <c r="H34" s="63"/>
      <c r="I34" s="63"/>
      <c r="J34" s="63"/>
      <c r="K34" s="63"/>
      <c r="L34" s="63"/>
      <c r="M34" s="63"/>
      <c r="N34" s="63"/>
      <c r="O34" s="63"/>
      <c r="P34" s="63"/>
    </row>
    <row r="35" spans="1:16">
      <c r="A35" s="63"/>
      <c r="B35" s="63"/>
      <c r="C35" s="63"/>
      <c r="D35" s="63"/>
      <c r="E35" s="63"/>
      <c r="F35" s="63"/>
      <c r="G35" s="63"/>
      <c r="H35" s="63"/>
      <c r="I35" s="63"/>
      <c r="J35" s="63"/>
      <c r="K35" s="63"/>
      <c r="L35" s="63"/>
      <c r="M35" s="63"/>
      <c r="N35" s="63"/>
      <c r="O35" s="63"/>
      <c r="P35" s="63"/>
    </row>
    <row r="36" spans="1:16">
      <c r="A36" s="63"/>
      <c r="B36" s="82" t="s">
        <v>415</v>
      </c>
      <c r="C36" s="63"/>
      <c r="D36" s="63"/>
      <c r="E36" s="63"/>
      <c r="F36" s="63"/>
      <c r="G36" s="63"/>
      <c r="H36" s="63"/>
      <c r="I36" s="63"/>
      <c r="J36" s="63"/>
      <c r="K36" s="63"/>
      <c r="L36" s="63"/>
      <c r="M36" s="63"/>
      <c r="N36" s="63"/>
      <c r="O36" s="63"/>
      <c r="P36" s="63"/>
    </row>
    <row r="37" spans="1:16">
      <c r="A37" s="63"/>
      <c r="B37" s="63" t="s">
        <v>29</v>
      </c>
      <c r="C37" s="63"/>
      <c r="D37" s="63"/>
      <c r="E37" s="63"/>
      <c r="F37" s="63"/>
      <c r="G37" s="63"/>
      <c r="H37" s="63"/>
      <c r="I37" s="63"/>
      <c r="J37" s="63"/>
      <c r="K37" s="63"/>
      <c r="L37" s="63"/>
      <c r="M37" s="63"/>
      <c r="N37" s="63"/>
      <c r="O37" s="63"/>
      <c r="P37" s="63"/>
    </row>
    <row r="38" spans="1:16" ht="14.25">
      <c r="A38" s="63"/>
      <c r="B38" s="82" t="s">
        <v>405</v>
      </c>
      <c r="C38" s="63"/>
      <c r="D38" s="63"/>
      <c r="E38" s="63"/>
      <c r="F38" s="63"/>
      <c r="G38" s="63"/>
      <c r="H38" s="63"/>
      <c r="I38" s="63"/>
      <c r="J38" s="63"/>
      <c r="K38" s="63"/>
      <c r="L38" s="63"/>
      <c r="M38" s="63"/>
      <c r="N38" s="63"/>
      <c r="O38" s="63"/>
      <c r="P38" s="63"/>
    </row>
  </sheetData>
  <sheetProtection algorithmName="SHA-512" hashValue="bJcr5O5ZPno5clVcuSvOQSbsoC6bZhhASdflVo8odmn9AhZ9GIPtR2pyyR4lwwr83UaLF66BQc54if3RskMy8Q==" saltValue="XEedwY4+r37M7GGxEvgqzg==" spinCount="100000" sheet="1" selectLockedCells="1"/>
  <mergeCells count="4">
    <mergeCell ref="C34:E34"/>
    <mergeCell ref="C33:E33"/>
    <mergeCell ref="C2:L3"/>
    <mergeCell ref="C5:L5"/>
  </mergeCells>
  <dataValidations count="1">
    <dataValidation type="whole" operator="greaterThanOrEqual" allowBlank="1" showInputMessage="1" showErrorMessage="1" sqref="C7:C24 L9:L24 F10:F24 G16:G24 H10:H24 I12:I24 J22:J24 K18:K24 D8:E24" xr:uid="{6D206C43-89D8-4320-B84E-A697A17A7821}">
      <formula1>0</formula1>
    </dataValidation>
  </dataValidation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0B1F8-50E9-40C0-84C4-5D85AEA89C5E}">
  <sheetPr>
    <tabColor theme="5" tint="0.79998168889431442"/>
  </sheetPr>
  <dimension ref="A1:L33"/>
  <sheetViews>
    <sheetView workbookViewId="0">
      <selection activeCell="D7" sqref="D7"/>
    </sheetView>
  </sheetViews>
  <sheetFormatPr defaultRowHeight="12.75"/>
  <cols>
    <col min="4" max="4" width="18.7109375" customWidth="1"/>
    <col min="5" max="6" width="12" customWidth="1"/>
    <col min="7" max="7" width="7.5703125" customWidth="1"/>
    <col min="8" max="8" width="18.7109375" customWidth="1"/>
    <col min="10" max="10" width="10.5703125" customWidth="1"/>
  </cols>
  <sheetData>
    <row r="1" spans="1:12" ht="12.75" customHeight="1">
      <c r="A1" s="245"/>
      <c r="B1" s="245"/>
      <c r="C1" s="321"/>
      <c r="D1" s="321"/>
      <c r="E1" s="321"/>
      <c r="F1" s="321"/>
      <c r="G1" s="321"/>
      <c r="H1" s="321"/>
      <c r="I1" s="246"/>
      <c r="J1" s="245"/>
      <c r="K1" s="245"/>
    </row>
    <row r="2" spans="1:12" ht="48" customHeight="1">
      <c r="A2" s="245"/>
      <c r="B2" s="376" t="s">
        <v>406</v>
      </c>
      <c r="C2" s="376"/>
      <c r="D2" s="376"/>
      <c r="E2" s="376"/>
      <c r="F2" s="376"/>
      <c r="G2" s="376"/>
      <c r="H2" s="376"/>
      <c r="I2" s="376"/>
      <c r="J2" s="376"/>
      <c r="K2" s="245"/>
    </row>
    <row r="3" spans="1:12" ht="33.75" customHeight="1">
      <c r="A3" s="245"/>
      <c r="B3" s="387" t="str">
        <f>IF(OR(AND(Introduction!F17="National Average",SUM(D7:D24)&gt;0),AND(Introduction!F18="National Average",SUM(E7:E24)&gt;0),AND(Introduction!F19="National Average",SUM(F7:F24)&gt;0),AND(Introduction!F20="National Average",SUM('Utility Cost'!H7:H24)&gt;0)),"Please review your inputs on the 'Introduction' tab and ensure 'Custom Value' is selected for any utilities for which you would like to enter custom values.","")</f>
        <v/>
      </c>
      <c r="C3" s="387"/>
      <c r="D3" s="387"/>
      <c r="E3" s="387"/>
      <c r="F3" s="387"/>
      <c r="G3" s="387"/>
      <c r="H3" s="387"/>
      <c r="I3" s="387"/>
      <c r="J3" s="387"/>
      <c r="K3" s="245"/>
      <c r="L3" s="368"/>
    </row>
    <row r="4" spans="1:12" ht="14.25" customHeight="1">
      <c r="A4" s="245"/>
      <c r="B4" s="375"/>
      <c r="C4" s="375"/>
      <c r="D4" s="375"/>
      <c r="E4" s="375"/>
      <c r="F4" s="375"/>
      <c r="G4" s="375"/>
      <c r="H4" s="375"/>
      <c r="I4" s="375"/>
      <c r="J4" s="375"/>
      <c r="K4" s="245"/>
    </row>
    <row r="5" spans="1:12" ht="15">
      <c r="A5" s="245"/>
      <c r="B5" s="340"/>
      <c r="C5" s="340"/>
      <c r="D5" s="388" t="s">
        <v>43</v>
      </c>
      <c r="E5" s="389"/>
      <c r="F5" s="389"/>
      <c r="G5" s="363"/>
      <c r="H5" s="364" t="s">
        <v>44</v>
      </c>
      <c r="I5" s="340"/>
      <c r="J5" s="340"/>
      <c r="K5" s="245"/>
    </row>
    <row r="6" spans="1:12" ht="60">
      <c r="A6" s="245"/>
      <c r="B6" s="363"/>
      <c r="C6" s="342" t="s">
        <v>11</v>
      </c>
      <c r="D6" s="343" t="s">
        <v>45</v>
      </c>
      <c r="E6" s="343" t="s">
        <v>46</v>
      </c>
      <c r="F6" s="343" t="s">
        <v>47</v>
      </c>
      <c r="G6" s="363"/>
      <c r="H6" s="343" t="s">
        <v>45</v>
      </c>
      <c r="I6" s="363"/>
      <c r="J6" s="363"/>
      <c r="K6" s="245"/>
    </row>
    <row r="7" spans="1:12" ht="15">
      <c r="A7" s="245"/>
      <c r="B7" s="363"/>
      <c r="C7" s="342">
        <v>2007</v>
      </c>
      <c r="D7" s="341"/>
      <c r="E7" s="341"/>
      <c r="F7" s="341"/>
      <c r="G7" s="363"/>
      <c r="H7" s="341"/>
      <c r="I7" s="363"/>
      <c r="J7" s="363"/>
      <c r="K7" s="245"/>
    </row>
    <row r="8" spans="1:12" ht="15">
      <c r="A8" s="245"/>
      <c r="B8" s="363"/>
      <c r="C8" s="342">
        <v>2008</v>
      </c>
      <c r="D8" s="325"/>
      <c r="E8" s="325"/>
      <c r="F8" s="325"/>
      <c r="G8" s="363"/>
      <c r="H8" s="325"/>
      <c r="I8" s="363"/>
      <c r="J8" s="363"/>
      <c r="K8" s="245"/>
    </row>
    <row r="9" spans="1:12" ht="15">
      <c r="A9" s="245"/>
      <c r="B9" s="363"/>
      <c r="C9" s="342">
        <v>2009</v>
      </c>
      <c r="D9" s="325"/>
      <c r="E9" s="325"/>
      <c r="F9" s="325"/>
      <c r="G9" s="363"/>
      <c r="H9" s="325"/>
      <c r="I9" s="363"/>
      <c r="J9" s="363"/>
      <c r="K9" s="245"/>
    </row>
    <row r="10" spans="1:12" ht="15">
      <c r="A10" s="245"/>
      <c r="B10" s="363"/>
      <c r="C10" s="342">
        <v>2010</v>
      </c>
      <c r="D10" s="325"/>
      <c r="E10" s="325"/>
      <c r="F10" s="325"/>
      <c r="G10" s="363"/>
      <c r="H10" s="325"/>
      <c r="I10" s="363"/>
      <c r="J10" s="363"/>
      <c r="K10" s="245"/>
    </row>
    <row r="11" spans="1:12" ht="15">
      <c r="A11" s="245"/>
      <c r="B11" s="363"/>
      <c r="C11" s="342">
        <v>2011</v>
      </c>
      <c r="D11" s="325"/>
      <c r="E11" s="325"/>
      <c r="F11" s="325"/>
      <c r="G11" s="363"/>
      <c r="H11" s="325"/>
      <c r="I11" s="363"/>
      <c r="J11" s="363"/>
      <c r="K11" s="245"/>
    </row>
    <row r="12" spans="1:12" ht="15">
      <c r="A12" s="245"/>
      <c r="B12" s="363"/>
      <c r="C12" s="342">
        <v>2012</v>
      </c>
      <c r="D12" s="325"/>
      <c r="E12" s="325"/>
      <c r="F12" s="325"/>
      <c r="G12" s="363"/>
      <c r="H12" s="325"/>
      <c r="I12" s="363"/>
      <c r="J12" s="363"/>
      <c r="K12" s="245"/>
    </row>
    <row r="13" spans="1:12" ht="15">
      <c r="A13" s="245"/>
      <c r="B13" s="363"/>
      <c r="C13" s="342">
        <v>2013</v>
      </c>
      <c r="D13" s="325"/>
      <c r="E13" s="325"/>
      <c r="F13" s="325"/>
      <c r="G13" s="363"/>
      <c r="H13" s="325"/>
      <c r="I13" s="363"/>
      <c r="J13" s="363"/>
      <c r="K13" s="245"/>
    </row>
    <row r="14" spans="1:12" ht="15">
      <c r="A14" s="245"/>
      <c r="B14" s="363"/>
      <c r="C14" s="342">
        <v>2014</v>
      </c>
      <c r="D14" s="325"/>
      <c r="E14" s="325"/>
      <c r="F14" s="325"/>
      <c r="G14" s="363"/>
      <c r="H14" s="325"/>
      <c r="I14" s="363"/>
      <c r="J14" s="363"/>
      <c r="K14" s="245"/>
    </row>
    <row r="15" spans="1:12" ht="15">
      <c r="A15" s="245"/>
      <c r="B15" s="363"/>
      <c r="C15" s="342">
        <v>2015</v>
      </c>
      <c r="D15" s="325"/>
      <c r="E15" s="325"/>
      <c r="F15" s="325"/>
      <c r="G15" s="363"/>
      <c r="H15" s="325"/>
      <c r="I15" s="363"/>
      <c r="J15" s="363"/>
      <c r="K15" s="245"/>
    </row>
    <row r="16" spans="1:12" ht="15">
      <c r="A16" s="245"/>
      <c r="B16" s="363"/>
      <c r="C16" s="342">
        <v>2016</v>
      </c>
      <c r="D16" s="325"/>
      <c r="E16" s="325"/>
      <c r="F16" s="325"/>
      <c r="G16" s="363"/>
      <c r="H16" s="325"/>
      <c r="I16" s="363"/>
      <c r="J16" s="363"/>
      <c r="K16" s="245"/>
    </row>
    <row r="17" spans="1:11" ht="15">
      <c r="A17" s="245"/>
      <c r="B17" s="363"/>
      <c r="C17" s="342">
        <v>2017</v>
      </c>
      <c r="D17" s="325"/>
      <c r="E17" s="325"/>
      <c r="F17" s="325"/>
      <c r="G17" s="363"/>
      <c r="H17" s="325"/>
      <c r="I17" s="363"/>
      <c r="J17" s="363"/>
      <c r="K17" s="245"/>
    </row>
    <row r="18" spans="1:11" ht="15">
      <c r="A18" s="245"/>
      <c r="B18" s="363"/>
      <c r="C18" s="342">
        <v>2018</v>
      </c>
      <c r="D18" s="325"/>
      <c r="E18" s="325"/>
      <c r="F18" s="325"/>
      <c r="G18" s="363"/>
      <c r="H18" s="325"/>
      <c r="I18" s="363"/>
      <c r="J18" s="363"/>
      <c r="K18" s="245"/>
    </row>
    <row r="19" spans="1:11" ht="15">
      <c r="A19" s="245"/>
      <c r="B19" s="363"/>
      <c r="C19" s="342">
        <v>2019</v>
      </c>
      <c r="D19" s="325"/>
      <c r="E19" s="325"/>
      <c r="F19" s="325"/>
      <c r="G19" s="363"/>
      <c r="H19" s="325"/>
      <c r="I19" s="363"/>
      <c r="J19" s="363"/>
      <c r="K19" s="245"/>
    </row>
    <row r="20" spans="1:11" ht="15">
      <c r="A20" s="245"/>
      <c r="B20" s="363"/>
      <c r="C20" s="342">
        <v>2020</v>
      </c>
      <c r="D20" s="325"/>
      <c r="E20" s="325"/>
      <c r="F20" s="325"/>
      <c r="G20" s="363"/>
      <c r="H20" s="325"/>
      <c r="I20" s="363"/>
      <c r="J20" s="363"/>
      <c r="K20" s="245"/>
    </row>
    <row r="21" spans="1:11" ht="15">
      <c r="A21" s="245"/>
      <c r="B21" s="363"/>
      <c r="C21" s="342">
        <v>2021</v>
      </c>
      <c r="D21" s="325"/>
      <c r="E21" s="325"/>
      <c r="F21" s="325"/>
      <c r="G21" s="363"/>
      <c r="H21" s="325"/>
      <c r="I21" s="363"/>
      <c r="J21" s="363"/>
      <c r="K21" s="245"/>
    </row>
    <row r="22" spans="1:11" ht="15">
      <c r="A22" s="245"/>
      <c r="B22" s="363"/>
      <c r="C22" s="342">
        <v>2022</v>
      </c>
      <c r="D22" s="325"/>
      <c r="E22" s="325"/>
      <c r="F22" s="325"/>
      <c r="G22" s="363"/>
      <c r="H22" s="325"/>
      <c r="I22" s="363"/>
      <c r="J22" s="363"/>
      <c r="K22" s="245"/>
    </row>
    <row r="23" spans="1:11" ht="15">
      <c r="A23" s="245"/>
      <c r="B23" s="363"/>
      <c r="C23" s="342">
        <v>2023</v>
      </c>
      <c r="D23" s="325"/>
      <c r="E23" s="325"/>
      <c r="F23" s="325"/>
      <c r="G23" s="363"/>
      <c r="H23" s="325"/>
      <c r="I23" s="363"/>
      <c r="J23" s="363"/>
      <c r="K23" s="245"/>
    </row>
    <row r="24" spans="1:11" ht="15">
      <c r="A24" s="245"/>
      <c r="B24" s="363"/>
      <c r="C24" s="342">
        <v>2024</v>
      </c>
      <c r="D24" s="325"/>
      <c r="E24" s="325"/>
      <c r="F24" s="325"/>
      <c r="G24" s="363"/>
      <c r="H24" s="325"/>
      <c r="I24" s="363"/>
      <c r="J24" s="363"/>
      <c r="K24" s="245"/>
    </row>
    <row r="25" spans="1:11" ht="15" hidden="1">
      <c r="A25" s="245"/>
      <c r="B25" s="363"/>
      <c r="C25" s="342">
        <v>2025</v>
      </c>
      <c r="D25" s="322"/>
      <c r="E25" s="322"/>
      <c r="F25" s="322"/>
      <c r="G25" s="363"/>
      <c r="H25" s="325"/>
      <c r="I25" s="363"/>
      <c r="J25" s="363"/>
      <c r="K25" s="245"/>
    </row>
    <row r="26" spans="1:11" ht="15" hidden="1">
      <c r="A26" s="245"/>
      <c r="B26" s="363"/>
      <c r="C26" s="342">
        <v>2026</v>
      </c>
      <c r="D26" s="322"/>
      <c r="E26" s="322"/>
      <c r="F26" s="322"/>
      <c r="G26" s="363"/>
      <c r="H26" s="325"/>
      <c r="I26" s="363"/>
      <c r="J26" s="363"/>
      <c r="K26" s="245"/>
    </row>
    <row r="27" spans="1:11" ht="15" hidden="1">
      <c r="A27" s="245"/>
      <c r="B27" s="363"/>
      <c r="C27" s="342">
        <v>2027</v>
      </c>
      <c r="D27" s="322"/>
      <c r="E27" s="322"/>
      <c r="F27" s="322"/>
      <c r="G27" s="363"/>
      <c r="H27" s="325"/>
      <c r="I27" s="363"/>
      <c r="J27" s="363"/>
      <c r="K27" s="245"/>
    </row>
    <row r="28" spans="1:11" ht="15" hidden="1">
      <c r="A28" s="245"/>
      <c r="B28" s="363"/>
      <c r="C28" s="342">
        <v>2028</v>
      </c>
      <c r="D28" s="322"/>
      <c r="E28" s="322"/>
      <c r="F28" s="322"/>
      <c r="G28" s="363"/>
      <c r="H28" s="325"/>
      <c r="I28" s="363"/>
      <c r="J28" s="363"/>
      <c r="K28" s="245"/>
    </row>
    <row r="29" spans="1:11" ht="15" hidden="1">
      <c r="A29" s="245"/>
      <c r="B29" s="363"/>
      <c r="C29" s="342">
        <v>2029</v>
      </c>
      <c r="D29" s="322"/>
      <c r="E29" s="322"/>
      <c r="F29" s="322"/>
      <c r="G29" s="363"/>
      <c r="H29" s="325"/>
      <c r="I29" s="363"/>
      <c r="J29" s="363"/>
      <c r="K29" s="245"/>
    </row>
    <row r="30" spans="1:11" ht="15" hidden="1">
      <c r="A30" s="245"/>
      <c r="B30" s="363"/>
      <c r="C30" s="342">
        <v>2030</v>
      </c>
      <c r="D30" s="322"/>
      <c r="E30" s="322"/>
      <c r="F30" s="322"/>
      <c r="G30" s="363"/>
      <c r="H30" s="325"/>
      <c r="I30" s="363"/>
      <c r="J30" s="363"/>
      <c r="K30" s="245"/>
    </row>
    <row r="31" spans="1:11" ht="14.25">
      <c r="A31" s="245"/>
      <c r="B31" s="363"/>
      <c r="C31" s="363"/>
      <c r="D31" s="363"/>
      <c r="E31" s="363"/>
      <c r="F31" s="363"/>
      <c r="G31" s="363"/>
      <c r="H31" s="363"/>
      <c r="I31" s="363"/>
      <c r="J31" s="363"/>
      <c r="K31" s="245"/>
    </row>
    <row r="32" spans="1:11">
      <c r="A32" s="245"/>
      <c r="B32" s="247"/>
      <c r="C32" s="245"/>
      <c r="D32" s="245"/>
      <c r="E32" s="245"/>
      <c r="F32" s="245"/>
      <c r="G32" s="245"/>
      <c r="H32" s="245"/>
      <c r="I32" s="245"/>
      <c r="J32" s="245"/>
      <c r="K32" s="245"/>
    </row>
    <row r="33" spans="1:11">
      <c r="A33" s="245"/>
      <c r="B33" s="247"/>
      <c r="C33" s="245"/>
      <c r="D33" s="245"/>
      <c r="E33" s="245"/>
      <c r="F33" s="245"/>
      <c r="G33" s="245"/>
      <c r="H33" s="245"/>
      <c r="I33" s="245"/>
      <c r="J33" s="245"/>
      <c r="K33" s="245"/>
    </row>
  </sheetData>
  <sheetProtection algorithmName="SHA-512" hashValue="9Ey+bCmDUdLXMh0j2jPmCUp6orju4h88CInZxQ6QstuIGs8x4XYACRuu9x91TdMpZfxlPvZPi8lHqExIrMvvdA==" saltValue="MLrVocTBkAlLpE0B0Kh9gg==" spinCount="100000" sheet="1" objects="1" scenarios="1" selectLockedCells="1"/>
  <mergeCells count="4">
    <mergeCell ref="B2:J2"/>
    <mergeCell ref="B3:J3"/>
    <mergeCell ref="B4:J4"/>
    <mergeCell ref="D5:F5"/>
  </mergeCells>
  <dataValidations count="2">
    <dataValidation type="decimal" allowBlank="1" showInputMessage="1" showErrorMessage="1" sqref="G7:G31 D25:F31" xr:uid="{38141B0C-7B89-45B9-BA8A-A7AF9D0F86BD}">
      <formula1>0.0001</formula1>
      <formula2>100</formula2>
    </dataValidation>
    <dataValidation type="decimal" allowBlank="1" showInputMessage="1" showErrorMessage="1" sqref="D7:F24 H7:H30" xr:uid="{A0C526A8-3CAB-4F23-AB7E-EE0AF0EB9C0B}">
      <formula1>0.0001</formula1>
      <formula2>200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54D0E-B17A-4A4F-95C9-7A0830F6EB24}">
  <sheetPr codeName="Sheet2">
    <tabColor rgb="FF00B0F0"/>
  </sheetPr>
  <dimension ref="A1:BD169"/>
  <sheetViews>
    <sheetView zoomScaleNormal="100" workbookViewId="0">
      <selection activeCell="G6" sqref="G6"/>
    </sheetView>
  </sheetViews>
  <sheetFormatPr defaultColWidth="8.85546875" defaultRowHeight="12.75"/>
  <cols>
    <col min="1" max="1" width="1.7109375" style="63" customWidth="1"/>
    <col min="2" max="2" width="5.5703125" bestFit="1" customWidth="1"/>
    <col min="3" max="10" width="20.7109375" customWidth="1"/>
    <col min="11" max="11" width="1.5703125" customWidth="1"/>
    <col min="12" max="15" width="20.85546875" customWidth="1"/>
    <col min="17" max="17" width="20.140625" style="21" bestFit="1" customWidth="1"/>
    <col min="18" max="18" width="22.42578125" customWidth="1"/>
    <col min="19" max="19" width="22" bestFit="1" customWidth="1"/>
    <col min="20" max="21" width="15" bestFit="1" customWidth="1"/>
    <col min="22" max="22" width="18.85546875" bestFit="1" customWidth="1"/>
    <col min="23" max="23" width="15" bestFit="1" customWidth="1"/>
    <col min="24" max="25" width="4.85546875" bestFit="1" customWidth="1"/>
  </cols>
  <sheetData>
    <row r="1" spans="1:56" ht="6" customHeight="1">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row>
    <row r="2" spans="1:56" ht="27.75">
      <c r="B2" s="63"/>
      <c r="C2" s="394" t="str">
        <f>current_year&amp; " Savings Summary"</f>
        <v>2024 Savings Summary</v>
      </c>
      <c r="D2" s="395"/>
      <c r="E2" s="395"/>
      <c r="F2" s="395"/>
      <c r="G2" s="395"/>
      <c r="H2" s="395"/>
      <c r="I2" s="395"/>
      <c r="J2" s="396"/>
      <c r="K2" s="63"/>
      <c r="L2" s="63"/>
      <c r="M2" s="63"/>
      <c r="N2" s="63"/>
      <c r="O2" s="63"/>
      <c r="P2" s="63"/>
      <c r="Q2" s="63"/>
      <c r="R2" s="63"/>
      <c r="S2" s="63"/>
      <c r="T2" s="63"/>
      <c r="U2" s="63"/>
      <c r="V2" s="63"/>
      <c r="W2" s="63"/>
      <c r="X2" s="63"/>
      <c r="Y2" s="64"/>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row>
    <row r="3" spans="1:56" ht="46.5" customHeight="1">
      <c r="B3" s="63"/>
      <c r="C3" s="397" t="str">
        <f>IF(partner_type="Builder",partner_name&amp;" has built "&amp;Homes_calc!M31&amp;" WaterSense labeled homes and has installed more than "&amp;Homes_calc!R31&amp;" WaterSense labeled products!",IF(partner_type="Manufacturer", partner_name&amp;" has delivered more than "&amp;Savings_calc!AI31&amp;" WaterSense labeled products!",IF(partner_type="Retailer/Distributor",partner_name&amp;" has sold more than "&amp;Savings_calc!AI31&amp;" WaterSense labeled products!",partner_name&amp;" has incentivized "&amp;Homes_calc!M31&amp;" WaterSense labeled homes and "&amp;Savings_calc!AI31&amp;" WaterSense labeled products!")))</f>
        <v xml:space="preserve"> has incentivized 0 WaterSense labeled homes and 0 WaterSense labeled products!</v>
      </c>
      <c r="D3" s="398"/>
      <c r="E3" s="398"/>
      <c r="F3" s="398"/>
      <c r="G3" s="398"/>
      <c r="H3" s="398"/>
      <c r="I3" s="398"/>
      <c r="J3" s="399"/>
      <c r="K3" s="63"/>
      <c r="L3" s="63"/>
      <c r="M3" s="63"/>
      <c r="N3" s="63"/>
      <c r="O3" s="63"/>
      <c r="P3" s="63"/>
      <c r="Q3" s="63"/>
      <c r="R3" s="63"/>
      <c r="S3" s="63"/>
      <c r="T3" s="63"/>
      <c r="U3" s="63"/>
      <c r="V3" s="63"/>
      <c r="W3" s="63"/>
      <c r="X3" s="63"/>
      <c r="Y3" s="64"/>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row>
    <row r="4" spans="1:56" ht="60" customHeight="1" thickBot="1">
      <c r="B4" s="63"/>
      <c r="C4" s="392" t="s">
        <v>48</v>
      </c>
      <c r="D4" s="393"/>
      <c r="E4" s="392" t="s">
        <v>49</v>
      </c>
      <c r="F4" s="393"/>
      <c r="G4" s="392" t="s">
        <v>50</v>
      </c>
      <c r="H4" s="393"/>
      <c r="I4" s="392" t="s">
        <v>51</v>
      </c>
      <c r="J4" s="393"/>
      <c r="K4" s="63"/>
      <c r="L4" s="63"/>
      <c r="M4" s="63"/>
      <c r="N4" s="63"/>
      <c r="O4" s="63"/>
      <c r="P4" s="63"/>
      <c r="Q4" s="63"/>
      <c r="R4" s="63"/>
      <c r="S4" s="63"/>
      <c r="T4" s="63"/>
      <c r="U4" s="63"/>
      <c r="V4" s="63"/>
      <c r="W4" s="64"/>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row>
    <row r="5" spans="1:56" ht="15.75" thickBot="1">
      <c r="B5" s="259" t="s">
        <v>11</v>
      </c>
      <c r="C5" s="390" t="s">
        <v>52</v>
      </c>
      <c r="D5" s="391"/>
      <c r="E5" s="390" t="s">
        <v>53</v>
      </c>
      <c r="F5" s="391"/>
      <c r="G5" s="390" t="s">
        <v>54</v>
      </c>
      <c r="H5" s="391"/>
      <c r="I5" s="390" t="str">
        <f>"USD ($" &amp;current_year &amp; ")"</f>
        <v>USD ($2024)</v>
      </c>
      <c r="J5" s="391"/>
      <c r="K5" s="64"/>
      <c r="L5" s="63"/>
      <c r="M5" s="63"/>
      <c r="N5" s="63"/>
      <c r="O5" s="63"/>
      <c r="P5" s="63"/>
      <c r="Q5" s="63"/>
      <c r="R5" s="63"/>
      <c r="S5" s="63"/>
      <c r="T5" s="63"/>
      <c r="U5" s="63"/>
      <c r="V5" s="63"/>
      <c r="W5" s="64"/>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row>
    <row r="6" spans="1:56" ht="15">
      <c r="B6" s="259"/>
      <c r="C6" s="265" t="s">
        <v>55</v>
      </c>
      <c r="D6" s="265" t="s">
        <v>56</v>
      </c>
      <c r="E6" s="265" t="s">
        <v>55</v>
      </c>
      <c r="F6" s="265" t="s">
        <v>56</v>
      </c>
      <c r="G6" s="265" t="s">
        <v>55</v>
      </c>
      <c r="H6" s="265" t="s">
        <v>56</v>
      </c>
      <c r="I6" s="265" t="s">
        <v>55</v>
      </c>
      <c r="J6" s="265" t="s">
        <v>56</v>
      </c>
      <c r="K6" s="64"/>
      <c r="L6" s="63"/>
      <c r="M6" s="63"/>
      <c r="N6" s="63"/>
      <c r="O6" s="63"/>
      <c r="P6" s="63"/>
      <c r="Q6" s="63"/>
      <c r="R6" s="63"/>
      <c r="S6" s="63"/>
      <c r="T6" s="63"/>
      <c r="U6" s="63"/>
      <c r="V6" s="63"/>
      <c r="W6" s="64"/>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row>
    <row r="7" spans="1:56" s="19" customFormat="1" ht="15">
      <c r="A7" s="63"/>
      <c r="B7" s="259">
        <v>2007</v>
      </c>
      <c r="C7" s="266" cm="1">
        <f t="array" ref="C7">IF(current_year&lt;$B7,"-",IF(partner_type="Builder",INDEX(Homes_h2o,$B7-2006),IF(partner_type="Utility/District",INDEX(Homes_h2o,$B7-2006)+INDEX(h2o_annual,B7-2006),INDEX(h2o_annual,B7-2006))))</f>
        <v>0</v>
      </c>
      <c r="D7" s="267">
        <f>IF(current_year&lt;B7,"",SUM(C$7:$C7))</f>
        <v>0</v>
      </c>
      <c r="E7" s="267" t="e" cm="1">
        <f t="array" ref="E7">_xlfn.LET(
_xlpm.homes,INDEX(Homes_kwh,$B7-2006),
_xlpm.products,(SUM(INDEX(Toilets_kwh,$B7-2006),INDEX(Faucets_kwh,$B7-2006),INDEX(Faucet_Accessories_kwh,$B7-2006),INDEX(Urinals_kwh,$B7-2006),INDEX(Showerheads_kwh,$B7-2006),INDEX(WBICs_kwh,$B7-2006),INDEX(FV_Toilets_kwh,$B7-2006),INDEX(SMSs_kwh,$B7-2006),INDEX(SSBs_kwh,$B7-2006))),
IF(current_year&lt;$B7,"-",IF(partner_type="Builder",_xlpm.homes,IF(partner_type="Utility/District",_xlpm.homes+_xlpm.products,_xlpm.products)))
)</f>
        <v>#VALUE!</v>
      </c>
      <c r="F7" s="267" t="e">
        <f>IF(current_year&lt;B7,"",SUM($E$7:E7))</f>
        <v>#VALUE!</v>
      </c>
      <c r="G7" s="268" t="e" cm="1">
        <f t="array" ref="G7">_xlfn.LET(
_xlpm.homes,INDEX(Homes_co2,$B7-2006),
_xlpm.products,(SUM(INDEX(Toilets_co2,$B7-2006),INDEX(Faucets_co2,$B7-2006),INDEX(Faucet_Accessories_co2,$B7-2006),INDEX(Urinals_co2,$B7-2006),INDEX(Showerheads_co2,$B7-2006),INDEX(WBICs_co2,$B7-2006),INDEX(FV_Toilets_co2,$B7-2006),INDEX(SMSs_co2,$B7-2006),INDEX(SSBs_co2,$B7-2006))),IF(current_year&lt;$B7,"-",IF(partner_type="Builder",_xlpm.homes,IF(partner_type="Utility/District",_xlpm.homes+_xlpm.products,_xlpm.products)))
)</f>
        <v>#VALUE!</v>
      </c>
      <c r="H7" s="268" t="e">
        <f>IF(current_year&lt;B7,"",SUM($G$7:G7))</f>
        <v>#VALUE!</v>
      </c>
      <c r="I7" s="269" t="e" cm="1">
        <f t="array" ref="I7">_xlfn.LET(
_xlpm.homes,INDEX(Homes_usd,$B7-2006),
_xlpm.products,(SUM(INDEX(Toilets_USD,$B7-2006),INDEX(Faucets_USD,$B7-2006),INDEX(Faucet_Accessories_USD,$B7-2006),INDEX(Urinals_USD,$B7-2006),INDEX(Showerheads_USD,$B7-2006),INDEX(WBICs_USD,$B7-2006),INDEX(FV_Toilets_USD,$B7-2006),INDEX(SMSs_USD,$B7-2006),INDEX(SSBs_USD,$B7-2006))),
IF(current_year&lt;$B7,"-",IF(partner_type="Builder",_xlpm.homes,IF(partner_type="Utility/District",_xlpm.homes+_xlpm.products,_xlpm.products)))
)</f>
        <v>#VALUE!</v>
      </c>
      <c r="J7" s="270" t="e">
        <f>IF(current_year&lt;B7,"",SUM($I$7:I7))</f>
        <v>#VALUE!</v>
      </c>
      <c r="K7" s="64"/>
      <c r="L7" s="64"/>
      <c r="M7" s="63"/>
      <c r="N7" s="63"/>
      <c r="O7" s="63"/>
      <c r="P7" s="63"/>
      <c r="Q7" s="63"/>
      <c r="R7" s="63"/>
      <c r="S7" s="63"/>
      <c r="T7" s="63"/>
      <c r="U7" s="63"/>
      <c r="V7" s="63"/>
      <c r="W7" s="64"/>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row>
    <row r="8" spans="1:56" ht="15">
      <c r="B8" s="259">
        <v>2008</v>
      </c>
      <c r="C8" s="266" cm="1">
        <f t="array" ref="C8">IF(current_year&lt;$B8,"-",IF(partner_type="Builder",INDEX(Homes_h2o,$B8-2006),IF(partner_type="Utility/District",INDEX(Homes_h2o,$B8-2006)+INDEX(h2o_annual,B8-2006),INDEX(h2o_annual,B8-2006))))</f>
        <v>0</v>
      </c>
      <c r="D8" s="267">
        <f>IF(current_year&lt;B8,"",SUM(C$7:$C8))</f>
        <v>0</v>
      </c>
      <c r="E8" s="267" t="e" cm="1">
        <f t="array" ref="E8">_xlfn.LET(
_xlpm.homes,INDEX(Homes_kwh,$B8-2006),
_xlpm.products,(SUM(INDEX(Toilets_kwh,$B8-2006),INDEX(Faucets_kwh,$B8-2006),INDEX(Faucet_Accessories_kwh,$B8-2006),INDEX(Urinals_kwh,$B8-2006),INDEX(Showerheads_kwh,$B8-2006),INDEX(WBICs_kwh,$B8-2006),INDEX(FV_Toilets_kwh,$B8-2006),INDEX(SMSs_kwh,$B8-2006),INDEX(SSBs_kwh,$B8-2006))),
IF(current_year&lt;$B8,"-",IF(partner_type="Builder",_xlpm.homes,IF(partner_type="Utility/District",_xlpm.homes+_xlpm.products,_xlpm.products)))
)</f>
        <v>#VALUE!</v>
      </c>
      <c r="F8" s="267" t="e">
        <f>IF(current_year&lt;B8,"",SUM($E$7:E8))</f>
        <v>#VALUE!</v>
      </c>
      <c r="G8" s="268" t="e" cm="1">
        <f t="array" ref="G8">_xlfn.LET(
_xlpm.homes,INDEX(Homes_co2,$B8-2006),
_xlpm.products,(SUM(INDEX(Toilets_co2,$B8-2006),INDEX(Faucets_co2,$B8-2006),INDEX(Faucet_Accessories_co2,$B8-2006),INDEX(Urinals_co2,$B8-2006),INDEX(Showerheads_co2,$B8-2006),INDEX(WBICs_co2,$B8-2006),INDEX(FV_Toilets_co2,$B8-2006),INDEX(SMSs_co2,$B8-2006),INDEX(SSBs_co2,$B8-2006))),IF(current_year&lt;$B8,"-",IF(partner_type="Builder",_xlpm.homes,IF(partner_type="Utility/District",_xlpm.homes+_xlpm.products,_xlpm.products)))
)</f>
        <v>#VALUE!</v>
      </c>
      <c r="H8" s="268" t="e">
        <f>IF(current_year&lt;B8,"",SUM($G$7:G8))</f>
        <v>#VALUE!</v>
      </c>
      <c r="I8" s="269" t="e" cm="1">
        <f t="array" ref="I8">_xlfn.LET(
_xlpm.homes,INDEX(Homes_usd,$B8-2006),
_xlpm.products,(SUM(INDEX(Toilets_USD,$B8-2006),INDEX(Faucets_USD,$B8-2006),INDEX(Faucet_Accessories_USD,$B8-2006),INDEX(Urinals_USD,$B8-2006),INDEX(Showerheads_USD,$B8-2006),INDEX(WBICs_USD,$B8-2006),INDEX(FV_Toilets_USD,$B8-2006),INDEX(SMSs_USD,$B8-2006),INDEX(SSBs_USD,$B8-2006))),
IF(current_year&lt;$B8,"-",IF(partner_type="Builder",_xlpm.homes,IF(partner_type="Utility/District",_xlpm.homes+_xlpm.products,_xlpm.products)))
)</f>
        <v>#VALUE!</v>
      </c>
      <c r="J8" s="270" t="e">
        <f>IF(current_year&lt;B8,"",SUM($I$7:I8))</f>
        <v>#VALUE!</v>
      </c>
      <c r="K8" s="63"/>
      <c r="L8" s="64"/>
      <c r="M8" s="63"/>
      <c r="N8" s="63"/>
      <c r="O8" s="63"/>
      <c r="P8" s="63"/>
      <c r="Q8" s="63"/>
      <c r="R8" s="63"/>
      <c r="S8" s="63"/>
      <c r="T8" s="63"/>
      <c r="U8" s="63"/>
      <c r="V8" s="63"/>
      <c r="W8" s="64"/>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row>
    <row r="9" spans="1:56" ht="15">
      <c r="B9" s="259">
        <v>2009</v>
      </c>
      <c r="C9" s="266" cm="1">
        <f t="array" ref="C9">IF(current_year&lt;$B9,"-",IF(partner_type="Builder",INDEX(Homes_h2o,$B9-2006),IF(partner_type="Utility/District",INDEX(Homes_h2o,$B9-2006)+INDEX(h2o_annual,B9-2006),INDEX(h2o_annual,B9-2006))))</f>
        <v>0</v>
      </c>
      <c r="D9" s="267">
        <f>IF(current_year&lt;B9,"",SUM(C$7:$C9))</f>
        <v>0</v>
      </c>
      <c r="E9" s="267" t="e" cm="1">
        <f t="array" ref="E9">_xlfn.LET(
_xlpm.homes,INDEX(Homes_kwh,$B9-2006),
_xlpm.products,(SUM(INDEX(Toilets_kwh,$B9-2006),INDEX(Faucets_kwh,$B9-2006),INDEX(Faucet_Accessories_kwh,$B9-2006),INDEX(Urinals_kwh,$B9-2006),INDEX(Showerheads_kwh,$B9-2006),INDEX(WBICs_kwh,$B9-2006),INDEX(FV_Toilets_kwh,$B9-2006),INDEX(SMSs_kwh,$B9-2006),INDEX(SSBs_kwh,$B9-2006))),
IF(current_year&lt;$B9,"-",IF(partner_type="Builder",_xlpm.homes,IF(partner_type="Utility/District",_xlpm.homes+_xlpm.products,_xlpm.products)))
)</f>
        <v>#VALUE!</v>
      </c>
      <c r="F9" s="267" t="e">
        <f>IF(current_year&lt;B9,"",SUM($E$7:E9))</f>
        <v>#VALUE!</v>
      </c>
      <c r="G9" s="268" t="e" cm="1">
        <f t="array" ref="G9">_xlfn.LET(
_xlpm.homes,INDEX(Homes_co2,$B9-2006),
_xlpm.products,(SUM(INDEX(Toilets_co2,$B9-2006),INDEX(Faucets_co2,$B9-2006),INDEX(Faucet_Accessories_co2,$B9-2006),INDEX(Urinals_co2,$B9-2006),INDEX(Showerheads_co2,$B9-2006),INDEX(WBICs_co2,$B9-2006),INDEX(FV_Toilets_co2,$B9-2006),INDEX(SMSs_co2,$B9-2006),INDEX(SSBs_co2,$B9-2006))),IF(current_year&lt;$B9,"-",IF(partner_type="Builder",_xlpm.homes,IF(partner_type="Utility/District",_xlpm.homes+_xlpm.products,_xlpm.products)))
)</f>
        <v>#VALUE!</v>
      </c>
      <c r="H9" s="268" t="e">
        <f>IF(current_year&lt;B9,"",SUM($G$7:G9))</f>
        <v>#VALUE!</v>
      </c>
      <c r="I9" s="269" t="e" cm="1">
        <f t="array" ref="I9">_xlfn.LET(
_xlpm.homes,INDEX(Homes_usd,$B9-2006),
_xlpm.products,(SUM(INDEX(Toilets_USD,$B9-2006),INDEX(Faucets_USD,$B9-2006),INDEX(Faucet_Accessories_USD,$B9-2006),INDEX(Urinals_USD,$B9-2006),INDEX(Showerheads_USD,$B9-2006),INDEX(WBICs_USD,$B9-2006),INDEX(FV_Toilets_USD,$B9-2006),INDEX(SMSs_USD,$B9-2006),INDEX(SSBs_USD,$B9-2006))),
IF(current_year&lt;$B9,"-",IF(partner_type="Builder",_xlpm.homes,IF(partner_type="Utility/District",_xlpm.homes+_xlpm.products,_xlpm.products)))
)</f>
        <v>#VALUE!</v>
      </c>
      <c r="J9" s="270" t="e">
        <f>IF(current_year&lt;B9,"",SUM($I$7:I9))</f>
        <v>#VALUE!</v>
      </c>
      <c r="K9" s="63"/>
      <c r="L9" s="64"/>
      <c r="M9" s="63"/>
      <c r="N9" s="63"/>
      <c r="O9" s="63"/>
      <c r="P9" s="63"/>
      <c r="Q9" s="63"/>
      <c r="R9" s="63"/>
      <c r="S9" s="63"/>
      <c r="T9" s="63"/>
      <c r="U9" s="63"/>
      <c r="V9" s="63"/>
      <c r="W9" s="64"/>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row>
    <row r="10" spans="1:56" ht="15">
      <c r="B10" s="259">
        <v>2010</v>
      </c>
      <c r="C10" s="266" cm="1">
        <f t="array" ref="C10">IF(current_year&lt;$B10,"-",IF(partner_type="Builder",INDEX(Homes_h2o,$B10-2006),IF(partner_type="Utility/District",INDEX(Homes_h2o,$B10-2006)+INDEX(h2o_annual,B10-2006),INDEX(h2o_annual,B10-2006))))</f>
        <v>0</v>
      </c>
      <c r="D10" s="267">
        <f>IF(current_year&lt;B10,"",SUM(C$7:$C10))</f>
        <v>0</v>
      </c>
      <c r="E10" s="267" t="e" cm="1">
        <f t="array" ref="E10">_xlfn.LET(
_xlpm.homes,INDEX(Homes_kwh,$B10-2006),
_xlpm.products,(SUM(INDEX(Toilets_kwh,$B10-2006),INDEX(Faucets_kwh,$B10-2006),INDEX(Faucet_Accessories_kwh,$B10-2006),INDEX(Urinals_kwh,$B10-2006),INDEX(Showerheads_kwh,$B10-2006),INDEX(WBICs_kwh,$B10-2006),INDEX(FV_Toilets_kwh,$B10-2006),INDEX(SMSs_kwh,$B10-2006),INDEX(SSBs_kwh,$B10-2006))),
IF(current_year&lt;$B10,"-",IF(partner_type="Builder",_xlpm.homes,IF(partner_type="Utility/District",_xlpm.homes+_xlpm.products,_xlpm.products)))
)</f>
        <v>#VALUE!</v>
      </c>
      <c r="F10" s="267" t="e">
        <f>IF(current_year&lt;B10,"",SUM($E$7:E10))</f>
        <v>#VALUE!</v>
      </c>
      <c r="G10" s="268" t="e" cm="1">
        <f t="array" ref="G10">_xlfn.LET(
_xlpm.homes,INDEX(Homes_co2,$B10-2006),
_xlpm.products,(SUM(INDEX(Toilets_co2,$B10-2006),INDEX(Faucets_co2,$B10-2006),INDEX(Faucet_Accessories_co2,$B10-2006),INDEX(Urinals_co2,$B10-2006),INDEX(Showerheads_co2,$B10-2006),INDEX(WBICs_co2,$B10-2006),INDEX(FV_Toilets_co2,$B10-2006),INDEX(SMSs_co2,$B10-2006),INDEX(SSBs_co2,$B10-2006))),IF(current_year&lt;$B10,"-",IF(partner_type="Builder",_xlpm.homes,IF(partner_type="Utility/District",_xlpm.homes+_xlpm.products,_xlpm.products)))
)</f>
        <v>#VALUE!</v>
      </c>
      <c r="H10" s="268" t="e">
        <f>IF(current_year&lt;B10,"",SUM($G$7:G10))</f>
        <v>#VALUE!</v>
      </c>
      <c r="I10" s="269" t="e" cm="1">
        <f t="array" ref="I10">_xlfn.LET(
_xlpm.homes,INDEX(Homes_usd,$B10-2006),
_xlpm.products,(SUM(INDEX(Toilets_USD,$B10-2006),INDEX(Faucets_USD,$B10-2006),INDEX(Faucet_Accessories_USD,$B10-2006),INDEX(Urinals_USD,$B10-2006),INDEX(Showerheads_USD,$B10-2006),INDEX(WBICs_USD,$B10-2006),INDEX(FV_Toilets_USD,$B10-2006),INDEX(SMSs_USD,$B10-2006),INDEX(SSBs_USD,$B10-2006))),
IF(current_year&lt;$B10,"-",IF(partner_type="Builder",_xlpm.homes,IF(partner_type="Utility/District",_xlpm.homes+_xlpm.products,_xlpm.products)))
)</f>
        <v>#VALUE!</v>
      </c>
      <c r="J10" s="270" t="e">
        <f>IF(current_year&lt;B10,"",SUM($I$7:I10))</f>
        <v>#VALUE!</v>
      </c>
      <c r="K10" s="63"/>
      <c r="L10" s="64"/>
      <c r="M10" s="63"/>
      <c r="N10" s="63"/>
      <c r="O10" s="63"/>
      <c r="P10" s="63"/>
      <c r="Q10" s="63"/>
      <c r="R10" s="63"/>
      <c r="S10" s="63"/>
      <c r="T10" s="63"/>
      <c r="U10" s="63"/>
      <c r="V10" s="63"/>
      <c r="W10" s="64"/>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row>
    <row r="11" spans="1:56" ht="15">
      <c r="B11" s="259">
        <v>2011</v>
      </c>
      <c r="C11" s="266" cm="1">
        <f t="array" ref="C11">IF(current_year&lt;$B11,"-",IF(partner_type="Builder",INDEX(Homes_h2o,$B11-2006),IF(partner_type="Utility/District",INDEX(Homes_h2o,$B11-2006)+INDEX(h2o_annual,B11-2006),INDEX(h2o_annual,B11-2006))))</f>
        <v>0</v>
      </c>
      <c r="D11" s="267">
        <f>IF(current_year&lt;B11,"",SUM(C$7:$C11))</f>
        <v>0</v>
      </c>
      <c r="E11" s="267" t="e" cm="1">
        <f t="array" ref="E11">_xlfn.LET(
_xlpm.homes,INDEX(Homes_kwh,$B11-2006),
_xlpm.products,(SUM(INDEX(Toilets_kwh,$B11-2006),INDEX(Faucets_kwh,$B11-2006),INDEX(Faucet_Accessories_kwh,$B11-2006),INDEX(Urinals_kwh,$B11-2006),INDEX(Showerheads_kwh,$B11-2006),INDEX(WBICs_kwh,$B11-2006),INDEX(FV_Toilets_kwh,$B11-2006),INDEX(SMSs_kwh,$B11-2006),INDEX(SSBs_kwh,$B11-2006))),
IF(current_year&lt;$B11,"-",IF(partner_type="Builder",_xlpm.homes,IF(partner_type="Utility/District",_xlpm.homes+_xlpm.products,_xlpm.products)))
)</f>
        <v>#VALUE!</v>
      </c>
      <c r="F11" s="267" t="e">
        <f>IF(current_year&lt;B11,"",SUM($E$7:E11))</f>
        <v>#VALUE!</v>
      </c>
      <c r="G11" s="268" t="e" cm="1">
        <f t="array" ref="G11">_xlfn.LET(
_xlpm.homes,INDEX(Homes_co2,$B11-2006),
_xlpm.products,(SUM(INDEX(Toilets_co2,$B11-2006),INDEX(Faucets_co2,$B11-2006),INDEX(Faucet_Accessories_co2,$B11-2006),INDEX(Urinals_co2,$B11-2006),INDEX(Showerheads_co2,$B11-2006),INDEX(WBICs_co2,$B11-2006),INDEX(FV_Toilets_co2,$B11-2006),INDEX(SMSs_co2,$B11-2006),INDEX(SSBs_co2,$B11-2006))),IF(current_year&lt;$B11,"-",IF(partner_type="Builder",_xlpm.homes,IF(partner_type="Utility/District",_xlpm.homes+_xlpm.products,_xlpm.products)))
)</f>
        <v>#VALUE!</v>
      </c>
      <c r="H11" s="268" t="e">
        <f>IF(current_year&lt;B11,"",SUM($G$7:G11))</f>
        <v>#VALUE!</v>
      </c>
      <c r="I11" s="269" t="e" cm="1">
        <f t="array" ref="I11">_xlfn.LET(
_xlpm.homes,INDEX(Homes_usd,$B11-2006),
_xlpm.products,(SUM(INDEX(Toilets_USD,$B11-2006),INDEX(Faucets_USD,$B11-2006),INDEX(Faucet_Accessories_USD,$B11-2006),INDEX(Urinals_USD,$B11-2006),INDEX(Showerheads_USD,$B11-2006),INDEX(WBICs_USD,$B11-2006),INDEX(FV_Toilets_USD,$B11-2006),INDEX(SMSs_USD,$B11-2006),INDEX(SSBs_USD,$B11-2006))),
IF(current_year&lt;$B11,"-",IF(partner_type="Builder",_xlpm.homes,IF(partner_type="Utility/District",_xlpm.homes+_xlpm.products,_xlpm.products)))
)</f>
        <v>#VALUE!</v>
      </c>
      <c r="J11" s="270" t="e">
        <f>IF(current_year&lt;B11,"",SUM($I$7:I11))</f>
        <v>#VALUE!</v>
      </c>
      <c r="K11" s="64"/>
      <c r="L11" s="64"/>
      <c r="M11" s="63"/>
      <c r="N11" s="63"/>
      <c r="O11" s="63"/>
      <c r="P11" s="63"/>
      <c r="Q11" s="63"/>
      <c r="R11" s="63"/>
      <c r="S11" s="63"/>
      <c r="T11" s="63"/>
      <c r="U11" s="63"/>
      <c r="V11" s="63"/>
      <c r="W11" s="64"/>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row>
    <row r="12" spans="1:56" ht="15">
      <c r="B12" s="259">
        <v>2012</v>
      </c>
      <c r="C12" s="266" cm="1">
        <f t="array" ref="C12">IF(current_year&lt;$B12,"-",IF(partner_type="Builder",INDEX(Homes_h2o,$B12-2006),IF(partner_type="Utility/District",INDEX(Homes_h2o,$B12-2006)+INDEX(h2o_annual,B12-2006),INDEX(h2o_annual,B12-2006))))</f>
        <v>0</v>
      </c>
      <c r="D12" s="267">
        <f>IF(current_year&lt;B12,"",SUM(C$7:$C12))</f>
        <v>0</v>
      </c>
      <c r="E12" s="267" t="e" cm="1">
        <f t="array" ref="E12">_xlfn.LET(
_xlpm.homes,INDEX(Homes_kwh,$B12-2006),
_xlpm.products,(SUM(INDEX(Toilets_kwh,$B12-2006),INDEX(Faucets_kwh,$B12-2006),INDEX(Faucet_Accessories_kwh,$B12-2006),INDEX(Urinals_kwh,$B12-2006),INDEX(Showerheads_kwh,$B12-2006),INDEX(WBICs_kwh,$B12-2006),INDEX(FV_Toilets_kwh,$B12-2006),INDEX(SMSs_kwh,$B12-2006),INDEX(SSBs_kwh,$B12-2006))),
IF(current_year&lt;$B12,"-",IF(partner_type="Builder",_xlpm.homes,IF(partner_type="Utility/District",_xlpm.homes+_xlpm.products,_xlpm.products)))
)</f>
        <v>#VALUE!</v>
      </c>
      <c r="F12" s="267" t="e">
        <f>IF(current_year&lt;B12,"",SUM($E$7:E12))</f>
        <v>#VALUE!</v>
      </c>
      <c r="G12" s="268" t="e" cm="1">
        <f t="array" ref="G12">_xlfn.LET(
_xlpm.homes,INDEX(Homes_co2,$B12-2006),
_xlpm.products,(SUM(INDEX(Toilets_co2,$B12-2006),INDEX(Faucets_co2,$B12-2006),INDEX(Faucet_Accessories_co2,$B12-2006),INDEX(Urinals_co2,$B12-2006),INDEX(Showerheads_co2,$B12-2006),INDEX(WBICs_co2,$B12-2006),INDEX(FV_Toilets_co2,$B12-2006),INDEX(SMSs_co2,$B12-2006),INDEX(SSBs_co2,$B12-2006))),IF(current_year&lt;$B12,"-",IF(partner_type="Builder",_xlpm.homes,IF(partner_type="Utility/District",_xlpm.homes+_xlpm.products,_xlpm.products)))
)</f>
        <v>#VALUE!</v>
      </c>
      <c r="H12" s="268" t="e">
        <f>IF(current_year&lt;B12,"",SUM($G$7:G12))</f>
        <v>#VALUE!</v>
      </c>
      <c r="I12" s="269" t="e" cm="1">
        <f t="array" ref="I12">_xlfn.LET(
_xlpm.homes,INDEX(Homes_usd,$B12-2006),
_xlpm.products,(SUM(INDEX(Toilets_USD,$B12-2006),INDEX(Faucets_USD,$B12-2006),INDEX(Faucet_Accessories_USD,$B12-2006),INDEX(Urinals_USD,$B12-2006),INDEX(Showerheads_USD,$B12-2006),INDEX(WBICs_USD,$B12-2006),INDEX(FV_Toilets_USD,$B12-2006),INDEX(SMSs_USD,$B12-2006),INDEX(SSBs_USD,$B12-2006))),
IF(current_year&lt;$B12,"-",IF(partner_type="Builder",_xlpm.homes,IF(partner_type="Utility/District",_xlpm.homes+_xlpm.products,_xlpm.products)))
)</f>
        <v>#VALUE!</v>
      </c>
      <c r="J12" s="270" t="e">
        <f>IF(current_year&lt;B12,"",SUM($I$7:I12))</f>
        <v>#VALUE!</v>
      </c>
      <c r="K12" s="64"/>
      <c r="L12" s="64"/>
      <c r="M12" s="63"/>
      <c r="N12" s="63"/>
      <c r="O12" s="63"/>
      <c r="P12" s="63"/>
      <c r="Q12" s="63"/>
      <c r="R12" s="63"/>
      <c r="S12" s="63"/>
      <c r="T12" s="63"/>
      <c r="U12" s="63"/>
      <c r="V12" s="63"/>
      <c r="W12" s="64"/>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row>
    <row r="13" spans="1:56" ht="15">
      <c r="B13" s="259">
        <v>2013</v>
      </c>
      <c r="C13" s="266" cm="1">
        <f t="array" ref="C13">IF(current_year&lt;$B13,"-",IF(partner_type="Builder",INDEX(Homes_h2o,$B13-2006),IF(partner_type="Utility/District",INDEX(Homes_h2o,$B13-2006)+INDEX(h2o_annual,B13-2006),INDEX(h2o_annual,B13-2006))))</f>
        <v>0</v>
      </c>
      <c r="D13" s="267">
        <f>IF(current_year&lt;B13,"",SUM(C$7:$C13))</f>
        <v>0</v>
      </c>
      <c r="E13" s="267" t="e" cm="1">
        <f t="array" ref="E13">_xlfn.LET(
_xlpm.homes,INDEX(Homes_kwh,$B13-2006),
_xlpm.products,(SUM(INDEX(Toilets_kwh,$B13-2006),INDEX(Faucets_kwh,$B13-2006),INDEX(Faucet_Accessories_kwh,$B13-2006),INDEX(Urinals_kwh,$B13-2006),INDEX(Showerheads_kwh,$B13-2006),INDEX(WBICs_kwh,$B13-2006),INDEX(FV_Toilets_kwh,$B13-2006),INDEX(SMSs_kwh,$B13-2006),INDEX(SSBs_kwh,$B13-2006))),
IF(current_year&lt;$B13,"-",IF(partner_type="Builder",_xlpm.homes,IF(partner_type="Utility/District",_xlpm.homes+_xlpm.products,_xlpm.products)))
)</f>
        <v>#VALUE!</v>
      </c>
      <c r="F13" s="267" t="e">
        <f>IF(current_year&lt;B13,"",SUM($E$7:E13))</f>
        <v>#VALUE!</v>
      </c>
      <c r="G13" s="268" t="e" cm="1">
        <f t="array" ref="G13">_xlfn.LET(
_xlpm.homes,INDEX(Homes_co2,$B13-2006),
_xlpm.products,(SUM(INDEX(Toilets_co2,$B13-2006),INDEX(Faucets_co2,$B13-2006),INDEX(Faucet_Accessories_co2,$B13-2006),INDEX(Urinals_co2,$B13-2006),INDEX(Showerheads_co2,$B13-2006),INDEX(WBICs_co2,$B13-2006),INDEX(FV_Toilets_co2,$B13-2006),INDEX(SMSs_co2,$B13-2006),INDEX(SSBs_co2,$B13-2006))),IF(current_year&lt;$B13,"-",IF(partner_type="Builder",_xlpm.homes,IF(partner_type="Utility/District",_xlpm.homes+_xlpm.products,_xlpm.products)))
)</f>
        <v>#VALUE!</v>
      </c>
      <c r="H13" s="268" t="e">
        <f>IF(current_year&lt;B13,"",SUM($G$7:G13))</f>
        <v>#VALUE!</v>
      </c>
      <c r="I13" s="269" t="e" cm="1">
        <f t="array" ref="I13">_xlfn.LET(
_xlpm.homes,INDEX(Homes_usd,$B13-2006),
_xlpm.products,(SUM(INDEX(Toilets_USD,$B13-2006),INDEX(Faucets_USD,$B13-2006),INDEX(Faucet_Accessories_USD,$B13-2006),INDEX(Urinals_USD,$B13-2006),INDEX(Showerheads_USD,$B13-2006),INDEX(WBICs_USD,$B13-2006),INDEX(FV_Toilets_USD,$B13-2006),INDEX(SMSs_USD,$B13-2006),INDEX(SSBs_USD,$B13-2006))),
IF(current_year&lt;$B13,"-",IF(partner_type="Builder",_xlpm.homes,IF(partner_type="Utility/District",_xlpm.homes+_xlpm.products,_xlpm.products)))
)</f>
        <v>#VALUE!</v>
      </c>
      <c r="J13" s="270" t="e">
        <f>IF(current_year&lt;B13,"",SUM($I$7:I13))</f>
        <v>#VALUE!</v>
      </c>
      <c r="K13" s="64"/>
      <c r="L13" s="64"/>
      <c r="M13" s="63"/>
      <c r="N13" s="63"/>
      <c r="O13" s="63"/>
      <c r="P13" s="63"/>
      <c r="Q13" s="63"/>
      <c r="R13" s="63"/>
      <c r="S13" s="63"/>
      <c r="T13" s="63"/>
      <c r="U13" s="63"/>
      <c r="V13" s="63"/>
      <c r="W13" s="64"/>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row>
    <row r="14" spans="1:56" ht="15">
      <c r="B14" s="259">
        <v>2014</v>
      </c>
      <c r="C14" s="266" cm="1">
        <f t="array" ref="C14">IF(current_year&lt;$B14,"-",IF(partner_type="Builder",INDEX(Homes_h2o,$B14-2006),IF(partner_type="Utility/District",INDEX(Homes_h2o,$B14-2006)+INDEX(h2o_annual,B14-2006),INDEX(h2o_annual,B14-2006))))</f>
        <v>0</v>
      </c>
      <c r="D14" s="267">
        <f>IF(current_year&lt;B14,"",SUM(C$7:$C14))</f>
        <v>0</v>
      </c>
      <c r="E14" s="267" t="e" cm="1">
        <f t="array" ref="E14">_xlfn.LET(
_xlpm.homes,INDEX(Homes_kwh,$B14-2006),
_xlpm.products,(SUM(INDEX(Toilets_kwh,$B14-2006),INDEX(Faucets_kwh,$B14-2006),INDEX(Faucet_Accessories_kwh,$B14-2006),INDEX(Urinals_kwh,$B14-2006),INDEX(Showerheads_kwh,$B14-2006),INDEX(WBICs_kwh,$B14-2006),INDEX(FV_Toilets_kwh,$B14-2006),INDEX(SMSs_kwh,$B14-2006),INDEX(SSBs_kwh,$B14-2006))),
IF(current_year&lt;$B14,"-",IF(partner_type="Builder",_xlpm.homes,IF(partner_type="Utility/District",_xlpm.homes+_xlpm.products,_xlpm.products)))
)</f>
        <v>#VALUE!</v>
      </c>
      <c r="F14" s="267" t="e">
        <f>IF(current_year&lt;B14,"",SUM($E$7:E14))</f>
        <v>#VALUE!</v>
      </c>
      <c r="G14" s="268" t="e" cm="1">
        <f t="array" ref="G14">_xlfn.LET(
_xlpm.homes,INDEX(Homes_co2,$B14-2006),
_xlpm.products,(SUM(INDEX(Toilets_co2,$B14-2006),INDEX(Faucets_co2,$B14-2006),INDEX(Faucet_Accessories_co2,$B14-2006),INDEX(Urinals_co2,$B14-2006),INDEX(Showerheads_co2,$B14-2006),INDEX(WBICs_co2,$B14-2006),INDEX(FV_Toilets_co2,$B14-2006),INDEX(SMSs_co2,$B14-2006),INDEX(SSBs_co2,$B14-2006))),IF(current_year&lt;$B14,"-",IF(partner_type="Builder",_xlpm.homes,IF(partner_type="Utility/District",_xlpm.homes+_xlpm.products,_xlpm.products)))
)</f>
        <v>#VALUE!</v>
      </c>
      <c r="H14" s="268" t="e">
        <f>IF(current_year&lt;B14,"",SUM($G$7:G14))</f>
        <v>#VALUE!</v>
      </c>
      <c r="I14" s="269" t="e" cm="1">
        <f t="array" ref="I14">_xlfn.LET(
_xlpm.homes,INDEX(Homes_usd,$B14-2006),
_xlpm.products,(SUM(INDEX(Toilets_USD,$B14-2006),INDEX(Faucets_USD,$B14-2006),INDEX(Faucet_Accessories_USD,$B14-2006),INDEX(Urinals_USD,$B14-2006),INDEX(Showerheads_USD,$B14-2006),INDEX(WBICs_USD,$B14-2006),INDEX(FV_Toilets_USD,$B14-2006),INDEX(SMSs_USD,$B14-2006),INDEX(SSBs_USD,$B14-2006))),
IF(current_year&lt;$B14,"-",IF(partner_type="Builder",_xlpm.homes,IF(partner_type="Utility/District",_xlpm.homes+_xlpm.products,_xlpm.products)))
)</f>
        <v>#VALUE!</v>
      </c>
      <c r="J14" s="270" t="e">
        <f>IF(current_year&lt;B14,"",SUM($I$7:I14))</f>
        <v>#VALUE!</v>
      </c>
      <c r="K14" s="63"/>
      <c r="L14" s="64"/>
      <c r="M14" s="63"/>
      <c r="N14" s="63"/>
      <c r="O14" s="63"/>
      <c r="P14" s="63"/>
      <c r="Q14" s="63"/>
      <c r="R14" s="63"/>
      <c r="S14" s="63"/>
      <c r="T14" s="63"/>
      <c r="U14" s="63"/>
      <c r="V14" s="63"/>
      <c r="W14" s="64"/>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row>
    <row r="15" spans="1:56" ht="15">
      <c r="B15" s="259">
        <v>2015</v>
      </c>
      <c r="C15" s="266" cm="1">
        <f t="array" ref="C15">IF(current_year&lt;$B15,"-",IF(partner_type="Builder",INDEX(Homes_h2o,$B15-2006),IF(partner_type="Utility/District",INDEX(Homes_h2o,$B15-2006)+INDEX(h2o_annual,B15-2006),INDEX(h2o_annual,B15-2006))))</f>
        <v>0</v>
      </c>
      <c r="D15" s="267">
        <f>IF(current_year&lt;B15,"",SUM(C$7:$C15))</f>
        <v>0</v>
      </c>
      <c r="E15" s="267" t="e" cm="1">
        <f t="array" ref="E15">_xlfn.LET(
_xlpm.homes,INDEX(Homes_kwh,$B15-2006),
_xlpm.products,(SUM(INDEX(Toilets_kwh,$B15-2006),INDEX(Faucets_kwh,$B15-2006),INDEX(Faucet_Accessories_kwh,$B15-2006),INDEX(Urinals_kwh,$B15-2006),INDEX(Showerheads_kwh,$B15-2006),INDEX(WBICs_kwh,$B15-2006),INDEX(FV_Toilets_kwh,$B15-2006),INDEX(SMSs_kwh,$B15-2006),INDEX(SSBs_kwh,$B15-2006))),
IF(current_year&lt;$B15,"-",IF(partner_type="Builder",_xlpm.homes,IF(partner_type="Utility/District",_xlpm.homes+_xlpm.products,_xlpm.products)))
)</f>
        <v>#VALUE!</v>
      </c>
      <c r="F15" s="267" t="e">
        <f>IF(current_year&lt;B15,"",SUM($E$7:E15))</f>
        <v>#VALUE!</v>
      </c>
      <c r="G15" s="268" t="e" cm="1">
        <f t="array" ref="G15">_xlfn.LET(
_xlpm.homes,INDEX(Homes_co2,$B15-2006),
_xlpm.products,(SUM(INDEX(Toilets_co2,$B15-2006),INDEX(Faucets_co2,$B15-2006),INDEX(Faucet_Accessories_co2,$B15-2006),INDEX(Urinals_co2,$B15-2006),INDEX(Showerheads_co2,$B15-2006),INDEX(WBICs_co2,$B15-2006),INDEX(FV_Toilets_co2,$B15-2006),INDEX(SMSs_co2,$B15-2006),INDEX(SSBs_co2,$B15-2006))),IF(current_year&lt;$B15,"-",IF(partner_type="Builder",_xlpm.homes,IF(partner_type="Utility/District",_xlpm.homes+_xlpm.products,_xlpm.products)))
)</f>
        <v>#VALUE!</v>
      </c>
      <c r="H15" s="268" t="e">
        <f>IF(current_year&lt;B15,"",SUM($G$7:G15))</f>
        <v>#VALUE!</v>
      </c>
      <c r="I15" s="269" t="e" cm="1">
        <f t="array" ref="I15">_xlfn.LET(
_xlpm.homes,INDEX(Homes_usd,$B15-2006),
_xlpm.products,(SUM(INDEX(Toilets_USD,$B15-2006),INDEX(Faucets_USD,$B15-2006),INDEX(Faucet_Accessories_USD,$B15-2006),INDEX(Urinals_USD,$B15-2006),INDEX(Showerheads_USD,$B15-2006),INDEX(WBICs_USD,$B15-2006),INDEX(FV_Toilets_USD,$B15-2006),INDEX(SMSs_USD,$B15-2006),INDEX(SSBs_USD,$B15-2006))),
IF(current_year&lt;$B15,"-",IF(partner_type="Builder",_xlpm.homes,IF(partner_type="Utility/District",_xlpm.homes+_xlpm.products,_xlpm.products)))
)</f>
        <v>#VALUE!</v>
      </c>
      <c r="J15" s="270" t="e">
        <f>IF(current_year&lt;B15,"",SUM($I$7:I15))</f>
        <v>#VALUE!</v>
      </c>
      <c r="K15" s="63"/>
      <c r="L15" s="64"/>
      <c r="M15" s="63"/>
      <c r="N15" s="63"/>
      <c r="O15" s="63"/>
      <c r="P15" s="63"/>
      <c r="Q15" s="63"/>
      <c r="R15" s="63"/>
      <c r="S15" s="63"/>
      <c r="T15" s="63"/>
      <c r="U15" s="63"/>
      <c r="V15" s="63"/>
      <c r="W15" s="64"/>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row>
    <row r="16" spans="1:56" ht="15">
      <c r="B16" s="259">
        <v>2016</v>
      </c>
      <c r="C16" s="266" cm="1">
        <f t="array" ref="C16">IF(current_year&lt;$B16,"-",IF(partner_type="Builder",INDEX(Homes_h2o,$B16-2006),IF(partner_type="Utility/District",INDEX(Homes_h2o,$B16-2006)+INDEX(h2o_annual,B16-2006),INDEX(h2o_annual,B16-2006))))</f>
        <v>0</v>
      </c>
      <c r="D16" s="267">
        <f>IF(current_year&lt;B16,"",SUM(C$7:$C16))</f>
        <v>0</v>
      </c>
      <c r="E16" s="267" t="e" cm="1">
        <f t="array" ref="E16">_xlfn.LET(
_xlpm.homes,INDEX(Homes_kwh,$B16-2006),
_xlpm.products,(SUM(INDEX(Toilets_kwh,$B16-2006),INDEX(Faucets_kwh,$B16-2006),INDEX(Faucet_Accessories_kwh,$B16-2006),INDEX(Urinals_kwh,$B16-2006),INDEX(Showerheads_kwh,$B16-2006),INDEX(WBICs_kwh,$B16-2006),INDEX(FV_Toilets_kwh,$B16-2006),INDEX(SMSs_kwh,$B16-2006),INDEX(SSBs_kwh,$B16-2006))),
IF(current_year&lt;$B16,"-",IF(partner_type="Builder",_xlpm.homes,IF(partner_type="Utility/District",_xlpm.homes+_xlpm.products,_xlpm.products)))
)</f>
        <v>#VALUE!</v>
      </c>
      <c r="F16" s="267" t="e">
        <f>IF(current_year&lt;B16,"",SUM($E$7:E16))</f>
        <v>#VALUE!</v>
      </c>
      <c r="G16" s="268" t="e" cm="1">
        <f t="array" ref="G16">_xlfn.LET(
_xlpm.homes,INDEX(Homes_co2,$B16-2006),
_xlpm.products,(SUM(INDEX(Toilets_co2,$B16-2006),INDEX(Faucets_co2,$B16-2006),INDEX(Faucet_Accessories_co2,$B16-2006),INDEX(Urinals_co2,$B16-2006),INDEX(Showerheads_co2,$B16-2006),INDEX(WBICs_co2,$B16-2006),INDEX(FV_Toilets_co2,$B16-2006),INDEX(SMSs_co2,$B16-2006),INDEX(SSBs_co2,$B16-2006))),IF(current_year&lt;$B16,"-",IF(partner_type="Builder",_xlpm.homes,IF(partner_type="Utility/District",_xlpm.homes+_xlpm.products,_xlpm.products)))
)</f>
        <v>#VALUE!</v>
      </c>
      <c r="H16" s="268" t="e">
        <f>IF(current_year&lt;B16,"",SUM($G$7:G16))</f>
        <v>#VALUE!</v>
      </c>
      <c r="I16" s="269" t="e" cm="1">
        <f t="array" ref="I16">_xlfn.LET(
_xlpm.homes,INDEX(Homes_usd,$B16-2006),
_xlpm.products,(SUM(INDEX(Toilets_USD,$B16-2006),INDEX(Faucets_USD,$B16-2006),INDEX(Faucet_Accessories_USD,$B16-2006),INDEX(Urinals_USD,$B16-2006),INDEX(Showerheads_USD,$B16-2006),INDEX(WBICs_USD,$B16-2006),INDEX(FV_Toilets_USD,$B16-2006),INDEX(SMSs_USD,$B16-2006),INDEX(SSBs_USD,$B16-2006))),
IF(current_year&lt;$B16,"-",IF(partner_type="Builder",_xlpm.homes,IF(partner_type="Utility/District",_xlpm.homes+_xlpm.products,_xlpm.products)))
)</f>
        <v>#VALUE!</v>
      </c>
      <c r="J16" s="270" t="e">
        <f>IF(current_year&lt;B16,"",SUM($I$7:I16))</f>
        <v>#VALUE!</v>
      </c>
      <c r="K16" s="63"/>
      <c r="L16" s="64"/>
      <c r="M16" s="63"/>
      <c r="N16" s="63"/>
      <c r="O16" s="63"/>
      <c r="P16" s="63"/>
      <c r="Q16" s="63"/>
      <c r="R16" s="63"/>
      <c r="S16" s="63"/>
      <c r="T16" s="63"/>
      <c r="U16" s="63"/>
      <c r="V16" s="63"/>
      <c r="W16" s="64"/>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row>
    <row r="17" spans="2:56" ht="15">
      <c r="B17" s="259">
        <v>2017</v>
      </c>
      <c r="C17" s="266" cm="1">
        <f t="array" ref="C17">IF(current_year&lt;$B17,"-",IF(partner_type="Builder",INDEX(Homes_h2o,$B17-2006),IF(partner_type="Utility/District",INDEX(Homes_h2o,$B17-2006)+INDEX(h2o_annual,B17-2006),INDEX(h2o_annual,B17-2006))))</f>
        <v>0</v>
      </c>
      <c r="D17" s="267">
        <f>IF(current_year&lt;B17,"",SUM(C$7:$C17))</f>
        <v>0</v>
      </c>
      <c r="E17" s="267" t="e" cm="1">
        <f t="array" ref="E17">_xlfn.LET(
_xlpm.homes,INDEX(Homes_kwh,$B17-2006),
_xlpm.products,(SUM(INDEX(Toilets_kwh,$B17-2006),INDEX(Faucets_kwh,$B17-2006),INDEX(Faucet_Accessories_kwh,$B17-2006),INDEX(Urinals_kwh,$B17-2006),INDEX(Showerheads_kwh,$B17-2006),INDEX(WBICs_kwh,$B17-2006),INDEX(FV_Toilets_kwh,$B17-2006),INDEX(SMSs_kwh,$B17-2006),INDEX(SSBs_kwh,$B17-2006))),
IF(current_year&lt;$B17,"-",IF(partner_type="Builder",_xlpm.homes,IF(partner_type="Utility/District",_xlpm.homes+_xlpm.products,_xlpm.products)))
)</f>
        <v>#VALUE!</v>
      </c>
      <c r="F17" s="267" t="e">
        <f>IF(current_year&lt;B17,"",SUM($E$7:E17))</f>
        <v>#VALUE!</v>
      </c>
      <c r="G17" s="268" t="e" cm="1">
        <f t="array" ref="G17">_xlfn.LET(
_xlpm.homes,INDEX(Homes_co2,$B17-2006),
_xlpm.products,(SUM(INDEX(Toilets_co2,$B17-2006),INDEX(Faucets_co2,$B17-2006),INDEX(Faucet_Accessories_co2,$B17-2006),INDEX(Urinals_co2,$B17-2006),INDEX(Showerheads_co2,$B17-2006),INDEX(WBICs_co2,$B17-2006),INDEX(FV_Toilets_co2,$B17-2006),INDEX(SMSs_co2,$B17-2006),INDEX(SSBs_co2,$B17-2006))),IF(current_year&lt;$B17,"-",IF(partner_type="Builder",_xlpm.homes,IF(partner_type="Utility/District",_xlpm.homes+_xlpm.products,_xlpm.products)))
)</f>
        <v>#VALUE!</v>
      </c>
      <c r="H17" s="268" t="e">
        <f>IF(current_year&lt;B17,"",SUM($G$7:G17))</f>
        <v>#VALUE!</v>
      </c>
      <c r="I17" s="269" t="e" cm="1">
        <f t="array" ref="I17">_xlfn.LET(
_xlpm.homes,INDEX(Homes_usd,$B17-2006),
_xlpm.products,(SUM(INDEX(Toilets_USD,$B17-2006),INDEX(Faucets_USD,$B17-2006),INDEX(Faucet_Accessories_USD,$B17-2006),INDEX(Urinals_USD,$B17-2006),INDEX(Showerheads_USD,$B17-2006),INDEX(WBICs_USD,$B17-2006),INDEX(FV_Toilets_USD,$B17-2006),INDEX(SMSs_USD,$B17-2006),INDEX(SSBs_USD,$B17-2006))),
IF(current_year&lt;$B17,"-",IF(partner_type="Builder",_xlpm.homes,IF(partner_type="Utility/District",_xlpm.homes+_xlpm.products,_xlpm.products)))
)</f>
        <v>#VALUE!</v>
      </c>
      <c r="J17" s="270" t="e">
        <f>IF(current_year&lt;B17,"",SUM($I$7:I17))</f>
        <v>#VALUE!</v>
      </c>
      <c r="K17" s="64"/>
      <c r="L17" s="64"/>
      <c r="M17" s="63"/>
      <c r="N17" s="63"/>
      <c r="O17" s="63"/>
      <c r="P17" s="63"/>
      <c r="Q17" s="63"/>
      <c r="R17" s="63"/>
      <c r="S17" s="63"/>
      <c r="T17" s="63"/>
      <c r="U17" s="63"/>
      <c r="V17" s="63"/>
      <c r="W17" s="64"/>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row>
    <row r="18" spans="2:56" ht="15">
      <c r="B18" s="259">
        <v>2018</v>
      </c>
      <c r="C18" s="266" cm="1">
        <f t="array" ref="C18">IF(current_year&lt;$B18,"-",IF(partner_type="Builder",INDEX(Homes_h2o,$B18-2006),IF(partner_type="Utility/District",INDEX(Homes_h2o,$B18-2006)+INDEX(h2o_annual,B18-2006),INDEX(h2o_annual,B18-2006))))</f>
        <v>0</v>
      </c>
      <c r="D18" s="267">
        <f>IF(current_year&lt;B18,"",SUM(C$7:$C18))</f>
        <v>0</v>
      </c>
      <c r="E18" s="267" t="e" cm="1">
        <f t="array" ref="E18">_xlfn.LET(
_xlpm.homes,INDEX(Homes_kwh,$B18-2006),
_xlpm.products,(SUM(INDEX(Toilets_kwh,$B18-2006),INDEX(Faucets_kwh,$B18-2006),INDEX(Faucet_Accessories_kwh,$B18-2006),INDEX(Urinals_kwh,$B18-2006),INDEX(Showerheads_kwh,$B18-2006),INDEX(WBICs_kwh,$B18-2006),INDEX(FV_Toilets_kwh,$B18-2006),INDEX(SMSs_kwh,$B18-2006),INDEX(SSBs_kwh,$B18-2006))),
IF(current_year&lt;$B18,"-",IF(partner_type="Builder",_xlpm.homes,IF(partner_type="Utility/District",_xlpm.homes+_xlpm.products,_xlpm.products)))
)</f>
        <v>#VALUE!</v>
      </c>
      <c r="F18" s="267" t="e">
        <f>IF(current_year&lt;B18,"",SUM($E$7:E18))</f>
        <v>#VALUE!</v>
      </c>
      <c r="G18" s="268" t="e" cm="1">
        <f t="array" ref="G18">_xlfn.LET(
_xlpm.homes,INDEX(Homes_co2,$B18-2006),
_xlpm.products,(SUM(INDEX(Toilets_co2,$B18-2006),INDEX(Faucets_co2,$B18-2006),INDEX(Faucet_Accessories_co2,$B18-2006),INDEX(Urinals_co2,$B18-2006),INDEX(Showerheads_co2,$B18-2006),INDEX(WBICs_co2,$B18-2006),INDEX(FV_Toilets_co2,$B18-2006),INDEX(SMSs_co2,$B18-2006),INDEX(SSBs_co2,$B18-2006))),IF(current_year&lt;$B18,"-",IF(partner_type="Builder",_xlpm.homes,IF(partner_type="Utility/District",_xlpm.homes+_xlpm.products,_xlpm.products)))
)</f>
        <v>#VALUE!</v>
      </c>
      <c r="H18" s="268" t="e">
        <f>IF(current_year&lt;B18,"",SUM($G$7:G18))</f>
        <v>#VALUE!</v>
      </c>
      <c r="I18" s="269" t="e" cm="1">
        <f t="array" ref="I18">_xlfn.LET(
_xlpm.homes,INDEX(Homes_usd,$B18-2006),
_xlpm.products,(SUM(INDEX(Toilets_USD,$B18-2006),INDEX(Faucets_USD,$B18-2006),INDEX(Faucet_Accessories_USD,$B18-2006),INDEX(Urinals_USD,$B18-2006),INDEX(Showerheads_USD,$B18-2006),INDEX(WBICs_USD,$B18-2006),INDEX(FV_Toilets_USD,$B18-2006),INDEX(SMSs_USD,$B18-2006),INDEX(SSBs_USD,$B18-2006))),
IF(current_year&lt;$B18,"-",IF(partner_type="Builder",_xlpm.homes,IF(partner_type="Utility/District",_xlpm.homes+_xlpm.products,_xlpm.products)))
)</f>
        <v>#VALUE!</v>
      </c>
      <c r="J18" s="270" t="e">
        <f>IF(current_year&lt;B18,"",SUM($I$7:I18))</f>
        <v>#VALUE!</v>
      </c>
      <c r="K18" s="64"/>
      <c r="L18" s="64"/>
      <c r="M18" s="63"/>
      <c r="N18" s="63"/>
      <c r="O18" s="63"/>
      <c r="P18" s="63"/>
      <c r="Q18" s="63"/>
      <c r="R18" s="63"/>
      <c r="S18" s="63"/>
      <c r="T18" s="63"/>
      <c r="U18" s="63"/>
      <c r="V18" s="63"/>
      <c r="W18" s="64"/>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row>
    <row r="19" spans="2:56" ht="15">
      <c r="B19" s="259">
        <v>2019</v>
      </c>
      <c r="C19" s="266" cm="1">
        <f t="array" ref="C19">IF(current_year&lt;$B19,"-",IF(partner_type="Builder",INDEX(Homes_h2o,$B19-2006),IF(partner_type="Utility/District",INDEX(Homes_h2o,$B19-2006)+INDEX(h2o_annual,B19-2006),INDEX(h2o_annual,B19-2006))))</f>
        <v>0</v>
      </c>
      <c r="D19" s="267">
        <f>IF(current_year&lt;B19,"",SUM(C$7:$C19))</f>
        <v>0</v>
      </c>
      <c r="E19" s="267" t="e" cm="1">
        <f t="array" ref="E19">_xlfn.LET(
_xlpm.homes,INDEX(Homes_kwh,$B19-2006),
_xlpm.products,(SUM(INDEX(Toilets_kwh,$B19-2006),INDEX(Faucets_kwh,$B19-2006),INDEX(Faucet_Accessories_kwh,$B19-2006),INDEX(Urinals_kwh,$B19-2006),INDEX(Showerheads_kwh,$B19-2006),INDEX(WBICs_kwh,$B19-2006),INDEX(FV_Toilets_kwh,$B19-2006),INDEX(SMSs_kwh,$B19-2006),INDEX(SSBs_kwh,$B19-2006))),
IF(current_year&lt;$B19,"-",IF(partner_type="Builder",_xlpm.homes,IF(partner_type="Utility/District",_xlpm.homes+_xlpm.products,_xlpm.products)))
)</f>
        <v>#VALUE!</v>
      </c>
      <c r="F19" s="267" t="e">
        <f>IF(current_year&lt;B19,"",SUM($E$7:E19))</f>
        <v>#VALUE!</v>
      </c>
      <c r="G19" s="268" t="e" cm="1">
        <f t="array" ref="G19">_xlfn.LET(
_xlpm.homes,INDEX(Homes_co2,$B19-2006),
_xlpm.products,(SUM(INDEX(Toilets_co2,$B19-2006),INDEX(Faucets_co2,$B19-2006),INDEX(Faucet_Accessories_co2,$B19-2006),INDEX(Urinals_co2,$B19-2006),INDEX(Showerheads_co2,$B19-2006),INDEX(WBICs_co2,$B19-2006),INDEX(FV_Toilets_co2,$B19-2006),INDEX(SMSs_co2,$B19-2006),INDEX(SSBs_co2,$B19-2006))),IF(current_year&lt;$B19,"-",IF(partner_type="Builder",_xlpm.homes,IF(partner_type="Utility/District",_xlpm.homes+_xlpm.products,_xlpm.products)))
)</f>
        <v>#VALUE!</v>
      </c>
      <c r="H19" s="268" t="e">
        <f>IF(current_year&lt;B19,"",SUM($G$7:G19))</f>
        <v>#VALUE!</v>
      </c>
      <c r="I19" s="269" t="e" cm="1">
        <f t="array" ref="I19">_xlfn.LET(
_xlpm.homes,INDEX(Homes_usd,$B19-2006),
_xlpm.products,(SUM(INDEX(Toilets_USD,$B19-2006),INDEX(Faucets_USD,$B19-2006),INDEX(Faucet_Accessories_USD,$B19-2006),INDEX(Urinals_USD,$B19-2006),INDEX(Showerheads_USD,$B19-2006),INDEX(WBICs_USD,$B19-2006),INDEX(FV_Toilets_USD,$B19-2006),INDEX(SMSs_USD,$B19-2006),INDEX(SSBs_USD,$B19-2006))),
IF(current_year&lt;$B19,"-",IF(partner_type="Builder",_xlpm.homes,IF(partner_type="Utility/District",_xlpm.homes+_xlpm.products,_xlpm.products)))
)</f>
        <v>#VALUE!</v>
      </c>
      <c r="J19" s="270" t="e">
        <f>IF(current_year&lt;B19,"",SUM($I$7:I19))</f>
        <v>#VALUE!</v>
      </c>
      <c r="K19" s="64"/>
      <c r="L19" s="64"/>
      <c r="M19" s="63"/>
      <c r="N19" s="63"/>
      <c r="O19" s="63"/>
      <c r="P19" s="63"/>
      <c r="Q19" s="63"/>
      <c r="R19" s="63"/>
      <c r="S19" s="63"/>
      <c r="T19" s="63"/>
      <c r="U19" s="63"/>
      <c r="V19" s="63"/>
      <c r="W19" s="64"/>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row>
    <row r="20" spans="2:56" ht="15">
      <c r="B20" s="259">
        <v>2020</v>
      </c>
      <c r="C20" s="266" cm="1">
        <f t="array" ref="C20">IF(current_year&lt;$B20,"-",IF(partner_type="Builder",INDEX(Homes_h2o,$B20-2006),IF(partner_type="Utility/District",INDEX(Homes_h2o,$B20-2006)+INDEX(h2o_annual,B20-2006),INDEX(h2o_annual,B20-2006))))</f>
        <v>0</v>
      </c>
      <c r="D20" s="267">
        <f>IF(current_year&lt;B20,"",SUM(C$7:$C20))</f>
        <v>0</v>
      </c>
      <c r="E20" s="267" t="e" cm="1">
        <f t="array" ref="E20">_xlfn.LET(
_xlpm.homes,INDEX(Homes_kwh,$B20-2006),
_xlpm.products,(SUM(INDEX(Toilets_kwh,$B20-2006),INDEX(Faucets_kwh,$B20-2006),INDEX(Faucet_Accessories_kwh,$B20-2006),INDEX(Urinals_kwh,$B20-2006),INDEX(Showerheads_kwh,$B20-2006),INDEX(WBICs_kwh,$B20-2006),INDEX(FV_Toilets_kwh,$B20-2006),INDEX(SMSs_kwh,$B20-2006),INDEX(SSBs_kwh,$B20-2006))),
IF(current_year&lt;$B20,"-",IF(partner_type="Builder",_xlpm.homes,IF(partner_type="Utility/District",_xlpm.homes+_xlpm.products,_xlpm.products)))
)</f>
        <v>#VALUE!</v>
      </c>
      <c r="F20" s="267" t="e">
        <f>IF(current_year&lt;B20,"",SUM($E$7:E20))</f>
        <v>#VALUE!</v>
      </c>
      <c r="G20" s="268" t="e" cm="1">
        <f t="array" ref="G20">_xlfn.LET(
_xlpm.homes,INDEX(Homes_co2,$B20-2006),
_xlpm.products,(SUM(INDEX(Toilets_co2,$B20-2006),INDEX(Faucets_co2,$B20-2006),INDEX(Faucet_Accessories_co2,$B20-2006),INDEX(Urinals_co2,$B20-2006),INDEX(Showerheads_co2,$B20-2006),INDEX(WBICs_co2,$B20-2006),INDEX(FV_Toilets_co2,$B20-2006),INDEX(SMSs_co2,$B20-2006),INDEX(SSBs_co2,$B20-2006))),IF(current_year&lt;$B20,"-",IF(partner_type="Builder",_xlpm.homes,IF(partner_type="Utility/District",_xlpm.homes+_xlpm.products,_xlpm.products)))
)</f>
        <v>#VALUE!</v>
      </c>
      <c r="H20" s="268" t="e">
        <f>IF(current_year&lt;B20,"",SUM($G$7:G20))</f>
        <v>#VALUE!</v>
      </c>
      <c r="I20" s="269" t="e" cm="1">
        <f t="array" ref="I20">_xlfn.LET(
_xlpm.homes,INDEX(Homes_usd,$B20-2006),
_xlpm.products,(SUM(INDEX(Toilets_USD,$B20-2006),INDEX(Faucets_USD,$B20-2006),INDEX(Faucet_Accessories_USD,$B20-2006),INDEX(Urinals_USD,$B20-2006),INDEX(Showerheads_USD,$B20-2006),INDEX(WBICs_USD,$B20-2006),INDEX(FV_Toilets_USD,$B20-2006),INDEX(SMSs_USD,$B20-2006),INDEX(SSBs_USD,$B20-2006))),
IF(current_year&lt;$B20,"-",IF(partner_type="Builder",_xlpm.homes,IF(partner_type="Utility/District",_xlpm.homes+_xlpm.products,_xlpm.products)))
)</f>
        <v>#VALUE!</v>
      </c>
      <c r="J20" s="270" t="e">
        <f>IF(current_year&lt;B20,"",SUM($I$7:I20))</f>
        <v>#VALUE!</v>
      </c>
      <c r="K20" s="63"/>
      <c r="L20" s="64"/>
      <c r="M20" s="63"/>
      <c r="N20" s="63"/>
      <c r="O20" s="63"/>
      <c r="P20" s="63"/>
      <c r="Q20" s="63"/>
      <c r="R20" s="63"/>
      <c r="S20" s="63"/>
      <c r="T20" s="63"/>
      <c r="U20" s="63"/>
      <c r="V20" s="63"/>
      <c r="W20" s="64"/>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row>
    <row r="21" spans="2:56" ht="15">
      <c r="B21" s="259">
        <v>2021</v>
      </c>
      <c r="C21" s="266" cm="1">
        <f t="array" ref="C21">IF(current_year&lt;$B21,"-",IF(partner_type="Builder",INDEX(Homes_h2o,$B21-2006),IF(partner_type="Utility/District",INDEX(Homes_h2o,$B21-2006)+INDEX(h2o_annual,B21-2006),INDEX(h2o_annual,B21-2006))))</f>
        <v>0</v>
      </c>
      <c r="D21" s="267">
        <f>IF(current_year&lt;B21,"",SUM(C$7:$C21))</f>
        <v>0</v>
      </c>
      <c r="E21" s="267" t="e" cm="1">
        <f t="array" ref="E21">_xlfn.LET(
_xlpm.homes,INDEX(Homes_kwh,$B21-2006),
_xlpm.products,(SUM(INDEX(Toilets_kwh,$B21-2006),INDEX(Faucets_kwh,$B21-2006),INDEX(Faucet_Accessories_kwh,$B21-2006),INDEX(Urinals_kwh,$B21-2006),INDEX(Showerheads_kwh,$B21-2006),INDEX(WBICs_kwh,$B21-2006),INDEX(FV_Toilets_kwh,$B21-2006),INDEX(SMSs_kwh,$B21-2006),INDEX(SSBs_kwh,$B21-2006))),
IF(current_year&lt;$B21,"-",IF(partner_type="Builder",_xlpm.homes,IF(partner_type="Utility/District",_xlpm.homes+_xlpm.products,_xlpm.products)))
)</f>
        <v>#VALUE!</v>
      </c>
      <c r="F21" s="267" t="e">
        <f>IF(current_year&lt;B21,"",SUM($E$7:E21))</f>
        <v>#VALUE!</v>
      </c>
      <c r="G21" s="268" t="e" cm="1">
        <f t="array" ref="G21">_xlfn.LET(
_xlpm.homes,INDEX(Homes_co2,$B21-2006),
_xlpm.products,(SUM(INDEX(Toilets_co2,$B21-2006),INDEX(Faucets_co2,$B21-2006),INDEX(Faucet_Accessories_co2,$B21-2006),INDEX(Urinals_co2,$B21-2006),INDEX(Showerheads_co2,$B21-2006),INDEX(WBICs_co2,$B21-2006),INDEX(FV_Toilets_co2,$B21-2006),INDEX(SMSs_co2,$B21-2006),INDEX(SSBs_co2,$B21-2006))),IF(current_year&lt;$B21,"-",IF(partner_type="Builder",_xlpm.homes,IF(partner_type="Utility/District",_xlpm.homes+_xlpm.products,_xlpm.products)))
)</f>
        <v>#VALUE!</v>
      </c>
      <c r="H21" s="268" t="e">
        <f>IF(current_year&lt;B21,"",SUM($G$7:G21))</f>
        <v>#VALUE!</v>
      </c>
      <c r="I21" s="269" t="e" cm="1">
        <f t="array" ref="I21">_xlfn.LET(
_xlpm.homes,INDEX(Homes_usd,$B21-2006),
_xlpm.products,(SUM(INDEX(Toilets_USD,$B21-2006),INDEX(Faucets_USD,$B21-2006),INDEX(Faucet_Accessories_USD,$B21-2006),INDEX(Urinals_USD,$B21-2006),INDEX(Showerheads_USD,$B21-2006),INDEX(WBICs_USD,$B21-2006),INDEX(FV_Toilets_USD,$B21-2006),INDEX(SMSs_USD,$B21-2006),INDEX(SSBs_USD,$B21-2006))),
IF(current_year&lt;$B21,"-",IF(partner_type="Builder",_xlpm.homes,IF(partner_type="Utility/District",_xlpm.homes+_xlpm.products,_xlpm.products)))
)</f>
        <v>#VALUE!</v>
      </c>
      <c r="J21" s="270" t="e">
        <f>IF(current_year&lt;B21,"",SUM($I$7:I21))</f>
        <v>#VALUE!</v>
      </c>
      <c r="K21" s="63"/>
      <c r="L21" s="64"/>
      <c r="M21" s="63"/>
      <c r="N21" s="63"/>
      <c r="O21" s="63"/>
      <c r="P21" s="63"/>
      <c r="Q21" s="63"/>
      <c r="R21" s="63"/>
      <c r="S21" s="63"/>
      <c r="T21" s="63"/>
      <c r="U21" s="63"/>
      <c r="V21" s="63"/>
      <c r="W21" s="64"/>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row>
    <row r="22" spans="2:56" ht="15">
      <c r="B22" s="259">
        <v>2022</v>
      </c>
      <c r="C22" s="266" cm="1">
        <f t="array" ref="C22">IF(current_year&lt;$B22,"-",IF(partner_type="Builder",INDEX(Homes_h2o,$B22-2006),IF(partner_type="Utility/District",INDEX(Homes_h2o,$B22-2006)+INDEX(h2o_annual,B22-2006),INDEX(h2o_annual,B22-2006))))</f>
        <v>0</v>
      </c>
      <c r="D22" s="267">
        <f>IF(current_year&lt;B22,"",SUM(C$7:$C22))</f>
        <v>0</v>
      </c>
      <c r="E22" s="267" t="e" cm="1">
        <f t="array" ref="E22">_xlfn.LET(
_xlpm.homes,INDEX(Homes_kwh,$B22-2006),
_xlpm.products,(SUM(INDEX(Toilets_kwh,$B22-2006),INDEX(Faucets_kwh,$B22-2006),INDEX(Faucet_Accessories_kwh,$B22-2006),INDEX(Urinals_kwh,$B22-2006),INDEX(Showerheads_kwh,$B22-2006),INDEX(WBICs_kwh,$B22-2006),INDEX(FV_Toilets_kwh,$B22-2006),INDEX(SMSs_kwh,$B22-2006),INDEX(SSBs_kwh,$B22-2006))),
IF(current_year&lt;$B22,"-",IF(partner_type="Builder",_xlpm.homes,IF(partner_type="Utility/District",_xlpm.homes+_xlpm.products,_xlpm.products)))
)</f>
        <v>#VALUE!</v>
      </c>
      <c r="F22" s="267" t="e">
        <f>IF(current_year&lt;B22,"",SUM($E$7:E22))</f>
        <v>#VALUE!</v>
      </c>
      <c r="G22" s="268" t="e" cm="1">
        <f t="array" ref="G22">_xlfn.LET(
_xlpm.homes,INDEX(Homes_co2,$B22-2006),
_xlpm.products,(SUM(INDEX(Toilets_co2,$B22-2006),INDEX(Faucets_co2,$B22-2006),INDEX(Faucet_Accessories_co2,$B22-2006),INDEX(Urinals_co2,$B22-2006),INDEX(Showerheads_co2,$B22-2006),INDEX(WBICs_co2,$B22-2006),INDEX(FV_Toilets_co2,$B22-2006),INDEX(SMSs_co2,$B22-2006),INDEX(SSBs_co2,$B22-2006))),IF(current_year&lt;$B22,"-",IF(partner_type="Builder",_xlpm.homes,IF(partner_type="Utility/District",_xlpm.homes+_xlpm.products,_xlpm.products)))
)</f>
        <v>#VALUE!</v>
      </c>
      <c r="H22" s="268" t="e">
        <f>IF(current_year&lt;B22,"",SUM($G$7:G22))</f>
        <v>#VALUE!</v>
      </c>
      <c r="I22" s="269" t="e" cm="1">
        <f t="array" ref="I22">_xlfn.LET(
_xlpm.homes,INDEX(Homes_usd,$B22-2006),
_xlpm.products,(SUM(INDEX(Toilets_USD,$B22-2006),INDEX(Faucets_USD,$B22-2006),INDEX(Faucet_Accessories_USD,$B22-2006),INDEX(Urinals_USD,$B22-2006),INDEX(Showerheads_USD,$B22-2006),INDEX(WBICs_USD,$B22-2006),INDEX(FV_Toilets_USD,$B22-2006),INDEX(SMSs_USD,$B22-2006),INDEX(SSBs_USD,$B22-2006))),
IF(current_year&lt;$B22,"-",IF(partner_type="Builder",_xlpm.homes,IF(partner_type="Utility/District",_xlpm.homes+_xlpm.products,_xlpm.products)))
)</f>
        <v>#VALUE!</v>
      </c>
      <c r="J22" s="270" t="e">
        <f>IF(current_year&lt;B22,"",SUM($I$7:I22))</f>
        <v>#VALUE!</v>
      </c>
      <c r="K22" s="235"/>
      <c r="L22" s="64"/>
      <c r="M22" s="63"/>
      <c r="N22" s="63"/>
      <c r="O22" s="63"/>
      <c r="P22" s="63"/>
      <c r="Q22" s="63"/>
      <c r="R22" s="63"/>
      <c r="S22" s="63"/>
      <c r="T22" s="63"/>
      <c r="U22" s="63"/>
      <c r="V22" s="63"/>
      <c r="W22" s="64"/>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row>
    <row r="23" spans="2:56" ht="15">
      <c r="B23" s="259">
        <v>2023</v>
      </c>
      <c r="C23" s="266" cm="1">
        <f t="array" ref="C23">IF(current_year&lt;$B23,"-",IF(partner_type="Builder",INDEX(Homes_h2o,$B23-2006),IF(partner_type="Utility/District",INDEX(Homes_h2o,$B23-2006)+INDEX(h2o_annual,B23-2006),INDEX(h2o_annual,B23-2006))))</f>
        <v>0</v>
      </c>
      <c r="D23" s="267">
        <f>IF(current_year&lt;B23,"",SUM(C$7:$C23))</f>
        <v>0</v>
      </c>
      <c r="E23" s="267" t="e" cm="1">
        <f t="array" ref="E23">_xlfn.LET(
_xlpm.homes,INDEX(Homes_kwh,$B23-2006),
_xlpm.products,(SUM(INDEX(Toilets_kwh,$B23-2006),INDEX(Faucets_kwh,$B23-2006),INDEX(Faucet_Accessories_kwh,$B23-2006),INDEX(Urinals_kwh,$B23-2006),INDEX(Showerheads_kwh,$B23-2006),INDEX(WBICs_kwh,$B23-2006),INDEX(FV_Toilets_kwh,$B23-2006),INDEX(SMSs_kwh,$B23-2006),INDEX(SSBs_kwh,$B23-2006))),
IF(current_year&lt;$B23,"-",IF(partner_type="Builder",_xlpm.homes,IF(partner_type="Utility/District",_xlpm.homes+_xlpm.products,_xlpm.products)))
)</f>
        <v>#VALUE!</v>
      </c>
      <c r="F23" s="267" t="e">
        <f>IF(current_year&lt;B23,"",SUM($E$7:E23))</f>
        <v>#VALUE!</v>
      </c>
      <c r="G23" s="268" t="e" cm="1">
        <f t="array" ref="G23">_xlfn.LET(
_xlpm.homes,INDEX(Homes_co2,$B23-2006),
_xlpm.products,(SUM(INDEX(Toilets_co2,$B23-2006),INDEX(Faucets_co2,$B23-2006),INDEX(Faucet_Accessories_co2,$B23-2006),INDEX(Urinals_co2,$B23-2006),INDEX(Showerheads_co2,$B23-2006),INDEX(WBICs_co2,$B23-2006),INDEX(FV_Toilets_co2,$B23-2006),INDEX(SMSs_co2,$B23-2006),INDEX(SSBs_co2,$B23-2006))),IF(current_year&lt;$B23,"-",IF(partner_type="Builder",_xlpm.homes,IF(partner_type="Utility/District",_xlpm.homes+_xlpm.products,_xlpm.products)))
)</f>
        <v>#VALUE!</v>
      </c>
      <c r="H23" s="268" t="e">
        <f>IF(current_year&lt;B23,"",SUM($G$7:G23))</f>
        <v>#VALUE!</v>
      </c>
      <c r="I23" s="269" t="e" cm="1">
        <f t="array" ref="I23">_xlfn.LET(
_xlpm.homes,INDEX(Homes_usd,$B23-2006),
_xlpm.products,(SUM(INDEX(Toilets_USD,$B23-2006),INDEX(Faucets_USD,$B23-2006),INDEX(Faucet_Accessories_USD,$B23-2006),INDEX(Urinals_USD,$B23-2006),INDEX(Showerheads_USD,$B23-2006),INDEX(WBICs_USD,$B23-2006),INDEX(FV_Toilets_USD,$B23-2006),INDEX(SMSs_USD,$B23-2006),INDEX(SSBs_USD,$B23-2006))),
IF(current_year&lt;$B23,"-",IF(partner_type="Builder",_xlpm.homes,IF(partner_type="Utility/District",_xlpm.homes+_xlpm.products,_xlpm.products)))
)</f>
        <v>#VALUE!</v>
      </c>
      <c r="J23" s="270" t="e">
        <f>IF(current_year&lt;B23,"",SUM($I$7:I23))</f>
        <v>#VALUE!</v>
      </c>
      <c r="K23" s="64"/>
      <c r="L23" s="64"/>
      <c r="M23" s="63"/>
      <c r="N23" s="63"/>
      <c r="O23" s="63"/>
      <c r="P23" s="63"/>
      <c r="Q23" s="63"/>
      <c r="R23" s="63"/>
      <c r="S23" s="63"/>
      <c r="T23" s="63"/>
      <c r="U23" s="63"/>
      <c r="V23" s="63"/>
      <c r="W23" s="64"/>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row>
    <row r="24" spans="2:56" ht="15">
      <c r="B24" s="259">
        <v>2024</v>
      </c>
      <c r="C24" s="266" cm="1">
        <f t="array" ref="C24">IF(current_year&lt;$B24,"-",IF(partner_type="Builder",INDEX(Homes_h2o,$B24-2006),IF(partner_type="Utility/District",INDEX(Homes_h2o,$B24-2006)+INDEX(h2o_annual,B24-2006),INDEX(h2o_annual,B24-2006))))</f>
        <v>0</v>
      </c>
      <c r="D24" s="267">
        <f>IF(current_year&lt;B24,"",SUM(C$7:$C24))</f>
        <v>0</v>
      </c>
      <c r="E24" s="267" t="e" cm="1">
        <f t="array" ref="E24">_xlfn.LET(
_xlpm.homes,INDEX(Homes_kwh,$B24-2006),
_xlpm.products,(SUM(INDEX(Toilets_kwh,$B24-2006),INDEX(Faucets_kwh,$B24-2006),INDEX(Faucet_Accessories_kwh,$B24-2006),INDEX(Urinals_kwh,$B24-2006),INDEX(Showerheads_kwh,$B24-2006),INDEX(WBICs_kwh,$B24-2006),INDEX(FV_Toilets_kwh,$B24-2006),INDEX(SMSs_kwh,$B24-2006),INDEX(SSBs_kwh,$B24-2006))),
IF(current_year&lt;$B24,"-",IF(partner_type="Builder",_xlpm.homes,IF(partner_type="Utility/District",_xlpm.homes+_xlpm.products,_xlpm.products)))
)</f>
        <v>#VALUE!</v>
      </c>
      <c r="F24" s="267" t="e">
        <f>IF(current_year&lt;B24,"",SUM($E$7:E24))</f>
        <v>#VALUE!</v>
      </c>
      <c r="G24" s="268" t="e" cm="1">
        <f t="array" ref="G24">_xlfn.LET(
_xlpm.homes,INDEX(Homes_co2,$B24-2006),
_xlpm.products,(SUM(INDEX(Toilets_co2,$B24-2006),INDEX(Faucets_co2,$B24-2006),INDEX(Faucet_Accessories_co2,$B24-2006),INDEX(Urinals_co2,$B24-2006),INDEX(Showerheads_co2,$B24-2006),INDEX(WBICs_co2,$B24-2006),INDEX(FV_Toilets_co2,$B24-2006),INDEX(SMSs_co2,$B24-2006),INDEX(SSBs_co2,$B24-2006))),IF(current_year&lt;$B24,"-",IF(partner_type="Builder",_xlpm.homes,IF(partner_type="Utility/District",_xlpm.homes+_xlpm.products,_xlpm.products)))
)</f>
        <v>#VALUE!</v>
      </c>
      <c r="H24" s="268" t="e">
        <f>IF(current_year&lt;B24,"",SUM($G$7:G24))</f>
        <v>#VALUE!</v>
      </c>
      <c r="I24" s="269" t="e" cm="1">
        <f t="array" ref="I24">_xlfn.LET(
_xlpm.homes,INDEX(Homes_usd,$B24-2006),
_xlpm.products,(SUM(INDEX(Toilets_USD,$B24-2006),INDEX(Faucets_USD,$B24-2006),INDEX(Faucet_Accessories_USD,$B24-2006),INDEX(Urinals_USD,$B24-2006),INDEX(Showerheads_USD,$B24-2006),INDEX(WBICs_USD,$B24-2006),INDEX(FV_Toilets_USD,$B24-2006),INDEX(SMSs_USD,$B24-2006),INDEX(SSBs_USD,$B24-2006))),
IF(current_year&lt;$B24,"-",IF(partner_type="Builder",_xlpm.homes,IF(partner_type="Utility/District",_xlpm.homes+_xlpm.products,_xlpm.products)))
)</f>
        <v>#VALUE!</v>
      </c>
      <c r="J24" s="270" t="e">
        <f>IF(current_year&lt;B24,"",SUM($I$7:I24))</f>
        <v>#VALUE!</v>
      </c>
      <c r="K24" s="64"/>
      <c r="L24" s="64"/>
      <c r="M24" s="63"/>
      <c r="N24" s="63"/>
      <c r="O24" s="63"/>
      <c r="P24" s="63"/>
      <c r="Q24" s="63"/>
      <c r="R24" s="63"/>
      <c r="S24" s="63"/>
      <c r="T24" s="63"/>
      <c r="U24" s="63"/>
      <c r="V24" s="63"/>
      <c r="W24" s="64"/>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row>
    <row r="25" spans="2:56" ht="15" hidden="1">
      <c r="B25" s="259">
        <v>2025</v>
      </c>
      <c r="C25" s="266" t="str" cm="1">
        <f t="array" ref="C25">IF(current_year&lt;$B25,"-",IF(partner_type="Builder",INDEX(Homes_h2o,$B25-2006),INDEX(h2o_annual,B25-2006)))</f>
        <v>-</v>
      </c>
      <c r="D25" s="267" t="str">
        <f>IF(current_year&lt;B25,"",SUM(C$7:$C25))</f>
        <v/>
      </c>
      <c r="E25" s="267" t="str" cm="1">
        <f t="array" ref="E25">IF(current_year&lt;$B25,"-",IF(partner_type="Builder",INDEX(Homes_kwh,$B25-2006),(SUM(INDEX(Toilets_kwh,$B25-2006),INDEX(Faucets_kwh,$B25-2006),INDEX(Faucet_Accessories_kwh,$B25-2006),INDEX(Urinals_kwh,$B25-2006),INDEX(Showerheads_kwh,$B25-2006),INDEX(WBICs_kwh,$B25-2006),INDEX(FV_Toilets_kwh,$B25-2006),INDEX(SMSs_kwh,$B25-2006),INDEX(SSBs_kwh,$B25-2006)))))</f>
        <v>-</v>
      </c>
      <c r="F25" s="268" t="str">
        <f>IF(current_year&lt;B25,"",SUM($E$7:E25))</f>
        <v/>
      </c>
      <c r="G25" s="268" t="str" cm="1">
        <f t="array" ref="G25">IF(current_year&lt;$B25,"-",IF(partner_type="Builder",INDEX(Homes_co2,$B25-2006),(SUM(INDEX(Toilets_co2,$B25-2006),INDEX(Faucets_co2,$B25-2006),INDEX(Faucet_Accessories_co2,$B25-2006),INDEX(Urinals_co2,$B25-2006),INDEX(Showerheads_co2,$B25-2006),INDEX(WBICs_co2,$B25-2006),INDEX(FV_Toilets_co2,$B25-2006),INDEX(SMSs_co2,$B25-2006),INDEX(SSBs_co2,$B25-2006)))))</f>
        <v>-</v>
      </c>
      <c r="H25" s="268" t="str">
        <f>IF(current_year&lt;B25,"",SUM($G$7:G25))</f>
        <v/>
      </c>
      <c r="I25" s="269" t="str" cm="1">
        <f t="array" ref="I25">_xlfn.LET(
_xlpm.homes,INDEX(Homes_usd,$B25-2006),
_xlpm.products,(SUM(INDEX(Toilets_USD,$B25-2006),INDEX(Faucets_USD,$B25-2006),INDEX(Faucet_Accessories_USD,$B25-2006),INDEX(Urinals_USD,$B25-2006),INDEX(Showerheads_USD,$B25-2006),INDEX(WBICs_USD,$B25-2006),INDEX(FV_Toilets_USD,$B25-2006),INDEX(SMSs_USD,$B25-2006),INDEX(SSBs_USD,$B25-2006))),
IF(current_year&lt;$B25,"-",IF(partner_type="Builder",_xlpm.homes,IF(partner_type="Utility/District",_xlpm.homes+_xlpm.products,_xlpm.products)))
)</f>
        <v>-</v>
      </c>
      <c r="J25" s="270" t="str">
        <f>IF(current_year&lt;B25,"",SUM($I$7:I25))</f>
        <v/>
      </c>
      <c r="K25" s="64"/>
      <c r="L25" s="64"/>
      <c r="M25" s="63"/>
      <c r="N25" s="63"/>
      <c r="O25" s="63"/>
      <c r="P25" s="63"/>
      <c r="Q25" s="63"/>
      <c r="R25" s="63"/>
      <c r="S25" s="63"/>
      <c r="T25" s="63"/>
      <c r="U25" s="63"/>
      <c r="V25" s="63"/>
      <c r="W25" s="64"/>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row>
    <row r="26" spans="2:56" ht="15" hidden="1">
      <c r="B26" s="259">
        <v>2026</v>
      </c>
      <c r="C26" s="266" t="str" cm="1">
        <f t="array" ref="C26">IF(current_year&lt;$B26,"-",IF(partner_type="Builder",INDEX(Homes_h2o,$B26-2006),INDEX(h2o_annual,B26-2006)))</f>
        <v>-</v>
      </c>
      <c r="D26" s="267" t="str">
        <f>IF(current_year&lt;B26,"",SUM(C$7:$C26))</f>
        <v/>
      </c>
      <c r="E26" s="267" t="str" cm="1">
        <f t="array" ref="E26">IF(current_year&lt;$B26,"-",IF(partner_type="Builder",INDEX(Homes_kwh,$B26-2006),(SUM(INDEX(Toilets_kwh,$B26-2006),INDEX(Faucets_kwh,$B26-2006),INDEX(Faucet_Accessories_kwh,$B26-2006),INDEX(Urinals_kwh,$B26-2006),INDEX(Showerheads_kwh,$B26-2006),INDEX(WBICs_kwh,$B26-2006),INDEX(FV_Toilets_kwh,$B26-2006),INDEX(SMSs_kwh,$B26-2006),INDEX(SSBs_kwh,$B26-2006)))))</f>
        <v>-</v>
      </c>
      <c r="F26" s="268" t="str">
        <f>IF(current_year&lt;B26,"",SUM($E$7:E26))</f>
        <v/>
      </c>
      <c r="G26" s="268" t="str" cm="1">
        <f t="array" ref="G26">IF(current_year&lt;$B26,"-",IF(partner_type="Builder",INDEX(Homes_co2,$B26-2006),(SUM(INDEX(Toilets_co2,$B26-2006),INDEX(Faucets_co2,$B26-2006),INDEX(Faucet_Accessories_co2,$B26-2006),INDEX(Urinals_co2,$B26-2006),INDEX(Showerheads_co2,$B26-2006),INDEX(WBICs_co2,$B26-2006),INDEX(FV_Toilets_co2,$B26-2006),INDEX(SMSs_co2,$B26-2006),INDEX(SSBs_co2,$B26-2006)))))</f>
        <v>-</v>
      </c>
      <c r="H26" s="268" t="str">
        <f>IF(current_year&lt;B26,"",SUM($G$7:G26))</f>
        <v/>
      </c>
      <c r="I26" s="269" t="str" cm="1">
        <f t="array" ref="I26">_xlfn.LET(
_xlpm.homes,INDEX(Homes_usd,$B26-2006),
_xlpm.products,(SUM(INDEX(Toilets_USD,$B26-2006),INDEX(Faucets_USD,$B26-2006),INDEX(Faucet_Accessories_USD,$B26-2006),INDEX(Urinals_USD,$B26-2006),INDEX(Showerheads_USD,$B26-2006),INDEX(WBICs_USD,$B26-2006),INDEX(FV_Toilets_USD,$B26-2006),INDEX(SMSs_USD,$B26-2006),INDEX(SSBs_USD,$B26-2006))),
IF(current_year&lt;$B26,"-",IF(partner_type="Builder",_xlpm.homes,IF(partner_type="Utility/District",_xlpm.homes+_xlpm.products,_xlpm.products)))
)</f>
        <v>-</v>
      </c>
      <c r="J26" s="270" t="str">
        <f>IF(current_year&lt;B26,"",SUM($I$7:I26))</f>
        <v/>
      </c>
      <c r="K26" s="63"/>
      <c r="L26" s="64"/>
      <c r="M26" s="63"/>
      <c r="N26" s="63"/>
      <c r="O26" s="63"/>
      <c r="P26" s="63"/>
      <c r="Q26" s="63"/>
      <c r="R26" s="63"/>
      <c r="S26" s="63"/>
      <c r="T26" s="63"/>
      <c r="U26" s="63"/>
      <c r="V26" s="63"/>
      <c r="W26" s="64"/>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row>
    <row r="27" spans="2:56" ht="15" hidden="1">
      <c r="B27" s="259">
        <v>2027</v>
      </c>
      <c r="C27" s="266" t="str" cm="1">
        <f t="array" ref="C27">IF(current_year&lt;$B27,"-",IF(partner_type="Builder",INDEX(Homes_h2o,$B27-2006),INDEX(h2o_annual,B27-2006)))</f>
        <v>-</v>
      </c>
      <c r="D27" s="267" t="str">
        <f>IF(current_year&lt;B27,"",SUM(C$7:$C27))</f>
        <v/>
      </c>
      <c r="E27" s="267" t="str" cm="1">
        <f t="array" ref="E27">IF(current_year&lt;$B27,"-",IF(partner_type="Builder",INDEX(Homes_kwh,$B27-2006),(SUM(INDEX(Toilets_kwh,$B27-2006),INDEX(Faucets_kwh,$B27-2006),INDEX(Faucet_Accessories_kwh,$B27-2006),INDEX(Urinals_kwh,$B27-2006),INDEX(Showerheads_kwh,$B27-2006),INDEX(WBICs_kwh,$B27-2006),INDEX(FV_Toilets_kwh,$B27-2006),INDEX(SMSs_kwh,$B27-2006),INDEX(SSBs_kwh,$B27-2006)))))</f>
        <v>-</v>
      </c>
      <c r="F27" s="268" t="str">
        <f>IF(current_year&lt;B27,"",SUM($E$7:E27))</f>
        <v/>
      </c>
      <c r="G27" s="268" t="str" cm="1">
        <f t="array" ref="G27">IF(current_year&lt;$B27,"-",IF(partner_type="Builder",INDEX(Homes_co2,$B27-2006),(SUM(INDEX(Toilets_co2,$B27-2006),INDEX(Faucets_co2,$B27-2006),INDEX(Faucet_Accessories_co2,$B27-2006),INDEX(Urinals_co2,$B27-2006),INDEX(Showerheads_co2,$B27-2006),INDEX(WBICs_co2,$B27-2006),INDEX(FV_Toilets_co2,$B27-2006),INDEX(SMSs_co2,$B27-2006),INDEX(SSBs_co2,$B27-2006)))))</f>
        <v>-</v>
      </c>
      <c r="H27" s="268" t="str">
        <f>IF(current_year&lt;B27,"",SUM($G$7:G27))</f>
        <v/>
      </c>
      <c r="I27" s="269" t="str" cm="1">
        <f t="array" ref="I27">_xlfn.LET(
_xlpm.homes,INDEX(Homes_usd,$B27-2006),
_xlpm.products,(SUM(INDEX(Toilets_USD,$B27-2006),INDEX(Faucets_USD,$B27-2006),INDEX(Faucet_Accessories_USD,$B27-2006),INDEX(Urinals_USD,$B27-2006),INDEX(Showerheads_USD,$B27-2006),INDEX(WBICs_USD,$B27-2006),INDEX(FV_Toilets_USD,$B27-2006),INDEX(SMSs_USD,$B27-2006),INDEX(SSBs_USD,$B27-2006))),
IF(current_year&lt;$B27,"-",IF(partner_type="Builder",_xlpm.homes,IF(partner_type="Utility/District",_xlpm.homes+_xlpm.products,_xlpm.products)))
)</f>
        <v>-</v>
      </c>
      <c r="J27" s="270" t="str">
        <f>IF(current_year&lt;B27,"",SUM($I$7:I27))</f>
        <v/>
      </c>
      <c r="K27" s="63"/>
      <c r="L27" s="64"/>
      <c r="M27" s="63"/>
      <c r="N27" s="63"/>
      <c r="O27" s="63"/>
      <c r="P27" s="63"/>
      <c r="Q27" s="63"/>
      <c r="R27" s="63"/>
      <c r="S27" s="63"/>
      <c r="T27" s="63"/>
      <c r="U27" s="63"/>
      <c r="V27" s="63"/>
      <c r="W27" s="64"/>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row>
    <row r="28" spans="2:56" ht="15" hidden="1">
      <c r="B28" s="259">
        <v>2028</v>
      </c>
      <c r="C28" s="266" t="str" cm="1">
        <f t="array" ref="C28">IF(current_year&lt;$B28,"-",IF(partner_type="Builder",INDEX(Homes_h2o,$B28-2006),INDEX(h2o_annual,B28-2006)))</f>
        <v>-</v>
      </c>
      <c r="D28" s="267" t="str">
        <f>IF(current_year&lt;B28,"",SUM(C$7:$C28))</f>
        <v/>
      </c>
      <c r="E28" s="267" t="str" cm="1">
        <f t="array" ref="E28">IF(current_year&lt;$B28,"-",IF(partner_type="Builder",INDEX(Homes_kwh,$B28-2006),(SUM(INDEX(Toilets_kwh,$B28-2006),INDEX(Faucets_kwh,$B28-2006),INDEX(Faucet_Accessories_kwh,$B28-2006),INDEX(Urinals_kwh,$B28-2006),INDEX(Showerheads_kwh,$B28-2006),INDEX(WBICs_kwh,$B28-2006),INDEX(FV_Toilets_kwh,$B28-2006),INDEX(SMSs_kwh,$B28-2006),INDEX(SSBs_kwh,$B28-2006)))))</f>
        <v>-</v>
      </c>
      <c r="F28" s="268" t="str">
        <f>IF(current_year&lt;B28,"",SUM($E$7:E28))</f>
        <v/>
      </c>
      <c r="G28" s="268" t="str" cm="1">
        <f t="array" ref="G28">IF(current_year&lt;$B28,"-",IF(partner_type="Builder",INDEX(Homes_co2,$B28-2006),(SUM(INDEX(Toilets_co2,$B28-2006),INDEX(Faucets_co2,$B28-2006),INDEX(Faucet_Accessories_co2,$B28-2006),INDEX(Urinals_co2,$B28-2006),INDEX(Showerheads_co2,$B28-2006),INDEX(WBICs_co2,$B28-2006),INDEX(FV_Toilets_co2,$B28-2006),INDEX(SMSs_co2,$B28-2006),INDEX(SSBs_co2,$B28-2006)))))</f>
        <v>-</v>
      </c>
      <c r="H28" s="268" t="str">
        <f>IF(current_year&lt;B28,"",SUM($G$7:G28))</f>
        <v/>
      </c>
      <c r="I28" s="269" t="str" cm="1">
        <f t="array" ref="I28">_xlfn.LET(
_xlpm.homes,INDEX(Homes_usd,$B28-2006),
_xlpm.products,(SUM(INDEX(Toilets_USD,$B28-2006),INDEX(Faucets_USD,$B28-2006),INDEX(Faucet_Accessories_USD,$B28-2006),INDEX(Urinals_USD,$B28-2006),INDEX(Showerheads_USD,$B28-2006),INDEX(WBICs_USD,$B28-2006),INDEX(FV_Toilets_USD,$B28-2006),INDEX(SMSs_USD,$B28-2006),INDEX(SSBs_USD,$B28-2006))),
IF(current_year&lt;$B28,"-",IF(partner_type="Builder",_xlpm.homes,IF(partner_type="Utility/District",_xlpm.homes+_xlpm.products,_xlpm.products)))
)</f>
        <v>-</v>
      </c>
      <c r="J28" s="270" t="str">
        <f>IF(current_year&lt;B28,"",SUM($I$7:I28))</f>
        <v/>
      </c>
      <c r="K28" s="63"/>
      <c r="L28" s="64"/>
      <c r="M28" s="63"/>
      <c r="N28" s="63"/>
      <c r="O28" s="63"/>
      <c r="P28" s="63"/>
      <c r="Q28" s="63"/>
      <c r="R28" s="63"/>
      <c r="S28" s="63"/>
      <c r="T28" s="63"/>
      <c r="U28" s="63"/>
      <c r="V28" s="63"/>
      <c r="W28" s="64"/>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row>
    <row r="29" spans="2:56" ht="15" hidden="1">
      <c r="B29" s="259">
        <v>2029</v>
      </c>
      <c r="C29" s="266" t="str" cm="1">
        <f t="array" ref="C29">IF(current_year&lt;$B29,"-",IF(partner_type="Builder",INDEX(Homes_h2o,$B29-2006),INDEX(h2o_annual,B29-2006)))</f>
        <v>-</v>
      </c>
      <c r="D29" s="267" t="str">
        <f>IF(current_year&lt;B29,"",SUM(C$7:$C29))</f>
        <v/>
      </c>
      <c r="E29" s="267" t="str" cm="1">
        <f t="array" ref="E29">IF(current_year&lt;$B29,"-",IF(partner_type="Builder",INDEX(Homes_kwh,$B29-2006),(SUM(INDEX(Toilets_kwh,$B29-2006),INDEX(Faucets_kwh,$B29-2006),INDEX(Faucet_Accessories_kwh,$B29-2006),INDEX(Urinals_kwh,$B29-2006),INDEX(Showerheads_kwh,$B29-2006),INDEX(WBICs_kwh,$B29-2006),INDEX(FV_Toilets_kwh,$B29-2006),INDEX(SMSs_kwh,$B29-2006),INDEX(SSBs_kwh,$B29-2006)))))</f>
        <v>-</v>
      </c>
      <c r="F29" s="268" t="str">
        <f>IF(current_year&lt;B29,"",SUM($E$7:E29))</f>
        <v/>
      </c>
      <c r="G29" s="268" t="str" cm="1">
        <f t="array" ref="G29">IF(current_year&lt;$B29,"-",IF(partner_type="Builder",INDEX(Homes_co2,$B29-2006),(SUM(INDEX(Toilets_co2,$B29-2006),INDEX(Faucets_co2,$B29-2006),INDEX(Faucet_Accessories_co2,$B29-2006),INDEX(Urinals_co2,$B29-2006),INDEX(Showerheads_co2,$B29-2006),INDEX(WBICs_co2,$B29-2006),INDEX(FV_Toilets_co2,$B29-2006),INDEX(SMSs_co2,$B29-2006),INDEX(SSBs_co2,$B29-2006)))))</f>
        <v>-</v>
      </c>
      <c r="H29" s="268" t="str">
        <f>IF(current_year&lt;B29,"",SUM($G$7:G29))</f>
        <v/>
      </c>
      <c r="I29" s="269" t="str" cm="1">
        <f t="array" ref="I29">_xlfn.LET(
_xlpm.homes,INDEX(Homes_usd,$B29-2006),
_xlpm.products,(SUM(INDEX(Toilets_USD,$B29-2006),INDEX(Faucets_USD,$B29-2006),INDEX(Faucet_Accessories_USD,$B29-2006),INDEX(Urinals_USD,$B29-2006),INDEX(Showerheads_USD,$B29-2006),INDEX(WBICs_USD,$B29-2006),INDEX(FV_Toilets_USD,$B29-2006),INDEX(SMSs_USD,$B29-2006),INDEX(SSBs_USD,$B29-2006))),
IF(current_year&lt;$B29,"-",IF(partner_type="Builder",_xlpm.homes,IF(partner_type="Utility/District",_xlpm.homes+_xlpm.products,_xlpm.products)))
)</f>
        <v>-</v>
      </c>
      <c r="J29" s="270" t="str">
        <f>IF(current_year&lt;B29,"",SUM($I$7:I29))</f>
        <v/>
      </c>
      <c r="K29" s="64"/>
      <c r="L29" s="64"/>
      <c r="M29" s="63"/>
      <c r="N29" s="63"/>
      <c r="O29" s="63"/>
      <c r="P29" s="63"/>
      <c r="Q29" s="63"/>
      <c r="R29" s="63"/>
      <c r="S29" s="63"/>
      <c r="T29" s="63"/>
      <c r="U29" s="63"/>
      <c r="V29" s="63"/>
      <c r="W29" s="64"/>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row>
    <row r="30" spans="2:56" ht="15.75" hidden="1" thickBot="1">
      <c r="B30" s="259">
        <v>2030</v>
      </c>
      <c r="C30" s="271" t="str" cm="1">
        <f t="array" ref="C30">IF(current_year&lt;$B30,"-",IF(partner_type="Builder",INDEX(Homes_h2o,$B30-2006),INDEX(h2o_annual,B30-2006)*10^-6))</f>
        <v>-</v>
      </c>
      <c r="D30" s="272" t="str">
        <f>IF(current_year&lt;B30,"",SUM(C$7:$E30))</f>
        <v/>
      </c>
      <c r="E30" s="272" t="str" cm="1">
        <f t="array" ref="E30">IF(current_year&lt;$B30,"-",IF(partner_type="Builder",INDEX(Homes_kwh,$B30-2006),(SUM(INDEX(Toilets_kwh,$B30-2006),INDEX(Faucets_kwh,$B30-2006),INDEX(Faucet_Accessories_kwh,$B30-2006),INDEX(Urinals_kwh,$B30-2006),INDEX(Showerheads_kwh,$B30-2006),INDEX(WBICs_kwh,$B30-2006),INDEX(FV_Toilets_kwh,$B30-2006),INDEX(SMSs_kwh,$B30-2006),INDEX(SSBs_kwh,$B30-2006)))))</f>
        <v>-</v>
      </c>
      <c r="F30" s="273" t="str">
        <f>IF(current_year&lt;B30,"",SUM($E$7:E30))</f>
        <v/>
      </c>
      <c r="G30" s="273" t="str" cm="1">
        <f t="array" ref="G30">IF(current_year&lt;$B30,"-",IF(partner_type="Builder",INDEX(Homes_co2,$B30-2006),(SUM(INDEX(Toilets_co2,$B30-2006),INDEX(Faucets_co2,$B30-2006),INDEX(Faucet_Accessories_co2,$B30-2006),INDEX(Urinals_co2,$B30-2006),INDEX(Showerheads_co2,$B30-2006),INDEX(WBICs_co2,$B30-2006),INDEX(FV_Toilets_co2,$B30-2006),INDEX(SMSs_co2,$B30-2006),INDEX(SSBs_co2,$B30-2006)))))</f>
        <v>-</v>
      </c>
      <c r="H30" s="273" t="str">
        <f>IF(current_year&lt;B30,"",SUM($G$7:G30))</f>
        <v/>
      </c>
      <c r="I30" s="274" t="str" cm="1">
        <f t="array" ref="I30">IF(current_year&lt;$B30,"-",IF(partner_type="Builder",INDEX(Homes_usd,$B30-2006),(SUM(INDEX(Toilets_USD,$B30-2006),INDEX(Faucets_USD,$B30-2006),INDEX(Faucet_Accessories_USD,$B30-2006),INDEX(Urinals_USD,$B30-2006),INDEX(Showerheads_USD,$B30-2006),INDEX(WBICs_USD,$B30-2006),INDEX(FV_Toilets_USD,$B30-2006),INDEX(SMSs_USD,$B30-2006),INDEX(SSBs_USD,$B30-2006)))))</f>
        <v>-</v>
      </c>
      <c r="J30" s="275" t="str">
        <f>IF(current_year&lt;B30,"",SUM($I$7:I30))</f>
        <v/>
      </c>
      <c r="K30" s="64"/>
      <c r="L30" s="64"/>
      <c r="M30" s="63"/>
      <c r="N30" s="63"/>
      <c r="O30" s="63"/>
      <c r="P30" s="63"/>
      <c r="Q30" s="63"/>
      <c r="R30" s="63"/>
      <c r="S30" s="63"/>
      <c r="T30" s="63"/>
      <c r="U30" s="63"/>
      <c r="V30" s="63"/>
      <c r="W30" s="64"/>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row>
    <row r="31" spans="2:56" ht="12" customHeight="1">
      <c r="B31" s="63"/>
      <c r="C31" s="63"/>
      <c r="D31" s="63"/>
      <c r="E31" s="146"/>
      <c r="F31" s="64"/>
      <c r="G31" s="155"/>
      <c r="H31" s="64"/>
      <c r="I31" s="146"/>
      <c r="J31" s="146"/>
      <c r="K31" s="146"/>
      <c r="L31" s="146"/>
      <c r="M31" s="63"/>
      <c r="N31" s="63"/>
      <c r="O31" s="63"/>
      <c r="P31" s="63"/>
      <c r="Q31" s="63"/>
      <c r="R31" s="63"/>
      <c r="S31" s="63"/>
      <c r="T31" s="63"/>
      <c r="U31" s="63"/>
      <c r="V31" s="63"/>
      <c r="W31" s="63"/>
      <c r="X31" s="63"/>
      <c r="Y31" s="64"/>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row>
    <row r="32" spans="2:56" ht="12" customHeight="1">
      <c r="B32" s="63"/>
      <c r="C32" s="63"/>
      <c r="D32" s="63"/>
      <c r="E32" s="63"/>
      <c r="F32" s="63"/>
      <c r="G32" s="63"/>
      <c r="H32" s="63"/>
      <c r="I32" s="63"/>
      <c r="J32" s="63"/>
      <c r="K32" s="63"/>
      <c r="L32" s="63"/>
      <c r="M32" s="63"/>
      <c r="N32" s="63"/>
      <c r="O32" s="63"/>
      <c r="P32" s="63"/>
      <c r="Q32" s="63"/>
      <c r="R32" s="63"/>
      <c r="S32" s="63"/>
      <c r="T32" s="63"/>
      <c r="U32" s="63"/>
      <c r="V32" s="63"/>
      <c r="W32" s="63"/>
      <c r="X32" s="63"/>
      <c r="Y32" s="64"/>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row>
    <row r="33" spans="2:56" ht="12" customHeight="1">
      <c r="B33" s="63"/>
      <c r="C33" s="63"/>
      <c r="D33" s="63"/>
      <c r="E33" s="316"/>
      <c r="F33" s="63"/>
      <c r="G33" s="63"/>
      <c r="H33" s="63"/>
      <c r="I33" s="63"/>
      <c r="J33" s="63"/>
      <c r="K33" s="63"/>
      <c r="L33" s="63"/>
      <c r="M33" s="63"/>
      <c r="N33" s="63"/>
      <c r="O33" s="63"/>
      <c r="P33" s="63"/>
      <c r="Q33" s="63"/>
      <c r="R33" s="63"/>
      <c r="S33" s="63"/>
      <c r="T33" s="63"/>
      <c r="U33" s="63"/>
      <c r="V33" s="63"/>
      <c r="W33" s="63"/>
      <c r="X33" s="63"/>
      <c r="Y33" s="64"/>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row>
    <row r="34" spans="2:56" ht="12" customHeight="1">
      <c r="B34" s="63"/>
      <c r="C34" s="63"/>
      <c r="D34" s="63"/>
      <c r="E34" s="63"/>
      <c r="F34" s="63"/>
      <c r="G34" s="63"/>
      <c r="H34" s="63"/>
      <c r="I34" s="63"/>
      <c r="J34" s="63"/>
      <c r="K34" s="63"/>
      <c r="L34" s="63"/>
      <c r="M34" s="63"/>
      <c r="N34" s="63"/>
      <c r="O34" s="63"/>
      <c r="P34" s="63"/>
      <c r="Q34" s="63"/>
      <c r="R34" s="63"/>
      <c r="S34" s="63"/>
      <c r="T34" s="63"/>
      <c r="U34" s="63"/>
      <c r="V34" s="63"/>
      <c r="W34" s="63"/>
      <c r="X34" s="63"/>
      <c r="Y34" s="64"/>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row>
    <row r="35" spans="2:56" ht="12" customHeight="1">
      <c r="B35" s="63"/>
      <c r="C35" s="63"/>
      <c r="D35" s="63"/>
      <c r="E35" s="63"/>
      <c r="F35" s="63"/>
      <c r="G35" s="63"/>
      <c r="H35" s="63"/>
      <c r="I35" s="63"/>
      <c r="J35" s="63"/>
      <c r="K35" s="63"/>
      <c r="L35" s="63"/>
      <c r="M35" s="63"/>
      <c r="N35" s="63"/>
      <c r="O35" s="63"/>
      <c r="P35" s="63"/>
      <c r="Q35" s="63"/>
      <c r="R35" s="63"/>
      <c r="S35" s="63"/>
      <c r="T35" s="63"/>
      <c r="U35" s="63"/>
      <c r="V35" s="63"/>
      <c r="W35" s="63"/>
      <c r="X35" s="63"/>
      <c r="Y35" s="64"/>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row>
    <row r="36" spans="2:56" ht="12" customHeight="1">
      <c r="B36" s="63"/>
      <c r="C36" s="63"/>
      <c r="D36" s="63"/>
      <c r="E36" s="63"/>
      <c r="F36" s="63"/>
      <c r="G36" s="63"/>
      <c r="H36" s="63"/>
      <c r="I36" s="63"/>
      <c r="J36" s="63"/>
      <c r="K36" s="63"/>
      <c r="L36" s="63"/>
      <c r="M36" s="63"/>
      <c r="N36" s="63"/>
      <c r="O36" s="63"/>
      <c r="P36" s="63"/>
      <c r="Q36" s="63"/>
      <c r="R36" s="63"/>
      <c r="S36" s="63"/>
      <c r="T36" s="63"/>
      <c r="U36" s="63"/>
      <c r="V36" s="63"/>
      <c r="W36" s="63"/>
      <c r="X36" s="63"/>
      <c r="Y36" s="64"/>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row>
    <row r="37" spans="2:56" ht="12" customHeight="1">
      <c r="B37" s="63"/>
      <c r="C37" s="63"/>
      <c r="D37" s="63"/>
      <c r="E37" s="63"/>
      <c r="F37" s="63"/>
      <c r="G37" s="63"/>
      <c r="H37" s="63"/>
      <c r="I37" s="63"/>
      <c r="J37" s="63"/>
      <c r="K37" s="63"/>
      <c r="L37" s="63"/>
      <c r="M37" s="63"/>
      <c r="N37" s="63"/>
      <c r="O37" s="63"/>
      <c r="P37" s="63"/>
      <c r="Q37" s="63"/>
      <c r="R37" s="63"/>
      <c r="S37" s="63"/>
      <c r="T37" s="63"/>
      <c r="U37" s="63"/>
      <c r="V37" s="63"/>
      <c r="W37" s="63"/>
      <c r="X37" s="63"/>
      <c r="Y37" s="64"/>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row>
    <row r="38" spans="2:56" ht="12" customHeight="1">
      <c r="B38" s="63"/>
      <c r="C38" s="63"/>
      <c r="D38" s="63"/>
      <c r="E38" s="63"/>
      <c r="F38" s="63"/>
      <c r="G38" s="63"/>
      <c r="H38" s="63"/>
      <c r="I38" s="63"/>
      <c r="J38" s="63"/>
      <c r="K38" s="63"/>
      <c r="L38" s="63"/>
      <c r="M38" s="63"/>
      <c r="N38" s="63"/>
      <c r="O38" s="63"/>
      <c r="P38" s="63"/>
      <c r="Q38" s="63"/>
      <c r="R38" s="63"/>
      <c r="S38" s="63"/>
      <c r="T38" s="63"/>
      <c r="U38" s="63"/>
      <c r="V38" s="63"/>
      <c r="W38" s="63"/>
      <c r="X38" s="63"/>
      <c r="Y38" s="64"/>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row>
    <row r="39" spans="2:56" ht="12" customHeight="1">
      <c r="B39" s="63"/>
      <c r="C39" s="63"/>
      <c r="D39" s="63"/>
      <c r="E39" s="63"/>
      <c r="F39" s="63"/>
      <c r="G39" s="63"/>
      <c r="H39" s="63"/>
      <c r="I39" s="63"/>
      <c r="J39" s="63"/>
      <c r="K39" s="63"/>
      <c r="L39" s="63"/>
      <c r="M39" s="63"/>
      <c r="N39" s="63"/>
      <c r="O39" s="63"/>
      <c r="P39" s="63"/>
      <c r="Q39" s="63"/>
      <c r="R39" s="63"/>
      <c r="S39" s="63"/>
      <c r="T39" s="63"/>
      <c r="U39" s="63"/>
      <c r="V39" s="63"/>
      <c r="W39" s="63"/>
      <c r="X39" s="63"/>
      <c r="Y39" s="64"/>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row>
    <row r="40" spans="2:56" ht="12" customHeight="1">
      <c r="B40" s="63"/>
      <c r="C40" s="63"/>
      <c r="D40" s="63"/>
      <c r="E40" s="63"/>
      <c r="F40" s="63"/>
      <c r="G40" s="63"/>
      <c r="H40" s="63"/>
      <c r="I40" s="63"/>
      <c r="J40" s="63"/>
      <c r="K40" s="63"/>
      <c r="L40" s="63"/>
      <c r="M40" s="63"/>
      <c r="N40" s="63"/>
      <c r="O40" s="63"/>
      <c r="P40" s="63"/>
      <c r="Q40" s="63"/>
      <c r="R40" s="63"/>
      <c r="S40" s="63"/>
      <c r="T40" s="63"/>
      <c r="U40" s="63"/>
      <c r="V40" s="63"/>
      <c r="W40" s="63"/>
      <c r="X40" s="63"/>
      <c r="Y40" s="64"/>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row>
    <row r="41" spans="2:56" ht="27" customHeight="1">
      <c r="B41" s="63"/>
      <c r="C41" s="63"/>
      <c r="D41" s="63"/>
      <c r="E41" s="63"/>
      <c r="F41" s="63"/>
      <c r="G41" s="63"/>
      <c r="H41" s="63"/>
      <c r="I41" s="63"/>
      <c r="J41" s="63"/>
      <c r="K41" s="63"/>
      <c r="L41" s="63"/>
      <c r="M41" s="63"/>
      <c r="N41" s="63"/>
      <c r="O41" s="63"/>
      <c r="P41" s="63"/>
      <c r="Q41" s="63"/>
      <c r="R41" s="63"/>
      <c r="S41" s="63"/>
      <c r="T41" s="63"/>
      <c r="U41" s="63"/>
      <c r="V41" s="63"/>
      <c r="W41" s="63"/>
      <c r="X41" s="63"/>
      <c r="Y41" s="64"/>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row>
    <row r="42" spans="2:56" ht="12" customHeight="1">
      <c r="B42" s="63"/>
      <c r="C42" s="63"/>
      <c r="D42" s="63"/>
      <c r="E42" s="63"/>
      <c r="F42" s="63"/>
      <c r="G42" s="63"/>
      <c r="H42" s="63"/>
      <c r="I42" s="63"/>
      <c r="J42" s="63"/>
      <c r="K42" s="63"/>
      <c r="L42" s="63"/>
      <c r="M42" s="63"/>
      <c r="N42" s="63"/>
      <c r="O42" s="63"/>
      <c r="P42" s="63"/>
      <c r="Q42" s="63"/>
      <c r="R42" s="63"/>
      <c r="S42" s="63"/>
      <c r="T42" s="63"/>
      <c r="U42" s="63"/>
      <c r="V42" s="63"/>
      <c r="W42" s="63"/>
      <c r="X42" s="63"/>
      <c r="Y42" s="64"/>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row>
    <row r="43" spans="2:56" ht="12" customHeight="1">
      <c r="B43" s="63"/>
      <c r="C43" s="63"/>
      <c r="D43" s="63"/>
      <c r="E43" s="63"/>
      <c r="F43" s="63"/>
      <c r="G43" s="63"/>
      <c r="H43" s="63"/>
      <c r="I43" s="63"/>
      <c r="J43" s="63"/>
      <c r="K43" s="63"/>
      <c r="L43" s="63"/>
      <c r="M43" s="63"/>
      <c r="N43" s="63"/>
      <c r="O43" s="63"/>
      <c r="P43" s="63"/>
      <c r="Q43" s="63"/>
      <c r="R43" s="63"/>
      <c r="S43" s="63"/>
      <c r="T43" s="63"/>
      <c r="U43" s="63"/>
      <c r="V43" s="63"/>
      <c r="W43" s="63"/>
      <c r="X43" s="63"/>
      <c r="Y43" s="64"/>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row>
    <row r="44" spans="2:56" ht="12" customHeight="1">
      <c r="B44" s="63"/>
      <c r="C44" s="63"/>
      <c r="D44" s="63"/>
      <c r="E44" s="63"/>
      <c r="F44" s="63"/>
      <c r="G44" s="63"/>
      <c r="H44" s="63"/>
      <c r="I44" s="63"/>
      <c r="J44" s="63"/>
      <c r="K44" s="63"/>
      <c r="L44" s="63"/>
      <c r="M44" s="63"/>
      <c r="N44" s="63"/>
      <c r="O44" s="63"/>
      <c r="P44" s="63"/>
      <c r="Q44" s="63"/>
      <c r="R44" s="63"/>
      <c r="S44" s="63"/>
      <c r="T44" s="63"/>
      <c r="U44" s="63"/>
      <c r="V44" s="63"/>
      <c r="W44" s="63"/>
      <c r="X44" s="63"/>
      <c r="Y44" s="64"/>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row>
    <row r="45" spans="2:56" ht="12" customHeight="1">
      <c r="B45" s="63"/>
      <c r="C45" s="63"/>
      <c r="D45" s="63"/>
      <c r="E45" s="63"/>
      <c r="F45" s="63"/>
      <c r="G45" s="63"/>
      <c r="H45" s="63"/>
      <c r="I45" s="63"/>
      <c r="J45" s="63"/>
      <c r="K45" s="63"/>
      <c r="L45" s="63"/>
      <c r="M45" s="63"/>
      <c r="N45" s="63"/>
      <c r="O45" s="63"/>
      <c r="P45" s="63"/>
      <c r="Q45" s="63"/>
      <c r="R45" s="63"/>
      <c r="S45" s="63"/>
      <c r="T45" s="63"/>
      <c r="U45" s="63"/>
      <c r="V45" s="63"/>
      <c r="W45" s="63"/>
      <c r="X45" s="63"/>
      <c r="Y45" s="64"/>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row>
    <row r="46" spans="2:56" ht="12" customHeight="1">
      <c r="B46" s="63"/>
      <c r="C46" s="63"/>
      <c r="D46" s="63"/>
      <c r="E46" s="63"/>
      <c r="F46" s="63"/>
      <c r="G46" s="63"/>
      <c r="H46" s="63"/>
      <c r="I46" s="63"/>
      <c r="J46" s="63"/>
      <c r="K46" s="63"/>
      <c r="L46" s="63"/>
      <c r="M46" s="63"/>
      <c r="N46" s="63"/>
      <c r="O46" s="63"/>
      <c r="P46" s="63"/>
      <c r="Q46" s="63"/>
      <c r="R46" s="63"/>
      <c r="S46" s="63"/>
      <c r="T46" s="63"/>
      <c r="U46" s="63"/>
      <c r="V46" s="63"/>
      <c r="W46" s="63"/>
      <c r="X46" s="63"/>
      <c r="Y46" s="64"/>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row>
    <row r="47" spans="2:56" ht="12" customHeight="1">
      <c r="B47" s="63"/>
      <c r="C47" s="63"/>
      <c r="D47" s="63"/>
      <c r="E47" s="63"/>
      <c r="F47" s="63"/>
      <c r="G47" s="63"/>
      <c r="H47" s="63"/>
      <c r="I47" s="63"/>
      <c r="J47" s="63"/>
      <c r="K47" s="63"/>
      <c r="L47" s="63"/>
      <c r="M47" s="63"/>
      <c r="N47" s="63"/>
      <c r="O47" s="63"/>
      <c r="P47" s="63"/>
      <c r="Q47" s="63"/>
      <c r="R47" s="63"/>
      <c r="S47" s="63"/>
      <c r="T47" s="63"/>
      <c r="U47" s="63"/>
      <c r="V47" s="63"/>
      <c r="W47" s="63"/>
      <c r="X47" s="63"/>
      <c r="Y47" s="64"/>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row>
    <row r="48" spans="2:56" ht="12" customHeight="1">
      <c r="B48" s="63"/>
      <c r="C48" s="63"/>
      <c r="D48" s="63"/>
      <c r="E48" s="63"/>
      <c r="F48" s="63"/>
      <c r="G48" s="63"/>
      <c r="H48" s="63"/>
      <c r="I48" s="63"/>
      <c r="J48" s="63"/>
      <c r="K48" s="63"/>
      <c r="L48" s="63"/>
      <c r="M48" s="63"/>
      <c r="N48" s="63"/>
      <c r="O48" s="63"/>
      <c r="P48" s="63"/>
      <c r="Q48" s="63"/>
      <c r="R48" s="63"/>
      <c r="S48" s="63"/>
      <c r="T48" s="63"/>
      <c r="U48" s="63"/>
      <c r="V48" s="63"/>
      <c r="W48" s="63"/>
      <c r="X48" s="63"/>
      <c r="Y48" s="64"/>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row>
    <row r="49" spans="2:56" ht="12" customHeight="1">
      <c r="B49" s="63"/>
      <c r="C49" s="63"/>
      <c r="D49" s="63"/>
      <c r="E49" s="63"/>
      <c r="F49" s="63"/>
      <c r="G49" s="63"/>
      <c r="H49" s="63"/>
      <c r="I49" s="63"/>
      <c r="J49" s="63"/>
      <c r="K49" s="63"/>
      <c r="L49" s="63"/>
      <c r="M49" s="63"/>
      <c r="N49" s="63"/>
      <c r="O49" s="63"/>
      <c r="P49" s="63"/>
      <c r="Q49" s="63"/>
      <c r="R49" s="63"/>
      <c r="S49" s="63"/>
      <c r="T49" s="63"/>
      <c r="U49" s="63"/>
      <c r="V49" s="63"/>
      <c r="W49" s="63"/>
      <c r="X49" s="63"/>
      <c r="Y49" s="64"/>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row>
    <row r="50" spans="2:56">
      <c r="B50" s="63"/>
      <c r="C50" s="63"/>
      <c r="D50" s="63"/>
      <c r="E50" s="63"/>
      <c r="F50" s="63"/>
      <c r="G50" s="63"/>
      <c r="H50" s="63"/>
      <c r="I50" s="63"/>
      <c r="J50" s="63"/>
      <c r="K50" s="63"/>
      <c r="L50" s="63"/>
      <c r="M50" s="63"/>
      <c r="N50" s="63"/>
      <c r="O50" s="63"/>
      <c r="P50" s="63"/>
      <c r="Q50" s="63"/>
      <c r="R50" s="63"/>
      <c r="S50" s="63"/>
      <c r="T50" s="63"/>
      <c r="U50" s="63"/>
      <c r="V50" s="63"/>
      <c r="W50" s="63"/>
      <c r="X50" s="63"/>
      <c r="Y50" s="64"/>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row>
    <row r="51" spans="2:56">
      <c r="B51" s="63"/>
      <c r="C51" s="63"/>
      <c r="D51" s="63"/>
      <c r="E51" s="63"/>
      <c r="F51" s="63"/>
      <c r="G51" s="63"/>
      <c r="H51" s="63"/>
      <c r="I51" s="63"/>
      <c r="J51" s="63"/>
      <c r="K51" s="63"/>
      <c r="L51" s="63"/>
      <c r="M51" s="63"/>
      <c r="N51" s="63"/>
      <c r="O51" s="63"/>
      <c r="P51" s="63"/>
      <c r="Q51" s="63"/>
      <c r="R51" s="63"/>
      <c r="S51" s="63"/>
      <c r="T51" s="63"/>
      <c r="U51" s="63"/>
      <c r="V51" s="63"/>
      <c r="W51" s="63"/>
      <c r="X51" s="63"/>
      <c r="Y51" s="64"/>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row>
    <row r="52" spans="2:56" ht="13.5" customHeight="1">
      <c r="B52" s="63"/>
      <c r="C52" s="63"/>
      <c r="D52" s="63"/>
      <c r="E52" s="63"/>
      <c r="F52" s="63"/>
      <c r="G52" s="63"/>
      <c r="H52" s="63"/>
      <c r="I52" s="63"/>
      <c r="J52" s="63"/>
      <c r="K52" s="63"/>
      <c r="L52" s="63"/>
      <c r="M52" s="63"/>
      <c r="N52" s="63"/>
      <c r="O52" s="63"/>
      <c r="P52" s="63"/>
      <c r="Q52" s="63"/>
      <c r="R52" s="63"/>
      <c r="S52" s="63"/>
      <c r="T52" s="63"/>
      <c r="U52" s="63"/>
      <c r="V52" s="63"/>
      <c r="W52" s="63"/>
      <c r="X52" s="63"/>
      <c r="Y52" s="64"/>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row>
    <row r="53" spans="2:56">
      <c r="B53" s="63"/>
      <c r="C53" s="63"/>
      <c r="D53" s="63"/>
      <c r="E53" s="63"/>
      <c r="F53" s="63"/>
      <c r="G53" s="63"/>
      <c r="H53" s="63"/>
      <c r="I53" s="63"/>
      <c r="J53" s="63"/>
      <c r="K53" s="63"/>
      <c r="L53" s="63"/>
      <c r="M53" s="63"/>
      <c r="N53" s="63"/>
      <c r="O53" s="63"/>
      <c r="P53" s="63"/>
      <c r="Q53" s="63"/>
      <c r="R53" s="63"/>
      <c r="S53" s="63"/>
      <c r="T53" s="63"/>
      <c r="U53" s="63"/>
      <c r="V53" s="63"/>
      <c r="W53" s="63"/>
      <c r="X53" s="63"/>
      <c r="Y53" s="64"/>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row>
    <row r="54" spans="2:56">
      <c r="B54" s="63"/>
      <c r="C54" s="63"/>
      <c r="D54" s="63"/>
      <c r="E54" s="63"/>
      <c r="F54" s="63"/>
      <c r="G54" s="63"/>
      <c r="H54" s="63"/>
      <c r="I54" s="63"/>
      <c r="J54" s="63"/>
      <c r="K54" s="63"/>
      <c r="L54" s="63"/>
      <c r="M54" s="63"/>
      <c r="N54" s="63"/>
      <c r="O54" s="63"/>
      <c r="P54" s="63"/>
      <c r="Q54" s="63"/>
      <c r="R54" s="63"/>
      <c r="S54" s="63"/>
      <c r="T54" s="63"/>
      <c r="U54" s="63"/>
      <c r="V54" s="63"/>
      <c r="W54" s="63"/>
      <c r="X54" s="63"/>
      <c r="Y54" s="64"/>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row>
    <row r="55" spans="2:56">
      <c r="B55" s="63"/>
      <c r="C55" s="63"/>
      <c r="D55" s="63"/>
      <c r="E55" s="63"/>
      <c r="F55" s="63"/>
      <c r="G55" s="63"/>
      <c r="H55" s="63"/>
      <c r="I55" s="63"/>
      <c r="J55" s="63"/>
      <c r="K55" s="63"/>
      <c r="L55" s="63"/>
      <c r="M55" s="63"/>
      <c r="N55" s="63"/>
      <c r="O55" s="63"/>
      <c r="P55" s="63"/>
      <c r="Q55" s="63"/>
      <c r="R55" s="63"/>
      <c r="S55" s="63"/>
      <c r="T55" s="63"/>
      <c r="U55" s="63"/>
      <c r="V55" s="63"/>
      <c r="W55" s="63"/>
      <c r="X55" s="63"/>
      <c r="Y55" s="64"/>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row>
    <row r="56" spans="2:56">
      <c r="B56" s="63"/>
      <c r="C56" s="63"/>
      <c r="D56" s="63"/>
      <c r="E56" s="63"/>
      <c r="F56" s="63"/>
      <c r="G56" s="63"/>
      <c r="H56" s="63"/>
      <c r="I56" s="63"/>
      <c r="J56" s="63"/>
      <c r="K56" s="63"/>
      <c r="L56" s="63"/>
      <c r="M56" s="63"/>
      <c r="N56" s="63"/>
      <c r="O56" s="63"/>
      <c r="P56" s="63"/>
      <c r="Q56" s="63"/>
      <c r="R56" s="63"/>
      <c r="S56" s="63"/>
      <c r="T56" s="63"/>
      <c r="U56" s="63"/>
      <c r="V56" s="63"/>
      <c r="W56" s="63"/>
      <c r="X56" s="63"/>
      <c r="Y56" s="64"/>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row>
    <row r="57" spans="2:56">
      <c r="B57" s="63"/>
      <c r="C57" s="63"/>
      <c r="D57" s="63"/>
      <c r="E57" s="63"/>
      <c r="F57" s="63"/>
      <c r="G57" s="63"/>
      <c r="H57" s="63"/>
      <c r="I57" s="63"/>
      <c r="J57" s="63"/>
      <c r="K57" s="63"/>
      <c r="L57" s="63"/>
      <c r="M57" s="63"/>
      <c r="N57" s="63"/>
      <c r="O57" s="63"/>
      <c r="P57" s="63"/>
      <c r="Q57" s="63"/>
      <c r="R57" s="63"/>
      <c r="S57" s="63"/>
      <c r="T57" s="63"/>
      <c r="U57" s="63"/>
      <c r="V57" s="63"/>
      <c r="W57" s="63"/>
      <c r="X57" s="63"/>
      <c r="Y57" s="64"/>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row>
    <row r="58" spans="2:56">
      <c r="B58" s="63"/>
      <c r="C58" s="63"/>
      <c r="D58" s="63"/>
      <c r="E58" s="63"/>
      <c r="F58" s="63"/>
      <c r="G58" s="63"/>
      <c r="H58" s="63"/>
      <c r="I58" s="63"/>
      <c r="J58" s="63"/>
      <c r="K58" s="63"/>
      <c r="L58" s="63"/>
      <c r="M58" s="63"/>
      <c r="N58" s="63"/>
      <c r="O58" s="63"/>
      <c r="P58" s="63"/>
      <c r="Q58" s="63"/>
      <c r="R58" s="63"/>
      <c r="S58" s="63"/>
      <c r="T58" s="63"/>
      <c r="U58" s="63"/>
      <c r="V58" s="63"/>
      <c r="W58" s="63"/>
      <c r="X58" s="63"/>
      <c r="Y58" s="64"/>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row>
    <row r="59" spans="2:56">
      <c r="B59" s="63"/>
      <c r="C59" s="63"/>
      <c r="D59" s="63"/>
      <c r="E59" s="63"/>
      <c r="F59" s="63"/>
      <c r="G59" s="63"/>
      <c r="H59" s="63"/>
      <c r="I59" s="63"/>
      <c r="J59" s="63"/>
      <c r="K59" s="63"/>
      <c r="L59" s="63"/>
      <c r="M59" s="63"/>
      <c r="N59" s="63"/>
      <c r="O59" s="63"/>
      <c r="P59" s="63"/>
      <c r="Q59" s="63"/>
      <c r="R59" s="63"/>
      <c r="S59" s="63"/>
      <c r="T59" s="63"/>
      <c r="U59" s="63"/>
      <c r="V59" s="63"/>
      <c r="W59" s="63"/>
      <c r="X59" s="63"/>
      <c r="Y59" s="64"/>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row>
    <row r="60" spans="2:56">
      <c r="B60" s="63"/>
      <c r="C60" s="63"/>
      <c r="D60" s="63"/>
      <c r="E60" s="63"/>
      <c r="F60" s="63"/>
      <c r="G60" s="63"/>
      <c r="H60" s="63"/>
      <c r="I60" s="63"/>
      <c r="J60" s="63"/>
      <c r="K60" s="63"/>
      <c r="L60" s="63"/>
      <c r="M60" s="63"/>
      <c r="N60" s="63"/>
      <c r="O60" s="63"/>
      <c r="P60" s="63"/>
      <c r="Q60" s="63"/>
      <c r="R60" s="63"/>
      <c r="S60" s="63"/>
      <c r="T60" s="63"/>
      <c r="U60" s="63"/>
      <c r="V60" s="63"/>
      <c r="W60" s="63"/>
      <c r="X60" s="63"/>
      <c r="Y60" s="64"/>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row>
    <row r="61" spans="2:56">
      <c r="B61" s="63"/>
      <c r="C61" s="63"/>
      <c r="D61" s="63"/>
      <c r="E61" s="63"/>
      <c r="F61" s="63"/>
      <c r="G61" s="63"/>
      <c r="H61" s="63"/>
      <c r="I61" s="63"/>
      <c r="J61" s="63"/>
      <c r="K61" s="63"/>
      <c r="L61" s="63"/>
      <c r="M61" s="63"/>
      <c r="N61" s="63"/>
      <c r="O61" s="63"/>
      <c r="P61" s="63"/>
      <c r="Q61" s="63"/>
      <c r="R61" s="63"/>
      <c r="S61" s="63"/>
      <c r="T61" s="63"/>
      <c r="U61" s="63"/>
      <c r="V61" s="63"/>
      <c r="W61" s="63"/>
      <c r="X61" s="63"/>
      <c r="Y61" s="64"/>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row>
    <row r="62" spans="2:56">
      <c r="B62" s="63"/>
      <c r="C62" s="63"/>
      <c r="D62" s="63"/>
      <c r="E62" s="63"/>
      <c r="F62" s="63"/>
      <c r="G62" s="63"/>
      <c r="H62" s="63"/>
      <c r="I62" s="63"/>
      <c r="J62" s="63"/>
      <c r="K62" s="63"/>
      <c r="L62" s="63"/>
      <c r="M62" s="63"/>
      <c r="N62" s="63"/>
      <c r="O62" s="63"/>
      <c r="P62" s="63"/>
      <c r="Q62" s="63"/>
      <c r="R62" s="63"/>
      <c r="S62" s="63"/>
      <c r="T62" s="63"/>
      <c r="U62" s="63"/>
      <c r="V62" s="63"/>
      <c r="W62" s="63"/>
      <c r="X62" s="63"/>
      <c r="Y62" s="64"/>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row>
    <row r="63" spans="2:56">
      <c r="B63" s="63"/>
      <c r="C63" s="63"/>
      <c r="D63" s="63"/>
      <c r="E63" s="63"/>
      <c r="F63" s="63"/>
      <c r="G63" s="63"/>
      <c r="H63" s="63"/>
      <c r="I63" s="63"/>
      <c r="J63" s="63"/>
      <c r="K63" s="63"/>
      <c r="L63" s="63"/>
      <c r="M63" s="63"/>
      <c r="N63" s="63"/>
      <c r="O63" s="63"/>
      <c r="P63" s="63"/>
      <c r="Q63" s="63"/>
      <c r="R63" s="63"/>
      <c r="S63" s="63"/>
      <c r="T63" s="63"/>
      <c r="U63" s="63"/>
      <c r="V63" s="63"/>
      <c r="W63" s="63"/>
      <c r="X63" s="63"/>
      <c r="Y63" s="64"/>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row>
    <row r="64" spans="2:56">
      <c r="B64" s="63"/>
      <c r="C64" s="63"/>
      <c r="D64" s="63"/>
      <c r="E64" s="63"/>
      <c r="F64" s="63"/>
      <c r="G64" s="63"/>
      <c r="H64" s="63"/>
      <c r="I64" s="63"/>
      <c r="J64" s="63"/>
      <c r="K64" s="63"/>
      <c r="L64" s="63"/>
      <c r="M64" s="63"/>
      <c r="N64" s="63"/>
      <c r="O64" s="63"/>
      <c r="P64" s="63"/>
      <c r="Q64" s="63"/>
      <c r="R64" s="63"/>
      <c r="S64" s="63"/>
      <c r="T64" s="63"/>
      <c r="U64" s="63"/>
      <c r="V64" s="63"/>
      <c r="W64" s="63"/>
      <c r="X64" s="63"/>
      <c r="Y64" s="64"/>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row>
    <row r="65" spans="2:56">
      <c r="B65" s="63"/>
      <c r="C65" s="63"/>
      <c r="D65" s="63"/>
      <c r="E65" s="63"/>
      <c r="F65" s="63"/>
      <c r="G65" s="63"/>
      <c r="H65" s="63"/>
      <c r="I65" s="63"/>
      <c r="J65" s="63"/>
      <c r="K65" s="63"/>
      <c r="L65" s="63"/>
      <c r="M65" s="63"/>
      <c r="N65" s="63"/>
      <c r="O65" s="63"/>
      <c r="P65" s="63"/>
      <c r="Q65" s="63"/>
      <c r="R65" s="63"/>
      <c r="S65" s="63"/>
      <c r="T65" s="63"/>
      <c r="U65" s="63"/>
      <c r="V65" s="63"/>
      <c r="W65" s="63"/>
      <c r="X65" s="63"/>
      <c r="Y65" s="64"/>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row>
    <row r="66" spans="2:56">
      <c r="B66" s="63"/>
      <c r="C66" s="63"/>
      <c r="D66" s="63"/>
      <c r="E66" s="63"/>
      <c r="F66" s="63"/>
      <c r="G66" s="63"/>
      <c r="H66" s="63"/>
      <c r="I66" s="63"/>
      <c r="J66" s="63"/>
      <c r="K66" s="63"/>
      <c r="L66" s="63"/>
      <c r="M66" s="63"/>
      <c r="N66" s="63"/>
      <c r="O66" s="63"/>
      <c r="P66" s="63"/>
      <c r="Q66" s="63"/>
      <c r="R66" s="63"/>
      <c r="S66" s="63"/>
      <c r="T66" s="63"/>
      <c r="U66" s="63"/>
      <c r="V66" s="63"/>
      <c r="W66" s="63"/>
      <c r="X66" s="63"/>
      <c r="Y66" s="64"/>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row>
    <row r="67" spans="2:56">
      <c r="B67" s="63"/>
      <c r="C67" s="63"/>
      <c r="D67" s="63"/>
      <c r="E67" s="63"/>
      <c r="F67" s="63"/>
      <c r="G67" s="63"/>
      <c r="H67" s="63"/>
      <c r="I67" s="63"/>
      <c r="J67" s="63"/>
      <c r="K67" s="63"/>
      <c r="L67" s="63"/>
      <c r="M67" s="63"/>
      <c r="N67" s="63"/>
      <c r="O67" s="63"/>
      <c r="P67" s="63"/>
      <c r="Q67" s="63"/>
      <c r="R67" s="63"/>
      <c r="S67" s="63"/>
      <c r="T67" s="63"/>
      <c r="U67" s="63"/>
      <c r="V67" s="63"/>
      <c r="W67" s="63"/>
      <c r="X67" s="63"/>
      <c r="Y67" s="64"/>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row>
    <row r="68" spans="2:56">
      <c r="B68" s="63"/>
      <c r="C68" s="63"/>
      <c r="D68" s="63"/>
      <c r="E68" s="63"/>
      <c r="F68" s="63"/>
      <c r="G68" s="63"/>
      <c r="H68" s="63"/>
      <c r="I68" s="63"/>
      <c r="J68" s="63"/>
      <c r="K68" s="63"/>
      <c r="L68" s="63"/>
      <c r="M68" s="63"/>
      <c r="N68" s="63"/>
      <c r="O68" s="63"/>
      <c r="P68" s="63"/>
      <c r="Q68" s="63"/>
      <c r="R68" s="63"/>
      <c r="S68" s="63"/>
      <c r="T68" s="63"/>
      <c r="U68" s="63"/>
      <c r="V68" s="63"/>
      <c r="W68" s="63"/>
      <c r="X68" s="63"/>
      <c r="Y68" s="64"/>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row>
    <row r="69" spans="2:56">
      <c r="B69" s="63"/>
      <c r="C69" s="63"/>
      <c r="D69" s="63"/>
      <c r="E69" s="63"/>
      <c r="F69" s="63"/>
      <c r="G69" s="63"/>
      <c r="H69" s="63"/>
      <c r="I69" s="63"/>
      <c r="J69" s="63"/>
      <c r="K69" s="63"/>
      <c r="L69" s="63"/>
      <c r="M69" s="63"/>
      <c r="N69" s="63"/>
      <c r="O69" s="63"/>
      <c r="P69" s="63"/>
      <c r="Q69" s="63"/>
      <c r="R69" s="63"/>
      <c r="S69" s="63"/>
      <c r="T69" s="63"/>
      <c r="U69" s="63"/>
      <c r="V69" s="63"/>
      <c r="W69" s="63"/>
      <c r="X69" s="63"/>
      <c r="Y69" s="64"/>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row>
    <row r="70" spans="2:56">
      <c r="B70" s="63"/>
      <c r="C70" s="63"/>
      <c r="D70" s="63"/>
      <c r="E70" s="63"/>
      <c r="F70" s="63"/>
      <c r="G70" s="63"/>
      <c r="H70" s="63"/>
      <c r="I70" s="63"/>
      <c r="J70" s="63"/>
      <c r="K70" s="63"/>
      <c r="L70" s="63"/>
      <c r="M70" s="63"/>
      <c r="N70" s="63"/>
      <c r="O70" s="63"/>
      <c r="P70" s="63"/>
      <c r="Q70" s="63"/>
      <c r="R70" s="63"/>
      <c r="S70" s="63"/>
      <c r="T70" s="63"/>
      <c r="U70" s="63"/>
      <c r="V70" s="63"/>
      <c r="W70" s="63"/>
      <c r="X70" s="63"/>
      <c r="Y70" s="64"/>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row>
    <row r="71" spans="2:56">
      <c r="B71" s="63"/>
      <c r="C71" s="63"/>
      <c r="D71" s="63"/>
      <c r="E71" s="63"/>
      <c r="F71" s="63"/>
      <c r="G71" s="63"/>
      <c r="H71" s="63"/>
      <c r="I71" s="63"/>
      <c r="J71" s="63"/>
      <c r="K71" s="63"/>
      <c r="L71" s="63"/>
      <c r="M71" s="63"/>
      <c r="N71" s="63"/>
      <c r="O71" s="63"/>
      <c r="P71" s="63"/>
      <c r="Q71" s="63"/>
      <c r="R71" s="63"/>
      <c r="S71" s="63"/>
      <c r="T71" s="63"/>
      <c r="U71" s="63"/>
      <c r="V71" s="63"/>
      <c r="W71" s="63"/>
      <c r="X71" s="63"/>
      <c r="Y71" s="64"/>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row>
    <row r="72" spans="2:56">
      <c r="B72" s="63"/>
      <c r="C72" s="63"/>
      <c r="D72" s="63"/>
      <c r="E72" s="63"/>
      <c r="F72" s="63"/>
      <c r="G72" s="63"/>
      <c r="H72" s="63"/>
      <c r="I72" s="63"/>
      <c r="J72" s="63"/>
      <c r="K72" s="63"/>
      <c r="L72" s="63"/>
      <c r="M72" s="63"/>
      <c r="N72" s="63"/>
      <c r="O72" s="63"/>
      <c r="P72" s="63"/>
      <c r="Q72" s="63"/>
      <c r="R72" s="63"/>
      <c r="S72" s="63"/>
      <c r="T72" s="63"/>
      <c r="U72" s="63"/>
      <c r="V72" s="63"/>
      <c r="W72" s="63"/>
      <c r="X72" s="63"/>
      <c r="Y72" s="64"/>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row>
    <row r="73" spans="2:56">
      <c r="B73" s="63"/>
      <c r="C73" s="63"/>
      <c r="D73" s="63"/>
      <c r="E73" s="63"/>
      <c r="F73" s="63"/>
      <c r="G73" s="63"/>
      <c r="H73" s="63"/>
      <c r="I73" s="63"/>
      <c r="J73" s="63"/>
      <c r="K73" s="63"/>
      <c r="L73" s="63"/>
      <c r="M73" s="63"/>
      <c r="N73" s="63"/>
      <c r="O73" s="63"/>
      <c r="P73" s="63"/>
      <c r="Q73" s="63"/>
      <c r="R73" s="63"/>
      <c r="S73" s="63"/>
      <c r="T73" s="63"/>
      <c r="U73" s="63"/>
      <c r="V73" s="63"/>
      <c r="W73" s="63"/>
      <c r="X73" s="63"/>
      <c r="Y73" s="64"/>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row>
    <row r="74" spans="2:56">
      <c r="B74" s="63"/>
      <c r="C74" s="63"/>
      <c r="D74" s="63"/>
      <c r="E74" s="63"/>
      <c r="F74" s="63"/>
      <c r="G74" s="63"/>
      <c r="H74" s="63"/>
      <c r="I74" s="63"/>
      <c r="J74" s="63"/>
      <c r="K74" s="63"/>
      <c r="L74" s="63"/>
      <c r="M74" s="63"/>
      <c r="N74" s="63"/>
      <c r="O74" s="63"/>
      <c r="P74" s="63"/>
      <c r="Q74" s="63"/>
      <c r="R74" s="63"/>
      <c r="S74" s="63"/>
      <c r="T74" s="63"/>
      <c r="U74" s="63"/>
      <c r="V74" s="63"/>
      <c r="W74" s="63"/>
      <c r="X74" s="63"/>
      <c r="Y74" s="64"/>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row>
    <row r="75" spans="2:56">
      <c r="B75" s="63"/>
      <c r="C75" s="63"/>
      <c r="D75" s="63"/>
      <c r="E75" s="63"/>
      <c r="F75" s="63"/>
      <c r="G75" s="63"/>
      <c r="H75" s="63"/>
      <c r="I75" s="63"/>
      <c r="J75" s="63"/>
      <c r="K75" s="63"/>
      <c r="L75" s="63"/>
      <c r="M75" s="63"/>
      <c r="N75" s="63"/>
      <c r="O75" s="63"/>
      <c r="P75" s="63"/>
      <c r="Q75" s="63"/>
      <c r="R75" s="63"/>
      <c r="S75" s="63"/>
      <c r="T75" s="63"/>
      <c r="U75" s="63"/>
      <c r="V75" s="63"/>
      <c r="W75" s="63"/>
      <c r="X75" s="63"/>
      <c r="Y75" s="64"/>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row>
    <row r="76" spans="2:56">
      <c r="B76" s="63"/>
      <c r="C76" s="63"/>
      <c r="D76" s="63"/>
      <c r="E76" s="63"/>
      <c r="F76" s="63"/>
      <c r="G76" s="63"/>
      <c r="H76" s="63"/>
      <c r="I76" s="63"/>
      <c r="J76" s="63"/>
      <c r="K76" s="63"/>
      <c r="L76" s="63"/>
      <c r="M76" s="63"/>
      <c r="N76" s="63"/>
      <c r="O76" s="63"/>
      <c r="P76" s="63"/>
      <c r="Q76" s="63"/>
      <c r="R76" s="63"/>
      <c r="S76" s="63"/>
      <c r="T76" s="63"/>
      <c r="U76" s="63"/>
      <c r="V76" s="63"/>
      <c r="W76" s="63"/>
      <c r="X76" s="63"/>
      <c r="Y76" s="64"/>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row>
    <row r="77" spans="2:56">
      <c r="B77" s="63"/>
      <c r="C77" s="63"/>
      <c r="D77" s="63"/>
      <c r="E77" s="63"/>
      <c r="F77" s="63"/>
      <c r="G77" s="63"/>
      <c r="H77" s="63"/>
      <c r="I77" s="63"/>
      <c r="J77" s="63"/>
      <c r="K77" s="63"/>
      <c r="L77" s="63"/>
      <c r="M77" s="63"/>
      <c r="N77" s="63"/>
      <c r="O77" s="63"/>
      <c r="P77" s="63"/>
      <c r="Q77" s="63"/>
      <c r="R77" s="63"/>
      <c r="S77" s="63"/>
      <c r="T77" s="63"/>
      <c r="U77" s="63"/>
      <c r="V77" s="63"/>
      <c r="W77" s="63"/>
      <c r="X77" s="63"/>
      <c r="Y77" s="64"/>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row>
    <row r="78" spans="2:56">
      <c r="B78" s="63"/>
      <c r="C78" s="63"/>
      <c r="D78" s="63"/>
      <c r="E78" s="63"/>
      <c r="F78" s="63"/>
      <c r="G78" s="63"/>
      <c r="H78" s="63"/>
      <c r="I78" s="63"/>
      <c r="J78" s="63"/>
      <c r="K78" s="63"/>
      <c r="L78" s="63"/>
      <c r="M78" s="63"/>
      <c r="N78" s="63"/>
      <c r="O78" s="63"/>
      <c r="P78" s="63"/>
      <c r="Q78" s="63"/>
      <c r="R78" s="63"/>
      <c r="S78" s="63"/>
      <c r="T78" s="63"/>
      <c r="U78" s="63"/>
      <c r="V78" s="63"/>
      <c r="W78" s="63"/>
      <c r="X78" s="63"/>
      <c r="Y78" s="64"/>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row>
    <row r="79" spans="2:56">
      <c r="B79" s="63"/>
      <c r="C79" s="63"/>
      <c r="D79" s="63"/>
      <c r="E79" s="63"/>
      <c r="F79" s="63"/>
      <c r="G79" s="63"/>
      <c r="H79" s="63"/>
      <c r="I79" s="63"/>
      <c r="J79" s="63"/>
      <c r="K79" s="63"/>
      <c r="L79" s="63"/>
      <c r="M79" s="63"/>
      <c r="N79" s="63"/>
      <c r="O79" s="63"/>
      <c r="P79" s="63"/>
      <c r="Q79" s="63"/>
      <c r="R79" s="63"/>
      <c r="S79" s="63"/>
      <c r="T79" s="63"/>
      <c r="U79" s="63"/>
      <c r="V79" s="63"/>
      <c r="W79" s="63"/>
      <c r="X79" s="63"/>
      <c r="Y79" s="64"/>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row>
    <row r="80" spans="2:56">
      <c r="B80" s="63"/>
      <c r="C80" s="63"/>
      <c r="D80" s="63"/>
      <c r="E80" s="63"/>
      <c r="F80" s="63"/>
      <c r="G80" s="63"/>
      <c r="H80" s="63"/>
      <c r="I80" s="63"/>
      <c r="J80" s="63"/>
      <c r="K80" s="63"/>
      <c r="L80" s="63"/>
      <c r="M80" s="63"/>
      <c r="N80" s="63"/>
      <c r="O80" s="63"/>
      <c r="P80" s="63"/>
      <c r="Q80" s="63"/>
      <c r="R80" s="63"/>
      <c r="S80" s="63"/>
      <c r="T80" s="63"/>
      <c r="U80" s="63"/>
      <c r="V80" s="63"/>
      <c r="W80" s="63"/>
      <c r="X80" s="63"/>
      <c r="Y80" s="64"/>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row>
    <row r="81" spans="2:56">
      <c r="B81" s="63"/>
      <c r="C81" s="63"/>
      <c r="D81" s="63"/>
      <c r="E81" s="63"/>
      <c r="F81" s="63"/>
      <c r="G81" s="63"/>
      <c r="H81" s="63"/>
      <c r="I81" s="63"/>
      <c r="J81" s="63"/>
      <c r="K81" s="63"/>
      <c r="L81" s="63"/>
      <c r="M81" s="63"/>
      <c r="N81" s="63"/>
      <c r="O81" s="63"/>
      <c r="P81" s="63"/>
      <c r="Q81" s="63"/>
      <c r="R81" s="63"/>
      <c r="S81" s="63"/>
      <c r="T81" s="63"/>
      <c r="U81" s="63"/>
      <c r="V81" s="63"/>
      <c r="W81" s="63"/>
      <c r="X81" s="63"/>
      <c r="Y81" s="64"/>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row>
    <row r="82" spans="2:56">
      <c r="B82" s="63"/>
      <c r="C82" s="63"/>
      <c r="D82" s="63"/>
      <c r="E82" s="63"/>
      <c r="F82" s="63"/>
      <c r="G82" s="63"/>
      <c r="H82" s="63"/>
      <c r="I82" s="63"/>
      <c r="J82" s="63"/>
      <c r="K82" s="63"/>
      <c r="L82" s="63"/>
      <c r="M82" s="63"/>
      <c r="N82" s="63"/>
      <c r="O82" s="63"/>
      <c r="P82" s="63"/>
      <c r="Q82" s="63"/>
      <c r="R82" s="63"/>
      <c r="S82" s="63"/>
      <c r="T82" s="63"/>
      <c r="U82" s="63"/>
      <c r="V82" s="63"/>
      <c r="W82" s="63"/>
      <c r="X82" s="63"/>
      <c r="Y82" s="64"/>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row>
    <row r="83" spans="2:56">
      <c r="B83" s="63"/>
      <c r="C83" s="63"/>
      <c r="D83" s="63"/>
      <c r="E83" s="63"/>
      <c r="F83" s="63"/>
      <c r="G83" s="63"/>
      <c r="H83" s="63"/>
      <c r="I83" s="63"/>
      <c r="J83" s="63"/>
      <c r="K83" s="63"/>
      <c r="L83" s="63"/>
      <c r="M83" s="63"/>
      <c r="N83" s="63"/>
      <c r="O83" s="63"/>
      <c r="P83" s="63"/>
      <c r="Q83" s="63"/>
      <c r="R83" s="63"/>
      <c r="S83" s="63"/>
      <c r="T83" s="63"/>
      <c r="U83" s="63"/>
      <c r="V83" s="63"/>
      <c r="W83" s="63"/>
      <c r="X83" s="63"/>
      <c r="Y83" s="64"/>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row>
    <row r="84" spans="2:56">
      <c r="B84" s="63"/>
      <c r="C84" s="63"/>
      <c r="D84" s="63"/>
      <c r="E84" s="63"/>
      <c r="F84" s="63"/>
      <c r="G84" s="63"/>
      <c r="H84" s="63"/>
      <c r="I84" s="63"/>
      <c r="J84" s="63"/>
      <c r="K84" s="63"/>
      <c r="L84" s="63"/>
      <c r="M84" s="63"/>
      <c r="N84" s="63"/>
      <c r="O84" s="63"/>
      <c r="P84" s="63"/>
      <c r="Q84" s="63"/>
      <c r="R84" s="63"/>
      <c r="S84" s="63"/>
      <c r="T84" s="63"/>
      <c r="U84" s="63"/>
      <c r="V84" s="63"/>
      <c r="W84" s="63"/>
      <c r="X84" s="63"/>
      <c r="Y84" s="64"/>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row>
    <row r="85" spans="2:56">
      <c r="B85" s="63"/>
      <c r="C85" s="63"/>
      <c r="D85" s="63"/>
      <c r="E85" s="63"/>
      <c r="F85" s="63"/>
      <c r="G85" s="63"/>
      <c r="H85" s="63"/>
      <c r="I85" s="63"/>
      <c r="J85" s="63"/>
      <c r="K85" s="63"/>
      <c r="L85" s="63"/>
      <c r="M85" s="63"/>
      <c r="N85" s="63"/>
      <c r="O85" s="63"/>
      <c r="P85" s="63"/>
      <c r="Q85" s="63"/>
      <c r="R85" s="63"/>
      <c r="S85" s="63"/>
      <c r="T85" s="63"/>
      <c r="U85" s="63"/>
      <c r="V85" s="63"/>
      <c r="W85" s="63"/>
      <c r="X85" s="63"/>
      <c r="Y85" s="64"/>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row>
    <row r="86" spans="2:56">
      <c r="B86" s="63"/>
      <c r="C86" s="63"/>
      <c r="D86" s="63"/>
      <c r="E86" s="63"/>
      <c r="F86" s="63"/>
      <c r="G86" s="63"/>
      <c r="H86" s="63"/>
      <c r="I86" s="63"/>
      <c r="J86" s="63"/>
      <c r="K86" s="63"/>
      <c r="L86" s="63"/>
      <c r="M86" s="63"/>
      <c r="N86" s="63"/>
      <c r="O86" s="63"/>
      <c r="P86" s="63"/>
      <c r="Q86" s="63"/>
      <c r="R86" s="63"/>
      <c r="S86" s="63"/>
      <c r="T86" s="63"/>
      <c r="U86" s="63"/>
      <c r="V86" s="63"/>
      <c r="W86" s="63"/>
      <c r="X86" s="63"/>
      <c r="Y86" s="64"/>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row>
    <row r="87" spans="2:56">
      <c r="B87" s="63"/>
      <c r="C87" s="63"/>
      <c r="D87" s="63"/>
      <c r="E87" s="63"/>
      <c r="F87" s="63"/>
      <c r="G87" s="63"/>
      <c r="H87" s="63"/>
      <c r="I87" s="63"/>
      <c r="J87" s="63"/>
      <c r="K87" s="63"/>
      <c r="L87" s="63"/>
      <c r="M87" s="63"/>
      <c r="N87" s="63"/>
      <c r="O87" s="63"/>
      <c r="P87" s="63"/>
      <c r="Q87" s="63"/>
      <c r="R87" s="63"/>
      <c r="S87" s="63"/>
      <c r="T87" s="63"/>
      <c r="U87" s="63"/>
      <c r="V87" s="63"/>
      <c r="W87" s="63"/>
      <c r="X87" s="63"/>
      <c r="Y87" s="64"/>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row>
    <row r="88" spans="2:56">
      <c r="B88" s="63"/>
      <c r="C88" s="63"/>
      <c r="D88" s="63"/>
      <c r="E88" s="63"/>
      <c r="F88" s="63"/>
      <c r="G88" s="63"/>
      <c r="H88" s="63"/>
      <c r="I88" s="63"/>
      <c r="J88" s="63"/>
      <c r="K88" s="63"/>
      <c r="L88" s="63"/>
      <c r="M88" s="63"/>
      <c r="N88" s="63"/>
      <c r="O88" s="63"/>
      <c r="P88" s="63"/>
      <c r="Q88" s="63"/>
      <c r="R88" s="63"/>
      <c r="S88" s="63"/>
      <c r="T88" s="63"/>
      <c r="U88" s="63"/>
      <c r="V88" s="63"/>
      <c r="W88" s="63"/>
      <c r="X88" s="63"/>
      <c r="Y88" s="64"/>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row>
    <row r="89" spans="2:56">
      <c r="B89" s="63"/>
      <c r="C89" s="63"/>
      <c r="D89" s="63"/>
      <c r="E89" s="63"/>
      <c r="F89" s="63"/>
      <c r="G89" s="63"/>
      <c r="H89" s="63"/>
      <c r="I89" s="63"/>
      <c r="J89" s="63"/>
      <c r="K89" s="63"/>
      <c r="L89" s="63"/>
      <c r="M89" s="63"/>
      <c r="N89" s="63"/>
      <c r="O89" s="63"/>
      <c r="P89" s="63"/>
      <c r="Q89" s="63"/>
      <c r="R89" s="63"/>
      <c r="S89" s="63"/>
      <c r="T89" s="63"/>
      <c r="U89" s="63"/>
      <c r="V89" s="63"/>
      <c r="W89" s="63"/>
      <c r="X89" s="63"/>
      <c r="Y89" s="64"/>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row>
    <row r="90" spans="2:56">
      <c r="B90" s="63"/>
      <c r="C90" s="63"/>
      <c r="D90" s="63"/>
      <c r="E90" s="63"/>
      <c r="F90" s="63"/>
      <c r="G90" s="63"/>
      <c r="H90" s="63"/>
      <c r="I90" s="63"/>
      <c r="J90" s="63"/>
      <c r="K90" s="63"/>
      <c r="L90" s="63"/>
      <c r="M90" s="63"/>
      <c r="N90" s="63"/>
      <c r="O90" s="63"/>
      <c r="P90" s="63"/>
      <c r="Q90" s="63"/>
      <c r="R90" s="63"/>
      <c r="S90" s="63"/>
      <c r="T90" s="63"/>
      <c r="U90" s="63"/>
      <c r="V90" s="63"/>
      <c r="W90" s="63"/>
      <c r="X90" s="63"/>
      <c r="Y90" s="64"/>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row>
    <row r="91" spans="2:56">
      <c r="B91" s="63"/>
      <c r="C91" s="63"/>
      <c r="D91" s="63"/>
      <c r="E91" s="63"/>
      <c r="F91" s="63"/>
      <c r="G91" s="63"/>
      <c r="H91" s="63"/>
      <c r="I91" s="63"/>
      <c r="J91" s="63"/>
      <c r="K91" s="63"/>
      <c r="L91" s="63"/>
      <c r="M91" s="63"/>
      <c r="N91" s="63"/>
      <c r="O91" s="63"/>
      <c r="P91" s="63"/>
      <c r="Q91" s="63"/>
      <c r="R91" s="63"/>
      <c r="S91" s="63"/>
      <c r="T91" s="63"/>
      <c r="U91" s="63"/>
      <c r="V91" s="63"/>
      <c r="W91" s="63"/>
      <c r="X91" s="63"/>
      <c r="Y91" s="64"/>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row>
    <row r="92" spans="2:56">
      <c r="B92" s="63"/>
      <c r="C92" s="63"/>
      <c r="D92" s="63"/>
      <c r="E92" s="63"/>
      <c r="F92" s="63"/>
      <c r="G92" s="63"/>
      <c r="H92" s="63"/>
      <c r="I92" s="63"/>
      <c r="J92" s="63"/>
      <c r="K92" s="63"/>
      <c r="L92" s="63"/>
      <c r="M92" s="63"/>
      <c r="N92" s="63"/>
      <c r="O92" s="63"/>
      <c r="P92" s="63"/>
      <c r="Q92" s="63"/>
      <c r="R92" s="63"/>
      <c r="S92" s="63"/>
      <c r="T92" s="63"/>
      <c r="U92" s="63"/>
      <c r="V92" s="63"/>
      <c r="W92" s="63"/>
      <c r="X92" s="63"/>
      <c r="Y92" s="64"/>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row>
    <row r="93" spans="2:56">
      <c r="B93" s="63"/>
      <c r="C93" s="63"/>
      <c r="D93" s="63"/>
      <c r="E93" s="63"/>
      <c r="F93" s="63"/>
      <c r="G93" s="63"/>
      <c r="H93" s="63"/>
      <c r="I93" s="63"/>
      <c r="J93" s="63"/>
      <c r="K93" s="63"/>
      <c r="L93" s="63"/>
      <c r="M93" s="63"/>
      <c r="N93" s="63"/>
      <c r="O93" s="63"/>
      <c r="P93" s="63"/>
      <c r="Q93" s="63"/>
      <c r="R93" s="63"/>
      <c r="S93" s="63"/>
      <c r="T93" s="63"/>
      <c r="U93" s="63"/>
      <c r="V93" s="63"/>
      <c r="W93" s="63"/>
      <c r="X93" s="63"/>
      <c r="Y93" s="64"/>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row>
    <row r="94" spans="2:56">
      <c r="B94" s="63"/>
      <c r="C94" s="63"/>
      <c r="D94" s="63"/>
      <c r="E94" s="63"/>
      <c r="F94" s="63"/>
      <c r="G94" s="63"/>
      <c r="H94" s="63"/>
      <c r="I94" s="63"/>
      <c r="J94" s="63"/>
      <c r="K94" s="63"/>
      <c r="L94" s="63"/>
      <c r="M94" s="63"/>
      <c r="N94" s="63"/>
      <c r="O94" s="63"/>
      <c r="P94" s="63"/>
      <c r="Q94" s="63"/>
      <c r="R94" s="63"/>
      <c r="S94" s="63"/>
      <c r="T94" s="63"/>
      <c r="U94" s="63"/>
      <c r="V94" s="63"/>
      <c r="W94" s="63"/>
      <c r="X94" s="63"/>
      <c r="Y94" s="64"/>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row>
    <row r="95" spans="2:56">
      <c r="B95" s="63"/>
      <c r="C95" s="63"/>
      <c r="D95" s="63"/>
      <c r="E95" s="63"/>
      <c r="F95" s="63"/>
      <c r="G95" s="63"/>
      <c r="H95" s="63"/>
      <c r="I95" s="63"/>
      <c r="J95" s="63"/>
      <c r="K95" s="63"/>
      <c r="L95" s="63"/>
      <c r="M95" s="63"/>
      <c r="N95" s="63"/>
      <c r="O95" s="63"/>
      <c r="P95" s="63"/>
      <c r="Q95" s="63"/>
      <c r="R95" s="63"/>
      <c r="S95" s="63"/>
      <c r="T95" s="63"/>
      <c r="U95" s="63"/>
      <c r="V95" s="63"/>
      <c r="W95" s="63"/>
      <c r="X95" s="63"/>
      <c r="Y95" s="64"/>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row>
    <row r="96" spans="2:56">
      <c r="B96" s="63"/>
      <c r="C96" s="63"/>
      <c r="D96" s="63"/>
      <c r="E96" s="63"/>
      <c r="F96" s="63"/>
      <c r="G96" s="63"/>
      <c r="H96" s="63"/>
      <c r="I96" s="63"/>
      <c r="J96" s="63"/>
      <c r="K96" s="63"/>
      <c r="L96" s="63"/>
      <c r="M96" s="63"/>
      <c r="N96" s="63"/>
      <c r="O96" s="63"/>
      <c r="P96" s="63"/>
      <c r="Q96" s="63"/>
      <c r="R96" s="63"/>
      <c r="S96" s="63"/>
      <c r="T96" s="63"/>
      <c r="U96" s="63"/>
      <c r="V96" s="63"/>
      <c r="W96" s="63"/>
      <c r="X96" s="63"/>
      <c r="Y96" s="64"/>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row>
    <row r="97" spans="2:56">
      <c r="B97" s="63"/>
      <c r="C97" s="63"/>
      <c r="D97" s="63"/>
      <c r="E97" s="63"/>
      <c r="F97" s="63"/>
      <c r="G97" s="63"/>
      <c r="H97" s="63"/>
      <c r="I97" s="63"/>
      <c r="J97" s="63"/>
      <c r="K97" s="63"/>
      <c r="L97" s="63"/>
      <c r="M97" s="63"/>
      <c r="N97" s="63"/>
      <c r="O97" s="63"/>
      <c r="P97" s="63"/>
      <c r="Q97" s="63"/>
      <c r="R97" s="63"/>
      <c r="S97" s="63"/>
      <c r="T97" s="63"/>
      <c r="U97" s="63"/>
      <c r="V97" s="63"/>
      <c r="W97" s="63"/>
      <c r="X97" s="63"/>
      <c r="Y97" s="64"/>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row>
    <row r="98" spans="2:56">
      <c r="B98" s="63"/>
      <c r="C98" s="63"/>
      <c r="D98" s="63"/>
      <c r="E98" s="63"/>
      <c r="F98" s="63"/>
      <c r="G98" s="63"/>
      <c r="H98" s="63"/>
      <c r="I98" s="63"/>
      <c r="J98" s="63"/>
      <c r="K98" s="63"/>
      <c r="L98" s="63"/>
      <c r="M98" s="63"/>
      <c r="N98" s="63"/>
      <c r="O98" s="63"/>
      <c r="P98" s="63"/>
      <c r="Q98" s="63"/>
      <c r="R98" s="63"/>
      <c r="S98" s="63"/>
      <c r="T98" s="63"/>
      <c r="U98" s="63"/>
      <c r="V98" s="63"/>
      <c r="W98" s="63"/>
      <c r="X98" s="63"/>
      <c r="Y98" s="64"/>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row>
    <row r="99" spans="2:56">
      <c r="B99" s="63"/>
      <c r="C99" s="63"/>
      <c r="D99" s="63"/>
      <c r="E99" s="63"/>
      <c r="F99" s="63"/>
      <c r="G99" s="63"/>
      <c r="H99" s="63"/>
      <c r="I99" s="63"/>
      <c r="J99" s="63"/>
      <c r="K99" s="63"/>
      <c r="L99" s="63"/>
      <c r="M99" s="63"/>
      <c r="N99" s="63"/>
      <c r="O99" s="63"/>
      <c r="P99" s="63"/>
      <c r="Q99" s="63"/>
      <c r="R99" s="63"/>
      <c r="S99" s="63"/>
      <c r="T99" s="63"/>
      <c r="U99" s="63"/>
      <c r="V99" s="63"/>
      <c r="W99" s="63"/>
      <c r="X99" s="63"/>
      <c r="Y99" s="64"/>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row>
    <row r="100" spans="2:56">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4"/>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row>
    <row r="101" spans="2:56">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4"/>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row>
    <row r="102" spans="2:56">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4"/>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row>
    <row r="103" spans="2:56">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4"/>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row>
    <row r="104" spans="2:56">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4"/>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row>
    <row r="105" spans="2:56">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4"/>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row>
    <row r="106" spans="2:56">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4"/>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row>
    <row r="107" spans="2:56">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4"/>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row>
    <row r="108" spans="2:56">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4"/>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row>
    <row r="109" spans="2:56">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4"/>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row>
    <row r="110" spans="2:56">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4"/>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c r="BB110" s="63"/>
      <c r="BC110" s="63"/>
      <c r="BD110" s="63"/>
    </row>
    <row r="111" spans="2:56">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4"/>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row>
    <row r="112" spans="2:56">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4"/>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row>
    <row r="113" spans="2:56">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4"/>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row>
    <row r="114" spans="2:56">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4"/>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c r="BD114" s="63"/>
    </row>
    <row r="115" spans="2:56">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4"/>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c r="BD115" s="63"/>
    </row>
    <row r="116" spans="2:56">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4"/>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row>
    <row r="117" spans="2:56">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4"/>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row>
    <row r="118" spans="2:56">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4"/>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row>
    <row r="119" spans="2:56">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4"/>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row>
    <row r="120" spans="2:56">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row>
    <row r="121" spans="2:56">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row>
    <row r="122" spans="2:56">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row>
    <row r="123" spans="2:56">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row>
    <row r="124" spans="2:56">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row>
    <row r="125" spans="2:56">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row>
    <row r="126" spans="2:56">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row>
    <row r="127" spans="2:56">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row>
    <row r="128" spans="2:56">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c r="AB128" s="63"/>
      <c r="AC128" s="63"/>
      <c r="AD128" s="63"/>
      <c r="AE128" s="63"/>
      <c r="AF128" s="63"/>
      <c r="AG128" s="63"/>
      <c r="AH128" s="63"/>
      <c r="AI128" s="63"/>
      <c r="AJ128" s="63"/>
      <c r="AK128" s="63"/>
      <c r="AL128" s="63"/>
      <c r="AM128" s="63"/>
      <c r="AN128" s="63"/>
      <c r="AO128" s="63"/>
      <c r="AP128" s="63"/>
      <c r="AQ128" s="63"/>
      <c r="AR128" s="63"/>
      <c r="AS128" s="63"/>
      <c r="AT128" s="63"/>
      <c r="AU128" s="63"/>
      <c r="AV128" s="63"/>
      <c r="AW128" s="63"/>
      <c r="AX128" s="63"/>
      <c r="AY128" s="63"/>
      <c r="AZ128" s="63"/>
      <c r="BA128" s="63"/>
      <c r="BB128" s="63"/>
      <c r="BC128" s="63"/>
      <c r="BD128" s="63"/>
    </row>
    <row r="129" spans="2:56">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c r="AZ129" s="63"/>
      <c r="BA129" s="63"/>
      <c r="BB129" s="63"/>
      <c r="BC129" s="63"/>
      <c r="BD129" s="63"/>
    </row>
    <row r="130" spans="2:56">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row>
    <row r="131" spans="2:56">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row>
    <row r="132" spans="2:56">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row>
    <row r="133" spans="2:56">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row>
    <row r="134" spans="2:56">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row>
    <row r="135" spans="2:56">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row>
    <row r="136" spans="2:56">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row>
    <row r="137" spans="2:56">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row>
    <row r="138" spans="2:56">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row>
    <row r="139" spans="2:56">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row>
    <row r="140" spans="2:56">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row>
    <row r="141" spans="2:56">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row>
    <row r="142" spans="2:56">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row>
    <row r="143" spans="2:56">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row>
    <row r="144" spans="2:56">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row>
    <row r="145" spans="2:56">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c r="BC145" s="63"/>
      <c r="BD145" s="63"/>
    </row>
    <row r="146" spans="2:56">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row>
    <row r="147" spans="2:56">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row>
    <row r="148" spans="2:56">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row>
    <row r="149" spans="2:56">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row>
    <row r="150" spans="2:56">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row>
    <row r="151" spans="2:56">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row>
    <row r="152" spans="2:56">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row>
    <row r="153" spans="2:56">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c r="BD153" s="63"/>
    </row>
    <row r="154" spans="2:56">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row>
    <row r="155" spans="2:56">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3"/>
      <c r="AW155" s="63"/>
      <c r="AX155" s="63"/>
      <c r="AY155" s="63"/>
      <c r="AZ155" s="63"/>
      <c r="BA155" s="63"/>
      <c r="BB155" s="63"/>
      <c r="BC155" s="63"/>
      <c r="BD155" s="63"/>
    </row>
    <row r="156" spans="2:56">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AQ156" s="63"/>
      <c r="AR156" s="63"/>
      <c r="AS156" s="63"/>
      <c r="AT156" s="63"/>
      <c r="AU156" s="63"/>
      <c r="AV156" s="63"/>
      <c r="AW156" s="63"/>
      <c r="AX156" s="63"/>
      <c r="AY156" s="63"/>
      <c r="AZ156" s="63"/>
      <c r="BA156" s="63"/>
      <c r="BB156" s="63"/>
      <c r="BC156" s="63"/>
      <c r="BD156" s="63"/>
    </row>
    <row r="157" spans="2:56">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3"/>
      <c r="AW157" s="63"/>
      <c r="AX157" s="63"/>
      <c r="AY157" s="63"/>
      <c r="AZ157" s="63"/>
      <c r="BA157" s="63"/>
      <c r="BB157" s="63"/>
      <c r="BC157" s="63"/>
      <c r="BD157" s="63"/>
    </row>
    <row r="158" spans="2:56">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AQ158" s="63"/>
      <c r="AR158" s="63"/>
      <c r="AS158" s="63"/>
      <c r="AT158" s="63"/>
      <c r="AU158" s="63"/>
      <c r="AV158" s="63"/>
      <c r="AW158" s="63"/>
      <c r="AX158" s="63"/>
      <c r="AY158" s="63"/>
      <c r="AZ158" s="63"/>
      <c r="BA158" s="63"/>
      <c r="BB158" s="63"/>
      <c r="BC158" s="63"/>
      <c r="BD158" s="63"/>
    </row>
    <row r="159" spans="2:56">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row>
    <row r="160" spans="2:56">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AQ160" s="63"/>
      <c r="AR160" s="63"/>
      <c r="AS160" s="63"/>
      <c r="AT160" s="63"/>
      <c r="AU160" s="63"/>
      <c r="AV160" s="63"/>
      <c r="AW160" s="63"/>
      <c r="AX160" s="63"/>
      <c r="AY160" s="63"/>
      <c r="AZ160" s="63"/>
      <c r="BA160" s="63"/>
      <c r="BB160" s="63"/>
      <c r="BC160" s="63"/>
      <c r="BD160" s="63"/>
    </row>
    <row r="161" spans="2:56">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row>
    <row r="162" spans="2:56">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AQ162" s="63"/>
      <c r="AR162" s="63"/>
      <c r="AS162" s="63"/>
      <c r="AT162" s="63"/>
      <c r="AU162" s="63"/>
      <c r="AV162" s="63"/>
      <c r="AW162" s="63"/>
      <c r="AX162" s="63"/>
      <c r="AY162" s="63"/>
      <c r="AZ162" s="63"/>
      <c r="BA162" s="63"/>
      <c r="BB162" s="63"/>
      <c r="BC162" s="63"/>
      <c r="BD162" s="63"/>
    </row>
    <row r="163" spans="2:56">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AQ163" s="63"/>
      <c r="AR163" s="63"/>
      <c r="AS163" s="63"/>
      <c r="AT163" s="63"/>
      <c r="AU163" s="63"/>
      <c r="AV163" s="63"/>
      <c r="AW163" s="63"/>
      <c r="AX163" s="63"/>
      <c r="AY163" s="63"/>
      <c r="AZ163" s="63"/>
      <c r="BA163" s="63"/>
      <c r="BB163" s="63"/>
      <c r="BC163" s="63"/>
      <c r="BD163" s="63"/>
    </row>
    <row r="164" spans="2:56">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c r="AQ164" s="63"/>
      <c r="AR164" s="63"/>
      <c r="AS164" s="63"/>
      <c r="AT164" s="63"/>
      <c r="AU164" s="63"/>
      <c r="AV164" s="63"/>
      <c r="AW164" s="63"/>
      <c r="AX164" s="63"/>
      <c r="AY164" s="63"/>
      <c r="AZ164" s="63"/>
      <c r="BA164" s="63"/>
      <c r="BB164" s="63"/>
      <c r="BC164" s="63"/>
      <c r="BD164" s="63"/>
    </row>
    <row r="165" spans="2:56">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c r="AQ165" s="63"/>
      <c r="AR165" s="63"/>
      <c r="AS165" s="63"/>
      <c r="AT165" s="63"/>
      <c r="AU165" s="63"/>
      <c r="AV165" s="63"/>
      <c r="AW165" s="63"/>
      <c r="AX165" s="63"/>
      <c r="AY165" s="63"/>
      <c r="AZ165" s="63"/>
      <c r="BA165" s="63"/>
      <c r="BB165" s="63"/>
      <c r="BC165" s="63"/>
      <c r="BD165" s="63"/>
    </row>
    <row r="166" spans="2:56">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c r="AA166" s="63"/>
      <c r="AB166" s="63"/>
      <c r="AC166" s="63"/>
      <c r="AD166" s="63"/>
      <c r="AE166" s="63"/>
      <c r="AF166" s="63"/>
      <c r="AG166" s="63"/>
      <c r="AH166" s="63"/>
      <c r="AI166" s="63"/>
      <c r="AJ166" s="63"/>
      <c r="AK166" s="63"/>
      <c r="AL166" s="63"/>
      <c r="AM166" s="63"/>
      <c r="AN166" s="63"/>
      <c r="AO166" s="63"/>
      <c r="AP166" s="63"/>
      <c r="AQ166" s="63"/>
      <c r="AR166" s="63"/>
      <c r="AS166" s="63"/>
      <c r="AT166" s="63"/>
      <c r="AU166" s="63"/>
      <c r="AV166" s="63"/>
      <c r="AW166" s="63"/>
      <c r="AX166" s="63"/>
      <c r="AY166" s="63"/>
      <c r="AZ166" s="63"/>
      <c r="BA166" s="63"/>
      <c r="BB166" s="63"/>
      <c r="BC166" s="63"/>
      <c r="BD166" s="63"/>
    </row>
    <row r="167" spans="2:56">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AQ167" s="63"/>
      <c r="AR167" s="63"/>
      <c r="AS167" s="63"/>
      <c r="AT167" s="63"/>
      <c r="AU167" s="63"/>
      <c r="AV167" s="63"/>
      <c r="AW167" s="63"/>
      <c r="AX167" s="63"/>
      <c r="AY167" s="63"/>
      <c r="AZ167" s="63"/>
      <c r="BA167" s="63"/>
      <c r="BB167" s="63"/>
      <c r="BC167" s="63"/>
      <c r="BD167" s="63"/>
    </row>
    <row r="168" spans="2:56">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c r="AA168" s="63"/>
      <c r="AB168" s="63"/>
      <c r="AC168" s="63"/>
      <c r="AD168" s="63"/>
      <c r="AE168" s="63"/>
      <c r="AF168" s="63"/>
      <c r="AG168" s="63"/>
      <c r="AH168" s="63"/>
      <c r="AI168" s="63"/>
      <c r="AJ168" s="63"/>
      <c r="AK168" s="63"/>
      <c r="AL168" s="63"/>
      <c r="AM168" s="63"/>
      <c r="AN168" s="63"/>
      <c r="AO168" s="63"/>
      <c r="AP168" s="63"/>
      <c r="AQ168" s="63"/>
      <c r="AR168" s="63"/>
      <c r="AS168" s="63"/>
      <c r="AT168" s="63"/>
      <c r="AU168" s="63"/>
      <c r="AV168" s="63"/>
      <c r="AW168" s="63"/>
      <c r="AX168" s="63"/>
      <c r="AY168" s="63"/>
      <c r="AZ168" s="63"/>
      <c r="BA168" s="63"/>
      <c r="BB168" s="63"/>
      <c r="BC168" s="63"/>
      <c r="BD168" s="63"/>
    </row>
    <row r="169" spans="2:56">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3"/>
      <c r="AP169" s="63"/>
      <c r="AQ169" s="63"/>
      <c r="AR169" s="63"/>
      <c r="AS169" s="63"/>
      <c r="AT169" s="63"/>
      <c r="AU169" s="63"/>
      <c r="AV169" s="63"/>
      <c r="AW169" s="63"/>
      <c r="AX169" s="63"/>
      <c r="AY169" s="63"/>
      <c r="AZ169" s="63"/>
      <c r="BA169" s="63"/>
      <c r="BB169" s="63"/>
      <c r="BC169" s="63"/>
      <c r="BD169" s="63"/>
    </row>
  </sheetData>
  <sheetProtection algorithmName="SHA-512" hashValue="uWQm8pTsfv6uGVLKf9Hl2M5pZKkrOc7an+8d+mYyR6cgeoxVNdW8ksn+nh3Ud/Ke19SlNMHJ73t43cLXlwXgTg==" saltValue="u4O/7UAqtL+dr25mDNnbyw==" spinCount="100000" sheet="1" selectLockedCells="1"/>
  <dataConsolidate link="1"/>
  <mergeCells count="10">
    <mergeCell ref="C2:J2"/>
    <mergeCell ref="E4:F4"/>
    <mergeCell ref="G4:H4"/>
    <mergeCell ref="C3:J3"/>
    <mergeCell ref="I4:J4"/>
    <mergeCell ref="E5:F5"/>
    <mergeCell ref="G5:H5"/>
    <mergeCell ref="I5:J5"/>
    <mergeCell ref="C4:D4"/>
    <mergeCell ref="C5:D5"/>
  </mergeCells>
  <pageMargins left="0.25" right="0.25" top="0.75" bottom="0.75" header="0.3" footer="0.3"/>
  <pageSetup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DCADA-BD89-4008-9DF9-294B5FD6F968}">
  <sheetPr codeName="Sheet15">
    <tabColor rgb="FF4D4D4D"/>
  </sheetPr>
  <dimension ref="B1:L16"/>
  <sheetViews>
    <sheetView zoomScaleNormal="100" workbookViewId="0">
      <selection activeCell="B6" sqref="B6"/>
    </sheetView>
  </sheetViews>
  <sheetFormatPr defaultRowHeight="12.75"/>
  <cols>
    <col min="2" max="2" width="15.7109375" customWidth="1"/>
    <col min="6" max="6" width="4.140625" customWidth="1"/>
    <col min="7" max="7" width="18.7109375" customWidth="1"/>
    <col min="8" max="8" width="2.140625" customWidth="1"/>
    <col min="9" max="9" width="3.42578125" customWidth="1"/>
    <col min="10" max="10" width="46.28515625" bestFit="1" customWidth="1"/>
    <col min="11" max="11" width="11" customWidth="1"/>
    <col min="12" max="12" width="33.85546875" customWidth="1"/>
  </cols>
  <sheetData>
    <row r="1" spans="2:12" ht="13.5" thickBot="1"/>
    <row r="2" spans="2:12" ht="14.25">
      <c r="B2" s="402" t="s">
        <v>57</v>
      </c>
      <c r="C2" s="403"/>
      <c r="D2" s="403"/>
      <c r="E2" s="403"/>
      <c r="F2" s="403"/>
      <c r="G2" s="403"/>
      <c r="H2" s="403"/>
      <c r="I2" s="403"/>
      <c r="J2" s="403"/>
      <c r="K2" s="403"/>
      <c r="L2" s="404"/>
    </row>
    <row r="3" spans="2:12" ht="14.25">
      <c r="B3" s="365" t="s">
        <v>58</v>
      </c>
      <c r="C3" s="366"/>
      <c r="D3" s="366"/>
      <c r="E3" s="366"/>
      <c r="F3" s="366"/>
      <c r="G3" s="366"/>
      <c r="H3" s="366"/>
      <c r="I3" s="366"/>
      <c r="J3" s="366"/>
      <c r="K3" s="366"/>
      <c r="L3" s="276"/>
    </row>
    <row r="4" spans="2:12" ht="14.25">
      <c r="B4" s="365" t="s">
        <v>59</v>
      </c>
      <c r="C4" s="366"/>
      <c r="D4" s="366"/>
      <c r="E4" s="366"/>
      <c r="F4" s="366"/>
      <c r="G4" s="366"/>
      <c r="H4" s="366"/>
      <c r="I4" s="366"/>
      <c r="J4" s="366"/>
      <c r="K4" s="366"/>
      <c r="L4" s="276"/>
    </row>
    <row r="5" spans="2:12" ht="14.25">
      <c r="B5" s="365"/>
      <c r="C5" s="366"/>
      <c r="D5" s="366"/>
      <c r="E5" s="366"/>
      <c r="F5" s="366"/>
      <c r="G5" s="366"/>
      <c r="H5" s="366"/>
      <c r="I5" s="366"/>
      <c r="J5" s="366"/>
      <c r="K5" s="366"/>
      <c r="L5" s="276"/>
    </row>
    <row r="6" spans="2:12" ht="14.25">
      <c r="B6" s="277" t="s">
        <v>60</v>
      </c>
      <c r="C6" s="278" t="s">
        <v>61</v>
      </c>
      <c r="D6" s="278"/>
      <c r="E6" s="278"/>
      <c r="F6" s="278"/>
      <c r="G6" s="278"/>
      <c r="H6" s="278"/>
      <c r="I6" s="278"/>
      <c r="J6" s="278"/>
      <c r="K6" s="278"/>
      <c r="L6" s="279"/>
    </row>
    <row r="7" spans="2:12" ht="14.25">
      <c r="B7" s="280"/>
      <c r="C7" s="278"/>
      <c r="D7" s="278"/>
      <c r="E7" s="278"/>
      <c r="F7" s="278"/>
      <c r="G7" s="278"/>
      <c r="H7" s="278"/>
      <c r="I7" s="278"/>
      <c r="J7" s="278"/>
      <c r="K7" s="278"/>
      <c r="L7" s="279"/>
    </row>
    <row r="8" spans="2:12" ht="14.25">
      <c r="B8" s="400" t="s">
        <v>62</v>
      </c>
      <c r="C8" s="401"/>
      <c r="D8" s="401"/>
      <c r="E8" s="401"/>
      <c r="F8" s="401"/>
      <c r="G8" s="401"/>
      <c r="H8" s="401"/>
      <c r="I8" s="401"/>
      <c r="J8" s="314" t="s">
        <v>63</v>
      </c>
      <c r="K8" s="278"/>
      <c r="L8" s="279"/>
    </row>
    <row r="9" spans="2:12" ht="14.25">
      <c r="B9" s="365" t="s">
        <v>64</v>
      </c>
      <c r="C9" s="366"/>
      <c r="D9" s="366"/>
      <c r="E9" s="366"/>
      <c r="F9" s="366"/>
      <c r="G9" s="366"/>
      <c r="H9" s="366"/>
      <c r="I9" s="366"/>
      <c r="J9" s="281"/>
      <c r="K9" s="278"/>
      <c r="L9" s="279"/>
    </row>
    <row r="10" spans="2:12" ht="14.25">
      <c r="B10" s="365" t="s">
        <v>65</v>
      </c>
      <c r="C10" s="366"/>
      <c r="D10" s="366"/>
      <c r="E10" s="366"/>
      <c r="F10" s="366"/>
      <c r="G10" s="366"/>
      <c r="H10" s="366"/>
      <c r="I10" s="366"/>
      <c r="J10" s="281"/>
      <c r="K10" s="278"/>
      <c r="L10" s="279"/>
    </row>
    <row r="11" spans="2:12" ht="14.25">
      <c r="B11" s="365" t="s">
        <v>66</v>
      </c>
      <c r="C11" s="366"/>
      <c r="D11" s="366"/>
      <c r="E11" s="366"/>
      <c r="F11" s="366"/>
      <c r="G11" s="366"/>
      <c r="H11" s="366"/>
      <c r="I11" s="366"/>
      <c r="J11" s="281"/>
      <c r="K11" s="278"/>
      <c r="L11" s="279"/>
    </row>
    <row r="12" spans="2:12" ht="14.25">
      <c r="B12" s="280"/>
      <c r="C12" s="278"/>
      <c r="D12" s="278"/>
      <c r="E12" s="278"/>
      <c r="F12" s="278"/>
      <c r="G12" s="278"/>
      <c r="H12" s="278"/>
      <c r="I12" s="278"/>
      <c r="J12" s="278"/>
      <c r="K12" s="278"/>
      <c r="L12" s="279"/>
    </row>
    <row r="13" spans="2:12" ht="14.25">
      <c r="B13" s="280" t="s">
        <v>67</v>
      </c>
      <c r="C13" s="278"/>
      <c r="D13" s="278"/>
      <c r="E13" s="278"/>
      <c r="F13" s="278"/>
      <c r="G13" s="278"/>
      <c r="H13" s="278"/>
      <c r="I13" s="278"/>
      <c r="J13" s="278"/>
      <c r="K13" s="278"/>
      <c r="L13" s="279"/>
    </row>
    <row r="14" spans="2:12" ht="14.25">
      <c r="B14" s="280" t="s">
        <v>68</v>
      </c>
      <c r="C14" s="278"/>
      <c r="D14" s="278"/>
      <c r="E14" s="278"/>
      <c r="F14" s="278"/>
      <c r="G14" s="278"/>
      <c r="H14" s="278"/>
      <c r="I14" s="278"/>
      <c r="J14" s="278"/>
      <c r="K14" s="278"/>
      <c r="L14" s="279"/>
    </row>
    <row r="15" spans="2:12" ht="14.25">
      <c r="B15" s="280"/>
      <c r="C15" s="278"/>
      <c r="D15" s="278"/>
      <c r="E15" s="278"/>
      <c r="F15" s="278"/>
      <c r="G15" s="278"/>
      <c r="H15" s="278"/>
      <c r="I15" s="278"/>
      <c r="J15" s="278"/>
      <c r="K15" s="278"/>
      <c r="L15" s="279"/>
    </row>
    <row r="16" spans="2:12" ht="15" thickBot="1">
      <c r="B16" s="282" t="s">
        <v>69</v>
      </c>
      <c r="C16" s="283"/>
      <c r="D16" s="283"/>
      <c r="E16" s="283"/>
      <c r="F16" s="283"/>
      <c r="G16" s="283"/>
      <c r="H16" s="405" t="s">
        <v>70</v>
      </c>
      <c r="I16" s="405"/>
      <c r="J16" s="405"/>
      <c r="K16" s="405"/>
      <c r="L16" s="284"/>
    </row>
  </sheetData>
  <sheetProtection algorithmName="SHA-512" hashValue="hMR07pUQ8ipVP1xZNRayKeerSMHAO7AwGvRO8ocVNM3cprIPDj7HOfejIeite59kVJoeCvJMFxJ6WF57LxG5OA==" saltValue="m7gVcUWewPw/3B9Hqg1sIQ==" spinCount="100000" sheet="1" selectLockedCells="1"/>
  <mergeCells count="3">
    <mergeCell ref="B8:I8"/>
    <mergeCell ref="B2:L2"/>
    <mergeCell ref="H16:K16"/>
  </mergeCells>
  <hyperlinks>
    <hyperlink ref="B6" r:id="rId1" xr:uid="{CE8B58F9-FF67-49EC-8619-21B0B2B5C374}"/>
    <hyperlink ref="J8" r:id="rId2" xr:uid="{604EACCE-EA09-4F84-B3A1-2792684D0388}"/>
    <hyperlink ref="H16" r:id="rId3" xr:uid="{7BB672B5-A41D-44AA-8857-39FD71693B17}"/>
    <hyperlink ref="H16:K16" r:id="rId4" display="www.epa.gov/watersense/data-and-information-used-watersense" xr:uid="{783706C7-2A24-4DCA-8BE7-08130F95A31F}"/>
  </hyperlinks>
  <pageMargins left="0.7" right="0.7" top="0.75" bottom="0.75" header="0.3" footer="0.3"/>
  <pageSetup orientation="portrait"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4010C-198D-471B-A5E6-9FA338732340}">
  <sheetPr>
    <tabColor theme="2" tint="-0.499984740745262"/>
  </sheetPr>
  <dimension ref="A1:B4"/>
  <sheetViews>
    <sheetView workbookViewId="0">
      <selection activeCell="B39" sqref="B39"/>
    </sheetView>
  </sheetViews>
  <sheetFormatPr defaultRowHeight="12.75"/>
  <cols>
    <col min="1" max="1" width="11.85546875" bestFit="1" customWidth="1"/>
    <col min="2" max="2" width="101.140625" bestFit="1" customWidth="1"/>
  </cols>
  <sheetData>
    <row r="1" spans="1:2">
      <c r="A1" t="s">
        <v>71</v>
      </c>
    </row>
    <row r="2" spans="1:2">
      <c r="B2" s="317" t="s">
        <v>72</v>
      </c>
    </row>
    <row r="3" spans="1:2">
      <c r="B3" s="358" t="s">
        <v>73</v>
      </c>
    </row>
    <row r="4" spans="1:2">
      <c r="B4" s="359" t="s">
        <v>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ecords_x0020_Date xmlns="065ac8ac-c735-4de5-bc0a-c7b0c7a6902d" xsi:nil="true"/>
    <Records_x0020_Status xmlns="065ac8ac-c735-4de5-bc0a-c7b0c7a6902d">Pending</Records_x0020_Status>
    <Rights xmlns="4ffa91fb-a0ff-4ac5-b2db-65c790d184a4" xsi:nil="true"/>
    <Document_x0020_Creation_x0020_Date xmlns="4ffa91fb-a0ff-4ac5-b2db-65c790d184a4">2020-04-22T18:19:26+00:00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0A7D6967511DBF4DA58074B68D7947A3" ma:contentTypeVersion="34" ma:contentTypeDescription="Create a new document." ma:contentTypeScope="" ma:versionID="185044fd16e8c4d738317103778c04d4">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065ac8ac-c735-4de5-bc0a-c7b0c7a6902d" xmlns:ns7="d486cdb8-b011-4d55-bd2e-aeca37133872" targetNamespace="http://schemas.microsoft.com/office/2006/metadata/properties" ma:root="true" ma:fieldsID="b6ef0c0943647ca7c991b04550618dc8" ns1:_="" ns3:_="" ns4:_="" ns5:_="" ns6:_="" ns7:_="">
    <xsd:import namespace="http://schemas.microsoft.com/sharepoint/v3"/>
    <xsd:import namespace="4ffa91fb-a0ff-4ac5-b2db-65c790d184a4"/>
    <xsd:import namespace="http://schemas.microsoft.com/sharepoint.v3"/>
    <xsd:import namespace="http://schemas.microsoft.com/sharepoint/v3/fields"/>
    <xsd:import namespace="065ac8ac-c735-4de5-bc0a-c7b0c7a6902d"/>
    <xsd:import namespace="d486cdb8-b011-4d55-bd2e-aeca37133872"/>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SharedWithUsers" minOccurs="0"/>
                <xsd:element ref="ns6:SharingHintHash" minOccurs="0"/>
                <xsd:element ref="ns6:SharedWithDetails" minOccurs="0"/>
                <xsd:element ref="ns7:MediaServiceMetadata" minOccurs="0"/>
                <xsd:element ref="ns7:MediaServiceFastMetadata" minOccurs="0"/>
                <xsd:element ref="ns7:MediaServiceAutoTags" minOccurs="0"/>
                <xsd:element ref="ns7:MediaServiceOCR" minOccurs="0"/>
                <xsd:element ref="ns7:MediaServiceDateTaken" minOccurs="0"/>
                <xsd:element ref="ns7:MediaServiceLocation" minOccurs="0"/>
                <xsd:element ref="ns6:Records_x0020_Status" minOccurs="0"/>
                <xsd:element ref="ns6:Records_x0020_Date" minOccurs="0"/>
                <xsd:element ref="ns7:MediaServiceEventHashCode" minOccurs="0"/>
                <xsd:element ref="ns7:MediaServiceGenerationTime" minOccurs="0"/>
                <xsd:element ref="ns7:MediaServiceAutoKeyPoints" minOccurs="0"/>
                <xsd:element ref="ns7: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4d04900-0c73-4cf1-aca3-20259dbc02df}" ma:internalName="TaxCatchAllLabel" ma:readOnly="true" ma:showField="CatchAllDataLabel" ma:web="065ac8ac-c735-4de5-bc0a-c7b0c7a6902d">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4d04900-0c73-4cf1-aca3-20259dbc02df}" ma:internalName="TaxCatchAll" ma:showField="CatchAllData" ma:web="065ac8ac-c735-4de5-bc0a-c7b0c7a6902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5ac8ac-c735-4de5-bc0a-c7b0c7a6902d" elementFormDefault="qualified">
    <xsd:import namespace="http://schemas.microsoft.com/office/2006/documentManagement/types"/>
    <xsd:import namespace="http://schemas.microsoft.com/office/infopath/2007/PartnerControls"/>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29" nillable="true" ma:displayName="Sharing Hint Hash" ma:internalName="SharingHintHash" ma:readOnly="true">
      <xsd:simpleType>
        <xsd:restriction base="dms:Text"/>
      </xsd:simpleType>
    </xsd:element>
    <xsd:element name="SharedWithDetails" ma:index="30" nillable="true" ma:displayName="Shared With Details" ma:internalName="SharedWithDetails" ma:readOnly="true">
      <xsd:simpleType>
        <xsd:restriction base="dms:Note">
          <xsd:maxLength value="255"/>
        </xsd:restriction>
      </xsd:simpleType>
    </xsd:element>
    <xsd:element name="Records_x0020_Status" ma:index="37" nillable="true" ma:displayName="Records Status" ma:default="Pending" ma:internalName="Records_x0020_Status">
      <xsd:simpleType>
        <xsd:restriction base="dms:Text"/>
      </xsd:simpleType>
    </xsd:element>
    <xsd:element name="Records_x0020_Date" ma:index="38" nillable="true" ma:displayName="Records Date" ma:hidden="true" ma:internalName="Records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486cdb8-b011-4d55-bd2e-aeca37133872" elementFormDefault="qualified">
    <xsd:import namespace="http://schemas.microsoft.com/office/2006/documentManagement/types"/>
    <xsd:import namespace="http://schemas.microsoft.com/office/infopath/2007/PartnerControls"/>
    <xsd:element name="MediaServiceMetadata" ma:index="31" nillable="true" ma:displayName="MediaServiceMetadata" ma:description="" ma:hidden="true" ma:internalName="MediaServiceMetadata" ma:readOnly="true">
      <xsd:simpleType>
        <xsd:restriction base="dms:Note"/>
      </xsd:simpleType>
    </xsd:element>
    <xsd:element name="MediaServiceFastMetadata" ma:index="32" nillable="true" ma:displayName="MediaServiceFastMetadata" ma:description="" ma:hidden="true" ma:internalName="MediaServiceFastMetadata" ma:readOnly="true">
      <xsd:simpleType>
        <xsd:restriction base="dms:Note"/>
      </xsd:simpleType>
    </xsd:element>
    <xsd:element name="MediaServiceAutoTags" ma:index="33" nillable="true" ma:displayName="MediaServiceAutoTags" ma:internalName="MediaServiceAutoTags" ma:readOnly="true">
      <xsd:simpleType>
        <xsd:restriction base="dms:Text"/>
      </xsd:simpleType>
    </xsd:element>
    <xsd:element name="MediaServiceOCR" ma:index="34" nillable="true" ma:displayName="MediaServiceOCR" ma:internalName="MediaServiceOCR"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MediaServiceLocation" ma:internalName="MediaServiceLocation" ma:readOnly="true">
      <xsd:simpleType>
        <xsd:restriction base="dms:Text"/>
      </xsd:simpleType>
    </xsd:element>
    <xsd:element name="MediaServiceEventHashCode" ma:index="39" nillable="true" ma:displayName="MediaServiceEventHashCode" ma:hidden="true" ma:internalName="MediaServiceEventHashCode" ma:readOnly="true">
      <xsd:simpleType>
        <xsd:restriction base="dms:Text"/>
      </xsd:simpleType>
    </xsd:element>
    <xsd:element name="MediaServiceGenerationTime" ma:index="40" nillable="true" ma:displayName="MediaServiceGenerationTime" ma:hidden="true" ma:internalName="MediaServiceGenerationTime" ma:readOnly="true">
      <xsd:simpleType>
        <xsd:restriction base="dms:Text"/>
      </xsd:simpleType>
    </xsd:element>
    <xsd:element name="MediaServiceAutoKeyPoints" ma:index="41" nillable="true" ma:displayName="MediaServiceAutoKeyPoints" ma:hidden="true" ma:internalName="MediaServiceAutoKeyPoints" ma:readOnly="true">
      <xsd:simpleType>
        <xsd:restriction base="dms:Note"/>
      </xsd:simpleType>
    </xsd:element>
    <xsd:element name="MediaServiceKeyPoints" ma:index="4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D2EF3D-58F7-487F-AC18-D9ED02A9C24E}">
  <ds:schemaRefs>
    <ds:schemaRef ds:uri="http://schemas.microsoft.com/sharepoint/v3/fields"/>
    <ds:schemaRef ds:uri="4ffa91fb-a0ff-4ac5-b2db-65c790d184a4"/>
    <ds:schemaRef ds:uri="http://purl.org/dc/terms/"/>
    <ds:schemaRef ds:uri="http://schemas.microsoft.com/sharepoint/v3"/>
    <ds:schemaRef ds:uri="http://schemas.microsoft.com/office/2006/documentManagement/types"/>
    <ds:schemaRef ds:uri="http://purl.org/dc/elements/1.1/"/>
    <ds:schemaRef ds:uri="http://purl.org/dc/dcmitype/"/>
    <ds:schemaRef ds:uri="065ac8ac-c735-4de5-bc0a-c7b0c7a6902d"/>
    <ds:schemaRef ds:uri="http://schemas.microsoft.com/office/infopath/2007/PartnerControls"/>
    <ds:schemaRef ds:uri="http://www.w3.org/XML/1998/namespace"/>
    <ds:schemaRef ds:uri="http://schemas.microsoft.com/sharepoint.v3"/>
    <ds:schemaRef ds:uri="http://schemas.openxmlformats.org/package/2006/metadata/core-properties"/>
    <ds:schemaRef ds:uri="d486cdb8-b011-4d55-bd2e-aeca37133872"/>
    <ds:schemaRef ds:uri="http://schemas.microsoft.com/office/2006/metadata/properties"/>
  </ds:schemaRefs>
</ds:datastoreItem>
</file>

<file path=customXml/itemProps2.xml><?xml version="1.0" encoding="utf-8"?>
<ds:datastoreItem xmlns:ds="http://schemas.openxmlformats.org/officeDocument/2006/customXml" ds:itemID="{AC16CC12-2B28-4B27-AE42-42391CB8FA2B}">
  <ds:schemaRefs>
    <ds:schemaRef ds:uri="http://schemas.microsoft.com/sharepoint/v3/contenttype/forms"/>
  </ds:schemaRefs>
</ds:datastoreItem>
</file>

<file path=customXml/itemProps3.xml><?xml version="1.0" encoding="utf-8"?>
<ds:datastoreItem xmlns:ds="http://schemas.openxmlformats.org/officeDocument/2006/customXml" ds:itemID="{82F3B6AC-72AC-481D-ABA1-F88A28630D34}">
  <ds:schemaRefs>
    <ds:schemaRef ds:uri="Microsoft.SharePoint.Taxonomy.ContentTypeSync"/>
  </ds:schemaRefs>
</ds:datastoreItem>
</file>

<file path=customXml/itemProps4.xml><?xml version="1.0" encoding="utf-8"?>
<ds:datastoreItem xmlns:ds="http://schemas.openxmlformats.org/officeDocument/2006/customXml" ds:itemID="{3BB94BAC-B51E-4500-98EA-A8783BA0FB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065ac8ac-c735-4de5-bc0a-c7b0c7a6902d"/>
    <ds:schemaRef ds:uri="d486cdb8-b011-4d55-bd2e-aeca371338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391</vt:i4>
      </vt:variant>
    </vt:vector>
  </HeadingPairs>
  <TitlesOfParts>
    <vt:vector size="418" baseType="lpstr">
      <vt:lpstr>Introduction</vt:lpstr>
      <vt:lpstr>Manufacturer</vt:lpstr>
      <vt:lpstr>Retailer or Distributor</vt:lpstr>
      <vt:lpstr>Builder</vt:lpstr>
      <vt:lpstr>Utility or District</vt:lpstr>
      <vt:lpstr>Utility Cost</vt:lpstr>
      <vt:lpstr>Savings</vt:lpstr>
      <vt:lpstr>References</vt:lpstr>
      <vt:lpstr>Update Instructions</vt:lpstr>
      <vt:lpstr>Savings_calc</vt:lpstr>
      <vt:lpstr>lbs_mWh</vt:lpstr>
      <vt:lpstr>Annual Data</vt:lpstr>
      <vt:lpstr>DHW Mix</vt:lpstr>
      <vt:lpstr>Homes</vt:lpstr>
      <vt:lpstr>Homes_calc</vt:lpstr>
      <vt:lpstr>Toilets</vt:lpstr>
      <vt:lpstr>Faucets</vt:lpstr>
      <vt:lpstr>Faucet Accessories</vt:lpstr>
      <vt:lpstr>Showerheads</vt:lpstr>
      <vt:lpstr>FV Toilets</vt:lpstr>
      <vt:lpstr>Urinals</vt:lpstr>
      <vt:lpstr>WBICs</vt:lpstr>
      <vt:lpstr>SMSs</vt:lpstr>
      <vt:lpstr>SSBs</vt:lpstr>
      <vt:lpstr>tons_kWh</vt:lpstr>
      <vt:lpstr>Regions</vt:lpstr>
      <vt:lpstr>Supporting Data</vt:lpstr>
      <vt:lpstr>BTU_kWh</vt:lpstr>
      <vt:lpstr>BTU_therm</vt:lpstr>
      <vt:lpstr>cost_per_kwh_07</vt:lpstr>
      <vt:lpstr>cost_per_kwh_08</vt:lpstr>
      <vt:lpstr>cost_per_kwh_09</vt:lpstr>
      <vt:lpstr>cost_per_kwh_10</vt:lpstr>
      <vt:lpstr>cost_per_kwh_11</vt:lpstr>
      <vt:lpstr>cost_per_kwh_12</vt:lpstr>
      <vt:lpstr>cost_per_kwh_13</vt:lpstr>
      <vt:lpstr>cost_per_kwh_14</vt:lpstr>
      <vt:lpstr>cost_per_kwh_15</vt:lpstr>
      <vt:lpstr>cost_per_kwh_16</vt:lpstr>
      <vt:lpstr>cost_per_kwh_17</vt:lpstr>
      <vt:lpstr>cost_per_kwh_18</vt:lpstr>
      <vt:lpstr>cost_per_kwh_19</vt:lpstr>
      <vt:lpstr>cost_per_kwh_20</vt:lpstr>
      <vt:lpstr>cost_per_kwh_21</vt:lpstr>
      <vt:lpstr>cost_per_kwh_22</vt:lpstr>
      <vt:lpstr>cost_per_kwh_23</vt:lpstr>
      <vt:lpstr>cost_per_kwh_24</vt:lpstr>
      <vt:lpstr>cost_per_kwh_25</vt:lpstr>
      <vt:lpstr>cost_per_kwh_26</vt:lpstr>
      <vt:lpstr>cost_per_kwh_27</vt:lpstr>
      <vt:lpstr>cost_per_kwh_28</vt:lpstr>
      <vt:lpstr>cost_per_kwh_29</vt:lpstr>
      <vt:lpstr>cost_per_kwh_30</vt:lpstr>
      <vt:lpstr>cost_per_mcf_07</vt:lpstr>
      <vt:lpstr>cost_per_mcf_08</vt:lpstr>
      <vt:lpstr>cost_per_mcf_09</vt:lpstr>
      <vt:lpstr>cost_per_mcf_10</vt:lpstr>
      <vt:lpstr>cost_per_mcf_11</vt:lpstr>
      <vt:lpstr>cost_per_mcf_12</vt:lpstr>
      <vt:lpstr>cost_per_mcf_13</vt:lpstr>
      <vt:lpstr>cost_per_mcf_14</vt:lpstr>
      <vt:lpstr>cost_per_mcf_15</vt:lpstr>
      <vt:lpstr>cost_per_mcf_16</vt:lpstr>
      <vt:lpstr>cost_per_mcf_17</vt:lpstr>
      <vt:lpstr>cost_per_mcf_18</vt:lpstr>
      <vt:lpstr>cost_per_mcf_19</vt:lpstr>
      <vt:lpstr>cost_per_mcf_20</vt:lpstr>
      <vt:lpstr>cost_per_mcf_21</vt:lpstr>
      <vt:lpstr>cost_per_mcf_22</vt:lpstr>
      <vt:lpstr>cost_per_mcf_23</vt:lpstr>
      <vt:lpstr>cost_per_mcf_24</vt:lpstr>
      <vt:lpstr>cost_per_mcf_25</vt:lpstr>
      <vt:lpstr>cost_per_mcf_26</vt:lpstr>
      <vt:lpstr>cost_per_mcf_27</vt:lpstr>
      <vt:lpstr>cost_per_mcf_28</vt:lpstr>
      <vt:lpstr>cost_per_mcf_29</vt:lpstr>
      <vt:lpstr>cost_per_mcf_30</vt:lpstr>
      <vt:lpstr>current_year</vt:lpstr>
      <vt:lpstr>Homes!Elec_res</vt:lpstr>
      <vt:lpstr>'Retailer or Distributor'!Elec_res</vt:lpstr>
      <vt:lpstr>Savings!Elec_res</vt:lpstr>
      <vt:lpstr>Savings_calc!Elec_res</vt:lpstr>
      <vt:lpstr>SMSs!Elec_res</vt:lpstr>
      <vt:lpstr>tons_kWh!Elec_res</vt:lpstr>
      <vt:lpstr>'Utility or District'!Elec_res</vt:lpstr>
      <vt:lpstr>Elec_res</vt:lpstr>
      <vt:lpstr>Faucet_Accessories_co2</vt:lpstr>
      <vt:lpstr>Faucet_Accessories_kwh</vt:lpstr>
      <vt:lpstr>Faucet_Accessories_USD</vt:lpstr>
      <vt:lpstr>tons_kWh!Faucet_Aerators_h2o</vt:lpstr>
      <vt:lpstr>'Utility or District'!Faucet_Aerators_h2o</vt:lpstr>
      <vt:lpstr>Faucet_Aerators_h2o</vt:lpstr>
      <vt:lpstr>Faucets_co2</vt:lpstr>
      <vt:lpstr>tons_kWh!Faucets_h2o</vt:lpstr>
      <vt:lpstr>'Utility or District'!Faucets_h2o</vt:lpstr>
      <vt:lpstr>Faucets_h2o</vt:lpstr>
      <vt:lpstr>Faucets_kwh</vt:lpstr>
      <vt:lpstr>Faucets_USD</vt:lpstr>
      <vt:lpstr>FV_Toilets_co2</vt:lpstr>
      <vt:lpstr>tons_kWh!FV_Toilets_h2o</vt:lpstr>
      <vt:lpstr>'Utility or District'!FV_Toilets_h2o</vt:lpstr>
      <vt:lpstr>FV_Toilets_h2o</vt:lpstr>
      <vt:lpstr>FV_Toilets_kwh</vt:lpstr>
      <vt:lpstr>FV_Toilets_USD</vt:lpstr>
      <vt:lpstr>gal_cf</vt:lpstr>
      <vt:lpstr>gal_cmeter</vt:lpstr>
      <vt:lpstr>gallons_hot_home_saved</vt:lpstr>
      <vt:lpstr>Homes!Gas_res</vt:lpstr>
      <vt:lpstr>'Retailer or Distributor'!Gas_res</vt:lpstr>
      <vt:lpstr>Savings!Gas_res</vt:lpstr>
      <vt:lpstr>Savings_calc!Gas_res</vt:lpstr>
      <vt:lpstr>SMSs!Gas_res</vt:lpstr>
      <vt:lpstr>tons_kWh!Gas_res</vt:lpstr>
      <vt:lpstr>'Utility or District'!Gas_res</vt:lpstr>
      <vt:lpstr>Gas_res</vt:lpstr>
      <vt:lpstr>Homes!GDP</vt:lpstr>
      <vt:lpstr>'Retailer or Distributor'!GDP</vt:lpstr>
      <vt:lpstr>Savings!GDP</vt:lpstr>
      <vt:lpstr>Savings_calc!GDP</vt:lpstr>
      <vt:lpstr>SMSs!GDP</vt:lpstr>
      <vt:lpstr>tons_kWh!GDP</vt:lpstr>
      <vt:lpstr>'Utility or District'!GDP</vt:lpstr>
      <vt:lpstr>GDP</vt:lpstr>
      <vt:lpstr>tons_kWh!h2o_annual</vt:lpstr>
      <vt:lpstr>'Utility or District'!h2o_annual</vt:lpstr>
      <vt:lpstr>h2o_annual</vt:lpstr>
      <vt:lpstr>tons_kWh!h2o_cumulative</vt:lpstr>
      <vt:lpstr>'Utility or District'!h2o_cumulative</vt:lpstr>
      <vt:lpstr>h2o_cumulative</vt:lpstr>
      <vt:lpstr>home_w_products</vt:lpstr>
      <vt:lpstr>Homes_co2</vt:lpstr>
      <vt:lpstr>Homes_h2o</vt:lpstr>
      <vt:lpstr>Homes_kwh</vt:lpstr>
      <vt:lpstr>homes_savings_2009</vt:lpstr>
      <vt:lpstr>homes_savings_2010</vt:lpstr>
      <vt:lpstr>homes_savings_2011</vt:lpstr>
      <vt:lpstr>homes_savings_2012</vt:lpstr>
      <vt:lpstr>homes_savings_2013</vt:lpstr>
      <vt:lpstr>homes_savings_2014</vt:lpstr>
      <vt:lpstr>homes_savings_2015</vt:lpstr>
      <vt:lpstr>homes_savings_2016</vt:lpstr>
      <vt:lpstr>homes_savings_2017</vt:lpstr>
      <vt:lpstr>homes_savings_2018</vt:lpstr>
      <vt:lpstr>homes_savings_2019</vt:lpstr>
      <vt:lpstr>homes_savings_2020</vt:lpstr>
      <vt:lpstr>homes_savings_2021</vt:lpstr>
      <vt:lpstr>homes_savings_2022</vt:lpstr>
      <vt:lpstr>homes_savings_2023</vt:lpstr>
      <vt:lpstr>homes_savings_2024</vt:lpstr>
      <vt:lpstr>homes_savings_2025</vt:lpstr>
      <vt:lpstr>homes_savings_2026</vt:lpstr>
      <vt:lpstr>homes_savings_2027</vt:lpstr>
      <vt:lpstr>homes_savings_2028</vt:lpstr>
      <vt:lpstr>homes_savings_2029</vt:lpstr>
      <vt:lpstr>homes_savings_2030</vt:lpstr>
      <vt:lpstr>Homes_usd</vt:lpstr>
      <vt:lpstr>Houses_with_elec_07</vt:lpstr>
      <vt:lpstr>Houses_with_elec_08</vt:lpstr>
      <vt:lpstr>Houses_with_elec_09</vt:lpstr>
      <vt:lpstr>Houses_with_elec_10</vt:lpstr>
      <vt:lpstr>Houses_with_elec_11</vt:lpstr>
      <vt:lpstr>Houses_with_elec_12</vt:lpstr>
      <vt:lpstr>Houses_with_elec_13</vt:lpstr>
      <vt:lpstr>Houses_with_elec_14</vt:lpstr>
      <vt:lpstr>Houses_with_elec_15</vt:lpstr>
      <vt:lpstr>Houses_with_elec_16</vt:lpstr>
      <vt:lpstr>Houses_with_elec_17</vt:lpstr>
      <vt:lpstr>Houses_with_elec_18</vt:lpstr>
      <vt:lpstr>Houses_with_elec_19</vt:lpstr>
      <vt:lpstr>Houses_with_elec_20</vt:lpstr>
      <vt:lpstr>Houses_with_elec_21</vt:lpstr>
      <vt:lpstr>Houses_with_elec_22</vt:lpstr>
      <vt:lpstr>Houses_with_elec_23</vt:lpstr>
      <vt:lpstr>Houses_with_elec_24</vt:lpstr>
      <vt:lpstr>Houses_with_elec_25</vt:lpstr>
      <vt:lpstr>Houses_with_elec_26</vt:lpstr>
      <vt:lpstr>Houses_with_elec_27</vt:lpstr>
      <vt:lpstr>Houses_with_elec_28</vt:lpstr>
      <vt:lpstr>Houses_with_elec_29</vt:lpstr>
      <vt:lpstr>Houses_with_elec_30</vt:lpstr>
      <vt:lpstr>Houses_with_gas_07</vt:lpstr>
      <vt:lpstr>Houses_with_gas_08</vt:lpstr>
      <vt:lpstr>Houses_with_gas_09</vt:lpstr>
      <vt:lpstr>Houses_with_gas_10</vt:lpstr>
      <vt:lpstr>Houses_with_gas_11</vt:lpstr>
      <vt:lpstr>Houses_with_gas_12</vt:lpstr>
      <vt:lpstr>Houses_with_gas_13</vt:lpstr>
      <vt:lpstr>Houses_with_gas_14</vt:lpstr>
      <vt:lpstr>Houses_with_gas_15</vt:lpstr>
      <vt:lpstr>Houses_with_gas_16</vt:lpstr>
      <vt:lpstr>Houses_with_gas_17</vt:lpstr>
      <vt:lpstr>Houses_with_gas_18</vt:lpstr>
      <vt:lpstr>Houses_with_gas_19</vt:lpstr>
      <vt:lpstr>Houses_with_gas_20</vt:lpstr>
      <vt:lpstr>Houses_with_gas_21</vt:lpstr>
      <vt:lpstr>Houses_with_gas_22</vt:lpstr>
      <vt:lpstr>Houses_with_gas_23</vt:lpstr>
      <vt:lpstr>Houses_with_gas_24</vt:lpstr>
      <vt:lpstr>Houses_with_gas_25</vt:lpstr>
      <vt:lpstr>Houses_with_gas_26</vt:lpstr>
      <vt:lpstr>Houses_with_gas_27</vt:lpstr>
      <vt:lpstr>Houses_with_gas_28</vt:lpstr>
      <vt:lpstr>Houses_with_gas_29</vt:lpstr>
      <vt:lpstr>Houses_with_gas_30</vt:lpstr>
      <vt:lpstr>Houses_with_plumbing_07</vt:lpstr>
      <vt:lpstr>Houses_with_plumbing_08</vt:lpstr>
      <vt:lpstr>Houses_with_plumbing_09</vt:lpstr>
      <vt:lpstr>Houses_with_plumbing_10</vt:lpstr>
      <vt:lpstr>Houses_with_plumbing_11</vt:lpstr>
      <vt:lpstr>Houses_with_plumbing_12</vt:lpstr>
      <vt:lpstr>Houses_with_plumbing_13</vt:lpstr>
      <vt:lpstr>Houses_with_plumbing_14</vt:lpstr>
      <vt:lpstr>Houses_with_plumbing_15</vt:lpstr>
      <vt:lpstr>Houses_with_plumbing_16</vt:lpstr>
      <vt:lpstr>Houses_with_plumbing_17</vt:lpstr>
      <vt:lpstr>Houses_with_plumbing_18</vt:lpstr>
      <vt:lpstr>Houses_with_plumbing_19</vt:lpstr>
      <vt:lpstr>Houses_with_plumbing_20</vt:lpstr>
      <vt:lpstr>Houses_with_plumbing_21</vt:lpstr>
      <vt:lpstr>Houses_with_plumbing_22</vt:lpstr>
      <vt:lpstr>Houses_with_plumbing_23</vt:lpstr>
      <vt:lpstr>Houses_with_plumbing_24</vt:lpstr>
      <vt:lpstr>Houses_with_plumbing_25</vt:lpstr>
      <vt:lpstr>Houses_with_plumbing_26</vt:lpstr>
      <vt:lpstr>Houses_with_plumbing_27</vt:lpstr>
      <vt:lpstr>Houses_with_plumbing_28</vt:lpstr>
      <vt:lpstr>Houses_with_plumbing_29</vt:lpstr>
      <vt:lpstr>Houses_with_plumbing_30</vt:lpstr>
      <vt:lpstr>Indoor_savings_year_WaterSense_labeled_home</vt:lpstr>
      <vt:lpstr>Indoor_Use_home</vt:lpstr>
      <vt:lpstr>Homes!kWh_heat_gal_comm</vt:lpstr>
      <vt:lpstr>'Retailer or Distributor'!kWh_heat_gal_comm</vt:lpstr>
      <vt:lpstr>Savings!kWh_heat_gal_comm</vt:lpstr>
      <vt:lpstr>Savings_calc!kWh_heat_gal_comm</vt:lpstr>
      <vt:lpstr>SMSs!kWh_heat_gal_comm</vt:lpstr>
      <vt:lpstr>tons_kWh!kWh_heat_gal_comm</vt:lpstr>
      <vt:lpstr>'Utility or District'!kWh_heat_gal_comm</vt:lpstr>
      <vt:lpstr>kWh_heat_gal_comm</vt:lpstr>
      <vt:lpstr>kwh_per_gal_drnk_water</vt:lpstr>
      <vt:lpstr>kwh_per_gal_hot_water_2007</vt:lpstr>
      <vt:lpstr>kwh_per_gal_hot_water_2008</vt:lpstr>
      <vt:lpstr>kwh_per_gal_hot_water_2009</vt:lpstr>
      <vt:lpstr>kwh_per_gal_hot_water_2010</vt:lpstr>
      <vt:lpstr>kwh_per_gal_hot_water_2011</vt:lpstr>
      <vt:lpstr>kwh_per_gal_hot_water_2012</vt:lpstr>
      <vt:lpstr>kwh_per_gal_hot_water_2013</vt:lpstr>
      <vt:lpstr>kwh_per_gal_hot_water_2014</vt:lpstr>
      <vt:lpstr>kwh_per_gal_hot_water_2015</vt:lpstr>
      <vt:lpstr>kwh_per_gal_hot_water_2016</vt:lpstr>
      <vt:lpstr>kwh_per_gal_hot_water_2017</vt:lpstr>
      <vt:lpstr>kwh_per_gal_hot_water_2018</vt:lpstr>
      <vt:lpstr>kwh_per_gal_hot_water_2019</vt:lpstr>
      <vt:lpstr>kwh_per_gal_hot_water_2020</vt:lpstr>
      <vt:lpstr>kwh_per_gal_hot_water_2021</vt:lpstr>
      <vt:lpstr>kwh_per_gal_hot_water_2022</vt:lpstr>
      <vt:lpstr>kwh_per_gal_hot_water_2023</vt:lpstr>
      <vt:lpstr>kwh_per_gal_hot_water_2024</vt:lpstr>
      <vt:lpstr>kwh_per_gal_hot_water_2025</vt:lpstr>
      <vt:lpstr>kwh_per_gal_hot_water_2026</vt:lpstr>
      <vt:lpstr>kwh_per_gal_hot_water_2027</vt:lpstr>
      <vt:lpstr>kwh_per_gal_hot_water_2028</vt:lpstr>
      <vt:lpstr>kwh_per_gal_hot_water_2029</vt:lpstr>
      <vt:lpstr>kwh_per_gal_hot_water_2030</vt:lpstr>
      <vt:lpstr>'FV Toilets'!kwh_per_gal_hot_water_elec_com</vt:lpstr>
      <vt:lpstr>Homes!kwh_per_gal_hot_water_elec_com</vt:lpstr>
      <vt:lpstr>'Retailer or Distributor'!kwh_per_gal_hot_water_elec_com</vt:lpstr>
      <vt:lpstr>Savings!kwh_per_gal_hot_water_elec_com</vt:lpstr>
      <vt:lpstr>Savings_calc!kwh_per_gal_hot_water_elec_com</vt:lpstr>
      <vt:lpstr>SMSs!kwh_per_gal_hot_water_elec_com</vt:lpstr>
      <vt:lpstr>tons_kWh!kwh_per_gal_hot_water_elec_com</vt:lpstr>
      <vt:lpstr>'Utility or District'!kwh_per_gal_hot_water_elec_com</vt:lpstr>
      <vt:lpstr>kwh_per_gal_hot_water_elec_com</vt:lpstr>
      <vt:lpstr>kwh_per_gal_waste_water</vt:lpstr>
      <vt:lpstr>kwh_per_therm</vt:lpstr>
      <vt:lpstr>mcf_per_gal_hot_water_2007</vt:lpstr>
      <vt:lpstr>mcf_per_gal_hot_water_2008</vt:lpstr>
      <vt:lpstr>mcf_per_gal_hot_water_2009</vt:lpstr>
      <vt:lpstr>mcf_per_gal_hot_water_2010</vt:lpstr>
      <vt:lpstr>mcf_per_gal_hot_water_2011</vt:lpstr>
      <vt:lpstr>mcf_per_gal_hot_water_2012</vt:lpstr>
      <vt:lpstr>mcf_per_gal_hot_water_2013</vt:lpstr>
      <vt:lpstr>mcf_per_gal_hot_water_2014</vt:lpstr>
      <vt:lpstr>mcf_per_gal_hot_water_2015</vt:lpstr>
      <vt:lpstr>mcf_per_gal_hot_water_2016</vt:lpstr>
      <vt:lpstr>mcf_per_gal_hot_water_2017</vt:lpstr>
      <vt:lpstr>mcf_per_gal_hot_water_2018</vt:lpstr>
      <vt:lpstr>mcf_per_gal_hot_water_2019</vt:lpstr>
      <vt:lpstr>mcf_per_gal_hot_water_2020</vt:lpstr>
      <vt:lpstr>mcf_per_gal_hot_water_2021</vt:lpstr>
      <vt:lpstr>mcf_per_gal_hot_water_2022</vt:lpstr>
      <vt:lpstr>mcf_per_gal_hot_water_2023</vt:lpstr>
      <vt:lpstr>mcf_per_gal_hot_water_2024</vt:lpstr>
      <vt:lpstr>mcf_per_gal_hot_water_2025</vt:lpstr>
      <vt:lpstr>mcf_per_gal_hot_water_2026</vt:lpstr>
      <vt:lpstr>mcf_per_gal_hot_water_2027</vt:lpstr>
      <vt:lpstr>mcf_per_gal_hot_water_2028</vt:lpstr>
      <vt:lpstr>mcf_per_gal_hot_water_2029</vt:lpstr>
      <vt:lpstr>mcf_per_gal_hot_water_2030</vt:lpstr>
      <vt:lpstr>mcf_per_gal_hot_water_gas_com</vt:lpstr>
      <vt:lpstr>new_home_faucet</vt:lpstr>
      <vt:lpstr>new_home_showerhead</vt:lpstr>
      <vt:lpstr>new_home_toilet</vt:lpstr>
      <vt:lpstr>of_Indoor_Water_Use_that_is_Hot</vt:lpstr>
      <vt:lpstr>partner_name</vt:lpstr>
      <vt:lpstr>partner_type</vt:lpstr>
      <vt:lpstr>perc_hot_water_faucet</vt:lpstr>
      <vt:lpstr>perc_hot_water_faucet_2007</vt:lpstr>
      <vt:lpstr>perc_hot_water_faucet_2008</vt:lpstr>
      <vt:lpstr>perc_hot_water_faucet_2009</vt:lpstr>
      <vt:lpstr>perc_hot_water_faucet_2010</vt:lpstr>
      <vt:lpstr>perc_hot_water_faucet_2011</vt:lpstr>
      <vt:lpstr>perc_hot_water_faucet_2012</vt:lpstr>
      <vt:lpstr>perc_hot_water_faucet_2013</vt:lpstr>
      <vt:lpstr>perc_hot_water_faucet_2014</vt:lpstr>
      <vt:lpstr>perc_hot_water_faucet_2015</vt:lpstr>
      <vt:lpstr>perc_hot_water_faucet_2016</vt:lpstr>
      <vt:lpstr>perc_hot_water_faucet_2017</vt:lpstr>
      <vt:lpstr>perc_hot_water_faucet_2018</vt:lpstr>
      <vt:lpstr>perc_hot_water_faucet_2019</vt:lpstr>
      <vt:lpstr>perc_hot_water_faucet_2020</vt:lpstr>
      <vt:lpstr>perc_hot_water_faucet_2021</vt:lpstr>
      <vt:lpstr>perc_hot_water_faucet_2022</vt:lpstr>
      <vt:lpstr>perc_hot_water_faucet_2023</vt:lpstr>
      <vt:lpstr>perc_hot_water_faucet_2024</vt:lpstr>
      <vt:lpstr>perc_hot_water_faucet_2025</vt:lpstr>
      <vt:lpstr>perc_hot_water_faucet_2026</vt:lpstr>
      <vt:lpstr>perc_hot_water_faucet_2027</vt:lpstr>
      <vt:lpstr>perc_hot_water_faucet_2028</vt:lpstr>
      <vt:lpstr>perc_hot_water_faucet_2029</vt:lpstr>
      <vt:lpstr>perc_hot_water_faucet_2030</vt:lpstr>
      <vt:lpstr>perc_hot_water_shower</vt:lpstr>
      <vt:lpstr>perc_hot_water_shower_2007</vt:lpstr>
      <vt:lpstr>perc_hot_water_shower_2008</vt:lpstr>
      <vt:lpstr>perc_hot_water_shower_2009</vt:lpstr>
      <vt:lpstr>perc_hot_water_shower_2010</vt:lpstr>
      <vt:lpstr>perc_hot_water_shower_2011</vt:lpstr>
      <vt:lpstr>perc_hot_water_shower_2012</vt:lpstr>
      <vt:lpstr>perc_hot_water_shower_2013</vt:lpstr>
      <vt:lpstr>perc_hot_water_shower_2014</vt:lpstr>
      <vt:lpstr>perc_hot_water_shower_2015</vt:lpstr>
      <vt:lpstr>perc_hot_water_shower_2016</vt:lpstr>
      <vt:lpstr>perc_hot_water_shower_2017</vt:lpstr>
      <vt:lpstr>perc_hot_water_shower_2018</vt:lpstr>
      <vt:lpstr>perc_hot_water_shower_2019</vt:lpstr>
      <vt:lpstr>perc_hot_water_shower_2020</vt:lpstr>
      <vt:lpstr>perc_hot_water_shower_2021</vt:lpstr>
      <vt:lpstr>perc_hot_water_shower_2022</vt:lpstr>
      <vt:lpstr>perc_hot_water_shower_2023</vt:lpstr>
      <vt:lpstr>perc_hot_water_shower_2024</vt:lpstr>
      <vt:lpstr>perc_hot_water_shower_2025</vt:lpstr>
      <vt:lpstr>perc_hot_water_shower_2026</vt:lpstr>
      <vt:lpstr>perc_hot_water_shower_2027</vt:lpstr>
      <vt:lpstr>perc_hot_water_shower_2028</vt:lpstr>
      <vt:lpstr>perc_hot_water_shower_2029</vt:lpstr>
      <vt:lpstr>perc_hot_water_shower_2030</vt:lpstr>
      <vt:lpstr>Savings!Print_Area</vt:lpstr>
      <vt:lpstr>Savings_home_in_cold_climate</vt:lpstr>
      <vt:lpstr>Savings_home_in_hot_climate</vt:lpstr>
      <vt:lpstr>Showerheads_co2</vt:lpstr>
      <vt:lpstr>tons_kWh!Showerheads_h2o</vt:lpstr>
      <vt:lpstr>'Utility or District'!Showerheads_h2o</vt:lpstr>
      <vt:lpstr>Showerheads_h2o</vt:lpstr>
      <vt:lpstr>Showerheads_kwh</vt:lpstr>
      <vt:lpstr>Showerheads_USD</vt:lpstr>
      <vt:lpstr>SMSs_co2</vt:lpstr>
      <vt:lpstr>tons_kWh!SMSs_h2o</vt:lpstr>
      <vt:lpstr>'Utility or District'!SMSs_h2o</vt:lpstr>
      <vt:lpstr>SMSs_h2o</vt:lpstr>
      <vt:lpstr>SMSs_kwh</vt:lpstr>
      <vt:lpstr>SMSs_USD</vt:lpstr>
      <vt:lpstr>sp_heat_water</vt:lpstr>
      <vt:lpstr>SSBs_co2</vt:lpstr>
      <vt:lpstr>tons_kWh!SSBs_h2o</vt:lpstr>
      <vt:lpstr>'Utility or District'!SSBs_h2o</vt:lpstr>
      <vt:lpstr>SSBs_h2o</vt:lpstr>
      <vt:lpstr>SSBs_kwh</vt:lpstr>
      <vt:lpstr>SSBs_USD</vt:lpstr>
      <vt:lpstr>T_rise_comm</vt:lpstr>
      <vt:lpstr>T_rise_res</vt:lpstr>
      <vt:lpstr>T_wtr_inlet</vt:lpstr>
      <vt:lpstr>therms_gal_comm</vt:lpstr>
      <vt:lpstr>therms_per_mcf</vt:lpstr>
      <vt:lpstr>Toilets_co2</vt:lpstr>
      <vt:lpstr>tons_kWh!Toilets_h2o</vt:lpstr>
      <vt:lpstr>'Utility or District'!Toilets_h2o</vt:lpstr>
      <vt:lpstr>Toilets_h2o</vt:lpstr>
      <vt:lpstr>Toilets_kwh</vt:lpstr>
      <vt:lpstr>Toilets_USD</vt:lpstr>
      <vt:lpstr>tons_co2_per_kwh</vt:lpstr>
      <vt:lpstr>tons_co2_per_therm</vt:lpstr>
      <vt:lpstr>total_wslh</vt:lpstr>
      <vt:lpstr>Urinals_co2</vt:lpstr>
      <vt:lpstr>tons_kWh!Urinals_h2o</vt:lpstr>
      <vt:lpstr>'Utility or District'!Urinals_h2o</vt:lpstr>
      <vt:lpstr>Urinals_h2o</vt:lpstr>
      <vt:lpstr>Urinals_kwh</vt:lpstr>
      <vt:lpstr>Urinals_USD</vt:lpstr>
      <vt:lpstr>Homes!water_com</vt:lpstr>
      <vt:lpstr>Savings!water_com</vt:lpstr>
      <vt:lpstr>SMSs!water_com</vt:lpstr>
      <vt:lpstr>tons_kWh!water_com</vt:lpstr>
      <vt:lpstr>'Utility or District'!water_com</vt:lpstr>
      <vt:lpstr>water_com</vt:lpstr>
      <vt:lpstr>Savings!water_res</vt:lpstr>
      <vt:lpstr>SMSs!water_res</vt:lpstr>
      <vt:lpstr>tons_kWh!water_res</vt:lpstr>
      <vt:lpstr>'Utility or District'!water_res</vt:lpstr>
      <vt:lpstr>water_res</vt:lpstr>
      <vt:lpstr>water_weight</vt:lpstr>
      <vt:lpstr>'Retailer or Distributor'!watercost_res</vt:lpstr>
      <vt:lpstr>'Utility or District'!watercost_res</vt:lpstr>
      <vt:lpstr>WBICs_co2</vt:lpstr>
      <vt:lpstr>tons_kWh!WBICs_h2o</vt:lpstr>
      <vt:lpstr>'Utility or District'!WBICs_h2o</vt:lpstr>
      <vt:lpstr>WBICs_h2o</vt:lpstr>
      <vt:lpstr>WBICs_kwh</vt:lpstr>
      <vt:lpstr>WBICs_USD</vt:lpstr>
      <vt:lpstr>WH_setpoint</vt:lpstr>
    </vt:vector>
  </TitlesOfParts>
  <Manager/>
  <Company>ERG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LBNL</dc:creator>
  <cp:keywords/>
  <dc:description/>
  <cp:lastModifiedBy>Robert Pickering</cp:lastModifiedBy>
  <cp:revision/>
  <dcterms:created xsi:type="dcterms:W3CDTF">2008-10-07T13:44:22Z</dcterms:created>
  <dcterms:modified xsi:type="dcterms:W3CDTF">2025-11-21T20:53:06Z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0x0101000A7D6967511DBF4DA58074B68D7947A3</vt:lpwstr>
  </property>
</Properties>
</file>