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filterPrivacy="1" codeName="ThisWorkbook" defaultThemeVersion="166925"/>
  <xr:revisionPtr revIDLastSave="494" documentId="8_{42495FE5-FFFF-4FE1-8C44-BD4FE6F62225}" xr6:coauthVersionLast="47" xr6:coauthVersionMax="47" xr10:uidLastSave="{C42BDB84-B376-4D39-B2E8-733B5836D6E5}"/>
  <bookViews>
    <workbookView xWindow="-120" yWindow="-120" windowWidth="29040" windowHeight="15720" activeTab="13" xr2:uid="{961787A2-7B38-4EF8-A04F-74FE4053E4A9}"/>
  </bookViews>
  <sheets>
    <sheet name="Cover Page" sheetId="60" r:id="rId1"/>
    <sheet name="ReadMe" sheetId="1" r:id="rId2"/>
    <sheet name="P-Chem" sheetId="2" r:id="rId3"/>
    <sheet name="COU BBP" sheetId="49" r:id="rId4"/>
    <sheet name="Use Report Product Review" sheetId="56" r:id="rId5"/>
    <sheet name="Literature Data" sheetId="57" r:id="rId6"/>
    <sheet name="WA PTD Database" sheetId="58" r:id="rId7"/>
    <sheet name="HPCDS Database" sheetId="59" r:id="rId8"/>
    <sheet name="BBP Crosswalk" sheetId="50" r:id="rId9"/>
    <sheet name="Frequency Inputs" sheetId="47" r:id="rId10"/>
    <sheet name="Article Inputs" sheetId="12" r:id="rId11"/>
    <sheet name="Compiled Products" sheetId="28" r:id="rId12"/>
    <sheet name="Compiled Articles" sheetId="29" r:id="rId13"/>
    <sheet name="Dermal Calcs" sheetId="27" r:id="rId14"/>
    <sheet name="Tire Crumb Calc Inputs" sheetId="52" r:id="rId15"/>
    <sheet name="Tire Crumb Dose Calcs" sheetId="53" r:id="rId16"/>
  </sheets>
  <externalReferences>
    <externalReference r:id="rId17"/>
  </externalReferences>
  <definedNames>
    <definedName name="_xlnm._FilterDatabase" localSheetId="8" hidden="1">'BBP Crosswalk'!$A$1:$Y$17</definedName>
    <definedName name="_xlnm._FilterDatabase" localSheetId="12" hidden="1">'Compiled Articles'!$A$18:$K$130</definedName>
    <definedName name="_xlnm._FilterDatabase" localSheetId="13" hidden="1">'Dermal Calcs'!$A$1:$BA$57</definedName>
    <definedName name="CEM_Input__Area_of_Article_Mouthed">'Article Inputs'!$A$43</definedName>
    <definedName name="CEM_Input__Chemical_Migration_Rate">'Article Inputs'!$A$60</definedName>
    <definedName name="CEM_Input__Mouthing_Duration">'Article Inputs'!$A$10</definedName>
    <definedName name="CEM_Input__Product_Density">'Article Inputs'!$A$84</definedName>
    <definedName name="CEM_Input__Surface_Area_of_Articles">'Article Inputs'!$A$95</definedName>
    <definedName name="Registry_ID_Xwalk" localSheetId="8">#REF!</definedName>
    <definedName name="Registry_ID_Xwalk" localSheetId="3">#REF!</definedName>
    <definedName name="Registry_ID_Xwal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9" i="59" l="1"/>
  <c r="M118" i="59"/>
  <c r="K26" i="58"/>
  <c r="K25" i="58"/>
  <c r="K24" i="58"/>
  <c r="K23" i="58"/>
  <c r="K22" i="58"/>
  <c r="K21" i="58"/>
  <c r="K20" i="58"/>
  <c r="Z19" i="58"/>
  <c r="Y19" i="58"/>
  <c r="AB19" i="58" s="1"/>
  <c r="X19" i="58"/>
  <c r="AA19" i="58" s="1"/>
  <c r="W19" i="58"/>
  <c r="K19" i="58"/>
  <c r="Y18" i="58"/>
  <c r="AB18" i="58" s="1"/>
  <c r="X18" i="58"/>
  <c r="AA18" i="58" s="1"/>
  <c r="W18" i="58"/>
  <c r="Z18" i="58" s="1"/>
  <c r="K18" i="58"/>
  <c r="AB17" i="58"/>
  <c r="AA17" i="58"/>
  <c r="Z17" i="58"/>
  <c r="Y17" i="58"/>
  <c r="X17" i="58"/>
  <c r="W17" i="58"/>
  <c r="K17" i="58"/>
  <c r="Y16" i="58"/>
  <c r="AB16" i="58" s="1"/>
  <c r="X16" i="58"/>
  <c r="AA16" i="58" s="1"/>
  <c r="W16" i="58"/>
  <c r="Z16" i="58" s="1"/>
  <c r="K16" i="58"/>
  <c r="AB15" i="58"/>
  <c r="Y15" i="58"/>
  <c r="X15" i="58"/>
  <c r="AA15" i="58" s="1"/>
  <c r="W15" i="58"/>
  <c r="Z15" i="58" s="1"/>
  <c r="K15" i="58"/>
  <c r="K14" i="58"/>
  <c r="G29" i="57"/>
  <c r="G27" i="57"/>
  <c r="G26" i="57"/>
  <c r="G25" i="57"/>
  <c r="G23" i="57"/>
  <c r="G22" i="57"/>
  <c r="G21" i="57"/>
  <c r="G19" i="57"/>
  <c r="G17" i="57"/>
  <c r="G15" i="57"/>
  <c r="G14" i="57"/>
  <c r="G13" i="57"/>
  <c r="G12" i="57"/>
  <c r="G10" i="57"/>
  <c r="G9" i="57"/>
  <c r="G8" i="57"/>
  <c r="G6" i="57"/>
  <c r="G5" i="57"/>
  <c r="G4" i="57"/>
  <c r="G3" i="57"/>
  <c r="L57" i="56"/>
  <c r="J57" i="56"/>
  <c r="H57" i="56"/>
  <c r="K57" i="56" s="1"/>
  <c r="L43" i="56"/>
  <c r="J43" i="56"/>
  <c r="H43" i="56"/>
  <c r="K43" i="56" s="1"/>
  <c r="L42" i="56"/>
  <c r="J42" i="56"/>
  <c r="H42" i="56"/>
  <c r="K42" i="56" s="1"/>
  <c r="L41" i="56"/>
  <c r="J41" i="56"/>
  <c r="H41" i="56"/>
  <c r="K41" i="56" s="1"/>
  <c r="L36" i="56"/>
  <c r="J36" i="56"/>
  <c r="H36" i="56"/>
  <c r="K36" i="56" s="1"/>
  <c r="L34" i="56"/>
  <c r="J34" i="56"/>
  <c r="H34" i="56"/>
  <c r="K34" i="56" s="1"/>
  <c r="L33" i="56"/>
  <c r="J33" i="56"/>
  <c r="H33" i="56"/>
  <c r="K33" i="56" s="1"/>
  <c r="L30" i="56"/>
  <c r="J30" i="56"/>
  <c r="H30" i="56"/>
  <c r="K30" i="56" s="1"/>
  <c r="L29" i="56"/>
  <c r="J29" i="56"/>
  <c r="H29" i="56"/>
  <c r="K29" i="56" s="1"/>
  <c r="L28" i="56"/>
  <c r="J28" i="56"/>
  <c r="H28" i="56"/>
  <c r="K28" i="56" s="1"/>
  <c r="L25" i="56"/>
  <c r="J25" i="56"/>
  <c r="H25" i="56"/>
  <c r="K25" i="56" s="1"/>
  <c r="L23" i="56"/>
  <c r="J23" i="56"/>
  <c r="H23" i="56"/>
  <c r="K23" i="56" s="1"/>
  <c r="L14" i="56"/>
  <c r="J14" i="56"/>
  <c r="H14" i="56"/>
  <c r="K14" i="56" s="1"/>
  <c r="L10" i="56"/>
  <c r="J10" i="56"/>
  <c r="H10" i="56"/>
  <c r="K10" i="56" s="1"/>
  <c r="L9" i="56"/>
  <c r="J9" i="56"/>
  <c r="H9" i="56"/>
  <c r="K9" i="56" s="1"/>
  <c r="L8" i="56"/>
  <c r="J8" i="56"/>
  <c r="H8" i="56"/>
  <c r="K8" i="56" s="1"/>
  <c r="L7" i="56"/>
  <c r="J7" i="56"/>
  <c r="H7" i="56"/>
  <c r="K7" i="56" s="1"/>
  <c r="L6" i="56"/>
  <c r="J6" i="56"/>
  <c r="H6" i="56"/>
  <c r="K6" i="56" s="1"/>
  <c r="L5" i="56"/>
  <c r="J5" i="56"/>
  <c r="H5" i="56"/>
  <c r="K5" i="56" s="1"/>
  <c r="L4" i="56"/>
  <c r="J4" i="56"/>
  <c r="H4" i="56"/>
  <c r="K4" i="56" s="1"/>
  <c r="L3" i="56"/>
  <c r="J3" i="56"/>
  <c r="H3" i="56"/>
  <c r="K3" i="56" s="1"/>
  <c r="L2" i="56"/>
  <c r="J2" i="56"/>
  <c r="H2" i="56"/>
  <c r="K2" i="56" s="1"/>
  <c r="N34" i="53" l="1"/>
  <c r="O34" i="53"/>
  <c r="P34" i="53"/>
  <c r="Q34" i="53"/>
  <c r="N35" i="53"/>
  <c r="O35" i="53"/>
  <c r="P35" i="53"/>
  <c r="Q35" i="53"/>
  <c r="N36" i="53"/>
  <c r="O36" i="53"/>
  <c r="P36" i="53"/>
  <c r="Q36" i="53"/>
  <c r="M36" i="53"/>
  <c r="M35" i="53"/>
  <c r="M34" i="53"/>
  <c r="H35" i="53"/>
  <c r="I35" i="53"/>
  <c r="J35" i="53"/>
  <c r="K35" i="53"/>
  <c r="L35" i="53"/>
  <c r="H36" i="53"/>
  <c r="I36" i="53"/>
  <c r="J36" i="53"/>
  <c r="K36" i="53"/>
  <c r="L36" i="53"/>
  <c r="I34" i="53"/>
  <c r="J34" i="53"/>
  <c r="K34" i="53"/>
  <c r="L34" i="53"/>
  <c r="H34" i="53"/>
  <c r="E36" i="53"/>
  <c r="F36" i="53"/>
  <c r="G36" i="53"/>
  <c r="D36" i="53"/>
  <c r="C36" i="53"/>
  <c r="D35" i="53"/>
  <c r="E35" i="53"/>
  <c r="F35" i="53"/>
  <c r="G35" i="53"/>
  <c r="G34" i="53"/>
  <c r="F34" i="53"/>
  <c r="E34" i="53"/>
  <c r="D34" i="53"/>
  <c r="C35" i="53"/>
  <c r="C34" i="53"/>
  <c r="N29" i="53"/>
  <c r="O29" i="53"/>
  <c r="P29" i="53"/>
  <c r="Q29" i="53"/>
  <c r="N30" i="53"/>
  <c r="O30" i="53"/>
  <c r="P30" i="53"/>
  <c r="Q30" i="53"/>
  <c r="N31" i="53"/>
  <c r="O31" i="53"/>
  <c r="P31" i="53"/>
  <c r="Q31" i="53"/>
  <c r="M31" i="53"/>
  <c r="M30" i="53"/>
  <c r="M29" i="53"/>
  <c r="H30" i="53"/>
  <c r="I30" i="53"/>
  <c r="J30" i="53"/>
  <c r="K30" i="53"/>
  <c r="L30" i="53"/>
  <c r="H31" i="53"/>
  <c r="I31" i="53"/>
  <c r="J31" i="53"/>
  <c r="K31" i="53"/>
  <c r="L31" i="53"/>
  <c r="I29" i="53"/>
  <c r="J29" i="53"/>
  <c r="K29" i="53"/>
  <c r="L29" i="53"/>
  <c r="H29" i="53"/>
  <c r="D31" i="53"/>
  <c r="E31" i="53"/>
  <c r="F31" i="53"/>
  <c r="G31" i="53"/>
  <c r="D30" i="53"/>
  <c r="E30" i="53"/>
  <c r="F30" i="53"/>
  <c r="G30" i="53"/>
  <c r="D29" i="53"/>
  <c r="E29" i="53"/>
  <c r="F29" i="53"/>
  <c r="G29" i="53"/>
  <c r="C31" i="53"/>
  <c r="C30" i="53"/>
  <c r="C29" i="53"/>
  <c r="N26" i="53"/>
  <c r="O26" i="53"/>
  <c r="P26" i="53"/>
  <c r="Q26" i="53"/>
  <c r="N25" i="53"/>
  <c r="O25" i="53"/>
  <c r="P25" i="53"/>
  <c r="Q25" i="53"/>
  <c r="N24" i="53"/>
  <c r="O24" i="53"/>
  <c r="P24" i="53"/>
  <c r="Q24" i="53"/>
  <c r="M26" i="53"/>
  <c r="M25" i="53"/>
  <c r="M24" i="53"/>
  <c r="I26" i="53"/>
  <c r="J26" i="53"/>
  <c r="K26" i="53"/>
  <c r="L26" i="53"/>
  <c r="I25" i="53"/>
  <c r="J25" i="53"/>
  <c r="K25" i="53"/>
  <c r="L25" i="53"/>
  <c r="I24" i="53"/>
  <c r="J24" i="53"/>
  <c r="K24" i="53"/>
  <c r="L24" i="53"/>
  <c r="H26" i="53"/>
  <c r="H25" i="53"/>
  <c r="H24" i="53"/>
  <c r="D26" i="53"/>
  <c r="E26" i="53"/>
  <c r="F26" i="53"/>
  <c r="G26" i="53"/>
  <c r="D25" i="53"/>
  <c r="E25" i="53"/>
  <c r="F25" i="53"/>
  <c r="G25" i="53"/>
  <c r="D24" i="53"/>
  <c r="E24" i="53"/>
  <c r="F24" i="53"/>
  <c r="G24" i="53"/>
  <c r="C26" i="53"/>
  <c r="C25" i="53"/>
  <c r="C24" i="53"/>
  <c r="A28" i="27" l="1"/>
  <c r="C28" i="27" s="1"/>
  <c r="G29" i="27"/>
  <c r="G30" i="27"/>
  <c r="G28" i="27"/>
  <c r="G32" i="27"/>
  <c r="J30" i="27"/>
  <c r="J29" i="27"/>
  <c r="J28" i="27"/>
  <c r="AG28" i="27"/>
  <c r="AU28" i="27" s="1"/>
  <c r="H28" i="27"/>
  <c r="J10" i="27"/>
  <c r="J11" i="27"/>
  <c r="J12" i="27"/>
  <c r="J13" i="27"/>
  <c r="J14" i="27"/>
  <c r="J15" i="27"/>
  <c r="J16" i="27"/>
  <c r="J17" i="27"/>
  <c r="J18" i="27"/>
  <c r="J19" i="27"/>
  <c r="J20" i="27"/>
  <c r="J21" i="27"/>
  <c r="J22" i="27"/>
  <c r="J23" i="27"/>
  <c r="J24" i="27"/>
  <c r="J25" i="27"/>
  <c r="J26" i="27"/>
  <c r="J27" i="27"/>
  <c r="J5" i="27"/>
  <c r="J6" i="27"/>
  <c r="J7" i="27"/>
  <c r="J8" i="27"/>
  <c r="J9" i="27"/>
  <c r="J4" i="27"/>
  <c r="I55" i="27"/>
  <c r="I52" i="27"/>
  <c r="I53" i="27" s="1"/>
  <c r="I49" i="27"/>
  <c r="I50" i="27" s="1"/>
  <c r="I46" i="27"/>
  <c r="I48" i="27" s="1"/>
  <c r="I43" i="27"/>
  <c r="I40" i="27"/>
  <c r="I37" i="27"/>
  <c r="I39" i="27" s="1"/>
  <c r="H55" i="27"/>
  <c r="H52" i="27"/>
  <c r="H49" i="27"/>
  <c r="H46" i="27"/>
  <c r="H47" i="27" s="1"/>
  <c r="H43" i="27"/>
  <c r="H45" i="27" s="1"/>
  <c r="H40" i="27"/>
  <c r="H41" i="27" s="1"/>
  <c r="H37" i="27"/>
  <c r="H38" i="27" s="1"/>
  <c r="G56" i="27"/>
  <c r="G57" i="27"/>
  <c r="G55" i="27"/>
  <c r="G53" i="27"/>
  <c r="G54" i="27"/>
  <c r="G52" i="27"/>
  <c r="G50" i="27"/>
  <c r="G51" i="27"/>
  <c r="G49" i="27"/>
  <c r="G47" i="27"/>
  <c r="G48" i="27"/>
  <c r="G46" i="27"/>
  <c r="G44" i="27"/>
  <c r="G45" i="27"/>
  <c r="G43" i="27"/>
  <c r="G38" i="27"/>
  <c r="G39" i="27"/>
  <c r="G37" i="27"/>
  <c r="A55" i="27"/>
  <c r="A52" i="27"/>
  <c r="A49" i="27"/>
  <c r="C49" i="27" s="1"/>
  <c r="A46" i="27"/>
  <c r="C46" i="27" s="1"/>
  <c r="A43" i="27"/>
  <c r="A37" i="27"/>
  <c r="H26" i="27"/>
  <c r="H27" i="27"/>
  <c r="H25" i="27"/>
  <c r="H23" i="27"/>
  <c r="H24" i="27"/>
  <c r="H22" i="27"/>
  <c r="H20" i="27"/>
  <c r="H21" i="27"/>
  <c r="H19" i="27"/>
  <c r="H17" i="27"/>
  <c r="H18" i="27"/>
  <c r="H16" i="27"/>
  <c r="H14" i="27"/>
  <c r="H15" i="27"/>
  <c r="H13" i="27"/>
  <c r="H11" i="27"/>
  <c r="H12" i="27"/>
  <c r="H10" i="27"/>
  <c r="H5" i="27"/>
  <c r="H6" i="27"/>
  <c r="H4" i="27"/>
  <c r="G26" i="27"/>
  <c r="G27" i="27"/>
  <c r="G25" i="27"/>
  <c r="G23" i="27"/>
  <c r="G24" i="27"/>
  <c r="G22" i="27"/>
  <c r="G20" i="27"/>
  <c r="G21" i="27"/>
  <c r="G19" i="27"/>
  <c r="G17" i="27"/>
  <c r="G18" i="27"/>
  <c r="G16" i="27"/>
  <c r="G14" i="27"/>
  <c r="G15" i="27"/>
  <c r="G13" i="27"/>
  <c r="G11" i="27"/>
  <c r="G12" i="27"/>
  <c r="G10" i="27"/>
  <c r="G5" i="27"/>
  <c r="G6" i="27"/>
  <c r="G4" i="27"/>
  <c r="J49" i="27"/>
  <c r="J50" i="27"/>
  <c r="J51" i="27"/>
  <c r="J46" i="27"/>
  <c r="J47" i="27"/>
  <c r="H48" i="27"/>
  <c r="J48" i="27"/>
  <c r="J52" i="27"/>
  <c r="J53" i="27"/>
  <c r="J54" i="27"/>
  <c r="J43" i="27"/>
  <c r="J44" i="27"/>
  <c r="J45" i="27"/>
  <c r="J40" i="27"/>
  <c r="J41" i="27"/>
  <c r="J42" i="27"/>
  <c r="J37" i="27"/>
  <c r="J38" i="27"/>
  <c r="J39" i="27"/>
  <c r="A25" i="27"/>
  <c r="C25" i="27" s="1"/>
  <c r="A22" i="27"/>
  <c r="C22" i="27" s="1"/>
  <c r="A19" i="27"/>
  <c r="C19" i="27" s="1"/>
  <c r="A16" i="27"/>
  <c r="C16" i="27" s="1"/>
  <c r="A4" i="27"/>
  <c r="C4" i="27" s="1"/>
  <c r="C13" i="47"/>
  <c r="B13" i="47"/>
  <c r="A12" i="47"/>
  <c r="G82" i="28"/>
  <c r="G46" i="28"/>
  <c r="G45" i="28"/>
  <c r="G44" i="28"/>
  <c r="G43" i="28"/>
  <c r="G42" i="28"/>
  <c r="G40" i="28"/>
  <c r="G39" i="28"/>
  <c r="G38" i="28"/>
  <c r="G32" i="28"/>
  <c r="G17" i="28"/>
  <c r="G16" i="28"/>
  <c r="G15" i="28"/>
  <c r="G2" i="28"/>
  <c r="F2" i="28"/>
  <c r="AD9" i="50"/>
  <c r="AD10" i="50"/>
  <c r="AD8" i="50"/>
  <c r="AD7" i="50"/>
  <c r="AD6" i="50"/>
  <c r="AD5" i="50"/>
  <c r="AD4" i="50"/>
  <c r="AD3" i="50"/>
  <c r="AD2" i="50"/>
  <c r="G1" i="28" s="1"/>
  <c r="Q27" i="50"/>
  <c r="P27" i="50"/>
  <c r="O27" i="50"/>
  <c r="M27" i="50"/>
  <c r="K28" i="27" l="1"/>
  <c r="K5" i="27"/>
  <c r="K27" i="27"/>
  <c r="K6" i="27"/>
  <c r="C37" i="27"/>
  <c r="K25" i="27"/>
  <c r="K13" i="27"/>
  <c r="A13" i="47"/>
  <c r="K29" i="27"/>
  <c r="O29" i="27" s="1"/>
  <c r="K30" i="27"/>
  <c r="N30" i="27" s="1"/>
  <c r="H30" i="27"/>
  <c r="Z28" i="27"/>
  <c r="AN28" i="27" s="1"/>
  <c r="H29" i="27"/>
  <c r="Y28" i="27"/>
  <c r="AM28" i="27" s="1"/>
  <c r="Q28" i="27"/>
  <c r="M28" i="27"/>
  <c r="P28" i="27"/>
  <c r="O28" i="27"/>
  <c r="N28" i="27"/>
  <c r="I42" i="27"/>
  <c r="P30" i="27"/>
  <c r="O30" i="27"/>
  <c r="I30" i="27"/>
  <c r="AF28" i="27"/>
  <c r="AT28" i="27" s="1"/>
  <c r="K42" i="27"/>
  <c r="Q42" i="27" s="1"/>
  <c r="K54" i="27"/>
  <c r="S54" i="27" s="1"/>
  <c r="K45" i="27"/>
  <c r="Q45" i="27" s="1"/>
  <c r="AE45" i="27" s="1"/>
  <c r="AS45" i="27" s="1"/>
  <c r="C55" i="27"/>
  <c r="K11" i="27"/>
  <c r="K43" i="27"/>
  <c r="P43" i="27" s="1"/>
  <c r="AD43" i="27" s="1"/>
  <c r="AR43" i="27" s="1"/>
  <c r="I54" i="27"/>
  <c r="K22" i="27"/>
  <c r="K10" i="27"/>
  <c r="I44" i="27"/>
  <c r="K23" i="27"/>
  <c r="I45" i="27"/>
  <c r="K44" i="27"/>
  <c r="P44" i="27" s="1"/>
  <c r="I41" i="27"/>
  <c r="H39" i="27"/>
  <c r="K26" i="27"/>
  <c r="K14" i="27"/>
  <c r="K24" i="27"/>
  <c r="K12" i="27"/>
  <c r="K15" i="27"/>
  <c r="K47" i="27"/>
  <c r="P47" i="27" s="1"/>
  <c r="K21" i="27"/>
  <c r="K53" i="27"/>
  <c r="S53" i="27" s="1"/>
  <c r="K20" i="27"/>
  <c r="K18" i="27"/>
  <c r="K41" i="27"/>
  <c r="Q41" i="27" s="1"/>
  <c r="H53" i="27"/>
  <c r="K19" i="27"/>
  <c r="H54" i="27"/>
  <c r="K17" i="27"/>
  <c r="C52" i="27"/>
  <c r="K16" i="27"/>
  <c r="K4" i="27"/>
  <c r="K46" i="27"/>
  <c r="R46" i="27" s="1"/>
  <c r="K39" i="27"/>
  <c r="O39" i="27" s="1"/>
  <c r="H44" i="27"/>
  <c r="K38" i="27"/>
  <c r="Q38" i="27" s="1"/>
  <c r="X38" i="27" s="1"/>
  <c r="AL38" i="27" s="1"/>
  <c r="I51" i="27"/>
  <c r="C40" i="27"/>
  <c r="H42" i="27"/>
  <c r="K52" i="27"/>
  <c r="N52" i="27" s="1"/>
  <c r="K50" i="27"/>
  <c r="R50" i="27" s="1"/>
  <c r="AF50" i="27" s="1"/>
  <c r="AT50" i="27" s="1"/>
  <c r="C43" i="27"/>
  <c r="K51" i="27"/>
  <c r="S51" i="27" s="1"/>
  <c r="I47" i="27"/>
  <c r="AC50" i="27"/>
  <c r="AQ50" i="27" s="1"/>
  <c r="V46" i="27"/>
  <c r="AJ46" i="27" s="1"/>
  <c r="AF42" i="27"/>
  <c r="AT42" i="27" s="1"/>
  <c r="I38" i="27"/>
  <c r="M54" i="27"/>
  <c r="P54" i="27"/>
  <c r="K40" i="27"/>
  <c r="H50" i="27"/>
  <c r="H51" i="27"/>
  <c r="K48" i="27"/>
  <c r="K37" i="27"/>
  <c r="K49" i="27"/>
  <c r="N54" i="27" l="1"/>
  <c r="U54" i="27" s="1"/>
  <c r="S45" i="27"/>
  <c r="Z45" i="27" s="1"/>
  <c r="AN45" i="27" s="1"/>
  <c r="P45" i="27"/>
  <c r="AD45" i="27" s="1"/>
  <c r="AR45" i="27" s="1"/>
  <c r="Q30" i="27"/>
  <c r="AE30" i="27" s="1"/>
  <c r="AS30" i="27" s="1"/>
  <c r="BM30" i="27" s="1"/>
  <c r="M30" i="27"/>
  <c r="AA30" i="27" s="1"/>
  <c r="N41" i="27"/>
  <c r="AB41" i="27" s="1"/>
  <c r="P42" i="27"/>
  <c r="AD42" i="27" s="1"/>
  <c r="AR42" i="27" s="1"/>
  <c r="BL42" i="27" s="1"/>
  <c r="O42" i="27"/>
  <c r="AC42" i="27" s="1"/>
  <c r="AQ42" i="27" s="1"/>
  <c r="BK42" i="27" s="1"/>
  <c r="M42" i="27"/>
  <c r="AA42" i="27" s="1"/>
  <c r="AY42" i="27" s="1"/>
  <c r="N42" i="27"/>
  <c r="AB42" i="27" s="1"/>
  <c r="AP42" i="27" s="1"/>
  <c r="BJ42" i="27" s="1"/>
  <c r="P29" i="27"/>
  <c r="AD29" i="27" s="1"/>
  <c r="Q29" i="27"/>
  <c r="AE29" i="27" s="1"/>
  <c r="AS29" i="27" s="1"/>
  <c r="BM29" i="27" s="1"/>
  <c r="M29" i="27"/>
  <c r="AA29" i="27" s="1"/>
  <c r="N29" i="27"/>
  <c r="AB29" i="27" s="1"/>
  <c r="M45" i="27"/>
  <c r="AA45" i="27" s="1"/>
  <c r="N45" i="27"/>
  <c r="Q44" i="27"/>
  <c r="AE44" i="27" s="1"/>
  <c r="AS44" i="27" s="1"/>
  <c r="Q54" i="27"/>
  <c r="X54" i="27" s="1"/>
  <c r="AL54" i="27" s="1"/>
  <c r="O44" i="27"/>
  <c r="R54" i="27"/>
  <c r="Y54" i="27" s="1"/>
  <c r="AM54" i="27" s="1"/>
  <c r="U28" i="27"/>
  <c r="AB28" i="27"/>
  <c r="AC30" i="27"/>
  <c r="AQ30" i="27" s="1"/>
  <c r="BK30" i="27" s="1"/>
  <c r="V30" i="27"/>
  <c r="AJ30" i="27" s="1"/>
  <c r="BD30" i="27" s="1"/>
  <c r="O45" i="27"/>
  <c r="V45" i="27" s="1"/>
  <c r="AJ45" i="27" s="1"/>
  <c r="BD45" i="27" s="1"/>
  <c r="Q51" i="27"/>
  <c r="N44" i="27"/>
  <c r="P41" i="27"/>
  <c r="W41" i="27" s="1"/>
  <c r="AG30" i="27"/>
  <c r="AU30" i="27" s="1"/>
  <c r="AF30" i="27"/>
  <c r="AT30" i="27" s="1"/>
  <c r="AG29" i="27"/>
  <c r="AU29" i="27" s="1"/>
  <c r="AF29" i="27"/>
  <c r="AT29" i="27" s="1"/>
  <c r="AD28" i="27"/>
  <c r="W28" i="27"/>
  <c r="S46" i="27"/>
  <c r="Z46" i="27" s="1"/>
  <c r="AN46" i="27" s="1"/>
  <c r="T28" i="27"/>
  <c r="AA28" i="27"/>
  <c r="P46" i="27"/>
  <c r="AD30" i="27"/>
  <c r="W30" i="27"/>
  <c r="AE28" i="27"/>
  <c r="AS28" i="27" s="1"/>
  <c r="BM28" i="27" s="1"/>
  <c r="X28" i="27"/>
  <c r="AL28" i="27" s="1"/>
  <c r="BF28" i="27" s="1"/>
  <c r="Z29" i="27"/>
  <c r="AN29" i="27" s="1"/>
  <c r="Y29" i="27"/>
  <c r="AM29" i="27" s="1"/>
  <c r="AC29" i="27"/>
  <c r="AQ29" i="27" s="1"/>
  <c r="BK29" i="27" s="1"/>
  <c r="V29" i="27"/>
  <c r="AJ29" i="27" s="1"/>
  <c r="BD29" i="27" s="1"/>
  <c r="V28" i="27"/>
  <c r="AJ28" i="27" s="1"/>
  <c r="BD28" i="27" s="1"/>
  <c r="AC28" i="27"/>
  <c r="AQ28" i="27" s="1"/>
  <c r="BK28" i="27" s="1"/>
  <c r="AB30" i="27"/>
  <c r="U30" i="27"/>
  <c r="R44" i="27"/>
  <c r="AF44" i="27" s="1"/>
  <c r="AT44" i="27" s="1"/>
  <c r="Z30" i="27"/>
  <c r="AN30" i="27" s="1"/>
  <c r="Y30" i="27"/>
  <c r="AM30" i="27" s="1"/>
  <c r="N51" i="27"/>
  <c r="U51" i="27" s="1"/>
  <c r="AI51" i="27" s="1"/>
  <c r="BC51" i="27" s="1"/>
  <c r="S44" i="27"/>
  <c r="AG44" i="27" s="1"/>
  <c r="AU44" i="27" s="1"/>
  <c r="R45" i="27"/>
  <c r="Y45" i="27" s="1"/>
  <c r="AM45" i="27" s="1"/>
  <c r="M44" i="27"/>
  <c r="AA44" i="27" s="1"/>
  <c r="N46" i="27"/>
  <c r="AB46" i="27" s="1"/>
  <c r="AP46" i="27" s="1"/>
  <c r="BJ46" i="27" s="1"/>
  <c r="AE41" i="27"/>
  <c r="AS41" i="27" s="1"/>
  <c r="BM41" i="27" s="1"/>
  <c r="Q46" i="27"/>
  <c r="X46" i="27" s="1"/>
  <c r="AL46" i="27" s="1"/>
  <c r="X45" i="27"/>
  <c r="AL45" i="27" s="1"/>
  <c r="W43" i="27"/>
  <c r="AK43" i="27" s="1"/>
  <c r="Q53" i="27"/>
  <c r="AE53" i="27" s="1"/>
  <c r="AS53" i="27" s="1"/>
  <c r="P53" i="27"/>
  <c r="AD53" i="27" s="1"/>
  <c r="R43" i="27"/>
  <c r="AF43" i="27" s="1"/>
  <c r="M47" i="27"/>
  <c r="T47" i="27" s="1"/>
  <c r="R53" i="27"/>
  <c r="Y53" i="27" s="1"/>
  <c r="AM53" i="27" s="1"/>
  <c r="O41" i="27"/>
  <c r="AC41" i="27" s="1"/>
  <c r="AQ41" i="27" s="1"/>
  <c r="BK41" i="27" s="1"/>
  <c r="O43" i="27"/>
  <c r="N50" i="27"/>
  <c r="AB50" i="27" s="1"/>
  <c r="AP50" i="27" s="1"/>
  <c r="BJ50" i="27" s="1"/>
  <c r="S43" i="27"/>
  <c r="AG43" i="27" s="1"/>
  <c r="AU43" i="27" s="1"/>
  <c r="M41" i="27"/>
  <c r="AA41" i="27" s="1"/>
  <c r="X41" i="27"/>
  <c r="AL41" i="27" s="1"/>
  <c r="BF41" i="27" s="1"/>
  <c r="M53" i="27"/>
  <c r="AA53" i="27" s="1"/>
  <c r="N43" i="27"/>
  <c r="U43" i="27" s="1"/>
  <c r="N53" i="27"/>
  <c r="U53" i="27" s="1"/>
  <c r="M43" i="27"/>
  <c r="T43" i="27" s="1"/>
  <c r="N47" i="27"/>
  <c r="U47" i="27" s="1"/>
  <c r="T45" i="27"/>
  <c r="AV45" i="27" s="1"/>
  <c r="R47" i="27"/>
  <c r="AF47" i="27" s="1"/>
  <c r="AT47" i="27" s="1"/>
  <c r="Q43" i="27"/>
  <c r="AE43" i="27" s="1"/>
  <c r="AS43" i="27" s="1"/>
  <c r="M52" i="27"/>
  <c r="AA52" i="27" s="1"/>
  <c r="AB51" i="27"/>
  <c r="AP51" i="27" s="1"/>
  <c r="BJ51" i="27" s="1"/>
  <c r="S47" i="27"/>
  <c r="Z47" i="27" s="1"/>
  <c r="AN47" i="27" s="1"/>
  <c r="S39" i="27"/>
  <c r="AG39" i="27" s="1"/>
  <c r="AU39" i="27" s="1"/>
  <c r="X42" i="27"/>
  <c r="AL42" i="27" s="1"/>
  <c r="BF42" i="27" s="1"/>
  <c r="P51" i="27"/>
  <c r="AD51" i="27" s="1"/>
  <c r="M46" i="27"/>
  <c r="T46" i="27" s="1"/>
  <c r="AV46" i="27" s="1"/>
  <c r="S38" i="27"/>
  <c r="Z38" i="27" s="1"/>
  <c r="AN38" i="27" s="1"/>
  <c r="AG51" i="27"/>
  <c r="AU51" i="27" s="1"/>
  <c r="Q47" i="27"/>
  <c r="AE47" i="27" s="1"/>
  <c r="AS47" i="27" s="1"/>
  <c r="Z54" i="27"/>
  <c r="AN54" i="27" s="1"/>
  <c r="S52" i="27"/>
  <c r="AG52" i="27" s="1"/>
  <c r="AU52" i="27" s="1"/>
  <c r="R52" i="27"/>
  <c r="AF52" i="27" s="1"/>
  <c r="AT52" i="27" s="1"/>
  <c r="Z42" i="27"/>
  <c r="AN42" i="27" s="1"/>
  <c r="V51" i="27"/>
  <c r="AJ51" i="27" s="1"/>
  <c r="Q50" i="27"/>
  <c r="AE50" i="27" s="1"/>
  <c r="AS50" i="27" s="1"/>
  <c r="Y42" i="27"/>
  <c r="AM42" i="27" s="1"/>
  <c r="R39" i="27"/>
  <c r="AF39" i="27" s="1"/>
  <c r="AT39" i="27" s="1"/>
  <c r="P50" i="27"/>
  <c r="AD50" i="27" s="1"/>
  <c r="AR50" i="27" s="1"/>
  <c r="M50" i="27"/>
  <c r="AA50" i="27" s="1"/>
  <c r="AY50" i="27" s="1"/>
  <c r="S50" i="27"/>
  <c r="AG50" i="27" s="1"/>
  <c r="AU50" i="27" s="1"/>
  <c r="Q52" i="27"/>
  <c r="AE52" i="27" s="1"/>
  <c r="AS52" i="27" s="1"/>
  <c r="P52" i="27"/>
  <c r="W52" i="27" s="1"/>
  <c r="Y50" i="27"/>
  <c r="AM50" i="27" s="1"/>
  <c r="AE38" i="27"/>
  <c r="AS38" i="27" s="1"/>
  <c r="P38" i="27"/>
  <c r="AD38" i="27" s="1"/>
  <c r="AC51" i="27"/>
  <c r="AQ51" i="27" s="1"/>
  <c r="M39" i="27"/>
  <c r="N39" i="27"/>
  <c r="Q39" i="27"/>
  <c r="P39" i="27"/>
  <c r="W39" i="27" s="1"/>
  <c r="N38" i="27"/>
  <c r="U38" i="27" s="1"/>
  <c r="M38" i="27"/>
  <c r="AA38" i="27" s="1"/>
  <c r="R38" i="27"/>
  <c r="Y38" i="27" s="1"/>
  <c r="AM38" i="27" s="1"/>
  <c r="AG45" i="27"/>
  <c r="AU45" i="27" s="1"/>
  <c r="R51" i="27"/>
  <c r="AF51" i="27" s="1"/>
  <c r="AT51" i="27" s="1"/>
  <c r="M51" i="27"/>
  <c r="AA51" i="27" s="1"/>
  <c r="O38" i="27"/>
  <c r="V38" i="27" s="1"/>
  <c r="AJ38" i="27" s="1"/>
  <c r="BD38" i="27" s="1"/>
  <c r="AG42" i="27"/>
  <c r="AU42" i="27" s="1"/>
  <c r="AG54" i="27"/>
  <c r="AU54" i="27" s="1"/>
  <c r="Y46" i="27"/>
  <c r="AM46" i="27" s="1"/>
  <c r="AF46" i="27"/>
  <c r="AT46" i="27" s="1"/>
  <c r="AE42" i="27"/>
  <c r="AS42" i="27" s="1"/>
  <c r="BM42" i="27" s="1"/>
  <c r="AC46" i="27"/>
  <c r="AQ46" i="27" s="1"/>
  <c r="Y41" i="27"/>
  <c r="AM41" i="27" s="1"/>
  <c r="AF41" i="27"/>
  <c r="AT41" i="27" s="1"/>
  <c r="W53" i="27"/>
  <c r="V53" i="27"/>
  <c r="AJ53" i="27" s="1"/>
  <c r="AC53" i="27"/>
  <c r="AQ53" i="27" s="1"/>
  <c r="M49" i="27"/>
  <c r="Q49" i="27"/>
  <c r="R49" i="27"/>
  <c r="N49" i="27"/>
  <c r="P49" i="27"/>
  <c r="S49" i="27"/>
  <c r="Z44" i="27"/>
  <c r="AN44" i="27" s="1"/>
  <c r="AB44" i="27"/>
  <c r="U44" i="27"/>
  <c r="M40" i="27"/>
  <c r="N40" i="27"/>
  <c r="P40" i="27"/>
  <c r="Q40" i="27"/>
  <c r="O40" i="27"/>
  <c r="AG53" i="27"/>
  <c r="AU53" i="27" s="1"/>
  <c r="Z53" i="27"/>
  <c r="AN53" i="27" s="1"/>
  <c r="AD54" i="27"/>
  <c r="W54" i="27"/>
  <c r="AA54" i="27"/>
  <c r="T54" i="27"/>
  <c r="V52" i="27"/>
  <c r="AJ52" i="27" s="1"/>
  <c r="AC52" i="27"/>
  <c r="AQ52" i="27" s="1"/>
  <c r="AB52" i="27"/>
  <c r="U52" i="27"/>
  <c r="AB45" i="27"/>
  <c r="U45" i="27"/>
  <c r="Z41" i="27"/>
  <c r="AN41" i="27" s="1"/>
  <c r="AG41" i="27"/>
  <c r="AU41" i="27" s="1"/>
  <c r="V50" i="27"/>
  <c r="AJ50" i="27" s="1"/>
  <c r="W46" i="27"/>
  <c r="AD46" i="27"/>
  <c r="V54" i="27"/>
  <c r="AJ54" i="27" s="1"/>
  <c r="AC54" i="27"/>
  <c r="AQ54" i="27" s="1"/>
  <c r="P37" i="27"/>
  <c r="Q37" i="27"/>
  <c r="R37" i="27"/>
  <c r="S37" i="27"/>
  <c r="M37" i="27"/>
  <c r="N37" i="27"/>
  <c r="O37" i="27"/>
  <c r="Z51" i="27"/>
  <c r="AN51" i="27" s="1"/>
  <c r="AC39" i="27"/>
  <c r="AQ39" i="27" s="1"/>
  <c r="BK39" i="27" s="1"/>
  <c r="V39" i="27"/>
  <c r="AJ39" i="27" s="1"/>
  <c r="BD39" i="27" s="1"/>
  <c r="W44" i="27"/>
  <c r="AD44" i="27"/>
  <c r="X51" i="27"/>
  <c r="AL51" i="27" s="1"/>
  <c r="AE51" i="27"/>
  <c r="AS51" i="27" s="1"/>
  <c r="W47" i="27"/>
  <c r="AD47" i="27"/>
  <c r="P48" i="27"/>
  <c r="S48" i="27"/>
  <c r="M48" i="27"/>
  <c r="N48" i="27"/>
  <c r="Q48" i="27"/>
  <c r="R48" i="27"/>
  <c r="V47" i="27"/>
  <c r="AJ47" i="27" s="1"/>
  <c r="AC47" i="27"/>
  <c r="AQ47" i="27" s="1"/>
  <c r="AO45" i="27"/>
  <c r="BI45" i="27" s="1"/>
  <c r="AY45" i="27"/>
  <c r="V44" i="27"/>
  <c r="AJ44" i="27" s="1"/>
  <c r="BD44" i="27" s="1"/>
  <c r="AC44" i="27"/>
  <c r="AQ44" i="27" s="1"/>
  <c r="BK44" i="27" s="1"/>
  <c r="C18" i="47"/>
  <c r="C17" i="47"/>
  <c r="C16" i="47"/>
  <c r="C15" i="47"/>
  <c r="C14" i="47"/>
  <c r="C12" i="47"/>
  <c r="C11" i="47"/>
  <c r="C10" i="47"/>
  <c r="B18" i="47"/>
  <c r="B17" i="47"/>
  <c r="B16" i="47"/>
  <c r="B15" i="47"/>
  <c r="B14" i="47"/>
  <c r="B12" i="47"/>
  <c r="B11" i="47"/>
  <c r="B10" i="47"/>
  <c r="C9" i="47"/>
  <c r="C8" i="47"/>
  <c r="C7" i="47"/>
  <c r="C3" i="47"/>
  <c r="C2" i="47"/>
  <c r="B9" i="47"/>
  <c r="B8" i="47"/>
  <c r="B7" i="47"/>
  <c r="B6" i="47"/>
  <c r="B5" i="47"/>
  <c r="B4" i="47"/>
  <c r="B3" i="47"/>
  <c r="B2" i="47"/>
  <c r="K163" i="52"/>
  <c r="K165" i="52" s="1"/>
  <c r="O161" i="52"/>
  <c r="N161" i="52"/>
  <c r="M161" i="52"/>
  <c r="L161" i="52"/>
  <c r="K161" i="52"/>
  <c r="N160" i="52"/>
  <c r="M160" i="52"/>
  <c r="L160" i="52"/>
  <c r="K160" i="52"/>
  <c r="N159" i="52"/>
  <c r="W131" i="52" s="1"/>
  <c r="M159" i="52"/>
  <c r="V130" i="52" s="1"/>
  <c r="L159" i="52"/>
  <c r="U130" i="52" s="1"/>
  <c r="K159" i="52"/>
  <c r="K158" i="52"/>
  <c r="O154" i="52"/>
  <c r="O153" i="52"/>
  <c r="O160" i="52" s="1"/>
  <c r="O152" i="52"/>
  <c r="O159" i="52" s="1"/>
  <c r="O151" i="52"/>
  <c r="O158" i="52" s="1"/>
  <c r="O163" i="52" s="1"/>
  <c r="O165" i="52" s="1"/>
  <c r="N151" i="52"/>
  <c r="N158" i="52" s="1"/>
  <c r="N163" i="52" s="1"/>
  <c r="N165" i="52" s="1"/>
  <c r="M151" i="52"/>
  <c r="M158" i="52" s="1"/>
  <c r="M163" i="52" s="1"/>
  <c r="M165" i="52" s="1"/>
  <c r="L151" i="52"/>
  <c r="L158" i="52" s="1"/>
  <c r="L163" i="52" s="1"/>
  <c r="L165" i="52" s="1"/>
  <c r="K151" i="52"/>
  <c r="R132" i="52"/>
  <c r="Q132" i="52"/>
  <c r="P132" i="52"/>
  <c r="O132" i="52"/>
  <c r="T131" i="52"/>
  <c r="R131" i="52"/>
  <c r="T130" i="52" s="1"/>
  <c r="Q131" i="52"/>
  <c r="P131" i="52"/>
  <c r="O131" i="52"/>
  <c r="R130" i="52"/>
  <c r="Q130" i="52"/>
  <c r="P130" i="52"/>
  <c r="O130" i="52"/>
  <c r="X129" i="52" s="1"/>
  <c r="T94" i="52"/>
  <c r="S94" i="52"/>
  <c r="R94" i="52"/>
  <c r="Q94" i="52"/>
  <c r="P94" i="52"/>
  <c r="P34" i="52"/>
  <c r="O34" i="52"/>
  <c r="P33" i="52"/>
  <c r="O33" i="52"/>
  <c r="N33" i="52"/>
  <c r="N34" i="52" s="1"/>
  <c r="M33" i="52"/>
  <c r="M34" i="52" s="1"/>
  <c r="L33" i="52"/>
  <c r="L34" i="52" s="1"/>
  <c r="M4" i="52"/>
  <c r="AB54" i="27" l="1"/>
  <c r="AF45" i="27"/>
  <c r="AT45" i="27" s="1"/>
  <c r="AE54" i="27"/>
  <c r="AS54" i="27" s="1"/>
  <c r="AF54" i="27"/>
  <c r="AT54" i="27" s="1"/>
  <c r="X44" i="27"/>
  <c r="AL44" i="27" s="1"/>
  <c r="T53" i="27"/>
  <c r="AH53" i="27" s="1"/>
  <c r="BB53" i="27" s="1"/>
  <c r="AG46" i="27"/>
  <c r="AU46" i="27" s="1"/>
  <c r="AB53" i="27"/>
  <c r="AP53" i="27" s="1"/>
  <c r="BJ53" i="27" s="1"/>
  <c r="AZ50" i="27"/>
  <c r="U46" i="27"/>
  <c r="AW46" i="27" s="1"/>
  <c r="AC45" i="27"/>
  <c r="AQ45" i="27" s="1"/>
  <c r="BK45" i="27" s="1"/>
  <c r="AG38" i="27"/>
  <c r="AU38" i="27" s="1"/>
  <c r="X50" i="27"/>
  <c r="AL50" i="27" s="1"/>
  <c r="W42" i="27"/>
  <c r="AK42" i="27" s="1"/>
  <c r="BE42" i="27" s="1"/>
  <c r="W45" i="27"/>
  <c r="AK45" i="27" s="1"/>
  <c r="X30" i="27"/>
  <c r="AL30" i="27" s="1"/>
  <c r="BF30" i="27" s="1"/>
  <c r="T30" i="27"/>
  <c r="AV30" i="27" s="1"/>
  <c r="T29" i="27"/>
  <c r="AH29" i="27" s="1"/>
  <c r="BB29" i="27" s="1"/>
  <c r="X29" i="27"/>
  <c r="AL29" i="27" s="1"/>
  <c r="BF29" i="27" s="1"/>
  <c r="AO42" i="27"/>
  <c r="BI42" i="27" s="1"/>
  <c r="U41" i="27"/>
  <c r="AI41" i="27" s="1"/>
  <c r="BC41" i="27" s="1"/>
  <c r="AD41" i="27"/>
  <c r="BA41" i="27" s="1"/>
  <c r="T42" i="27"/>
  <c r="AH42" i="27" s="1"/>
  <c r="BB42" i="27" s="1"/>
  <c r="V42" i="27"/>
  <c r="AJ42" i="27" s="1"/>
  <c r="BD42" i="27" s="1"/>
  <c r="U42" i="27"/>
  <c r="AI42" i="27" s="1"/>
  <c r="BC42" i="27" s="1"/>
  <c r="AZ42" i="27"/>
  <c r="W29" i="27"/>
  <c r="U29" i="27"/>
  <c r="AI29" i="27" s="1"/>
  <c r="BC29" i="27" s="1"/>
  <c r="AI30" i="27"/>
  <c r="BC30" i="27" s="1"/>
  <c r="AW30" i="27"/>
  <c r="AP28" i="27"/>
  <c r="BJ28" i="27" s="1"/>
  <c r="AZ28" i="27"/>
  <c r="AW28" i="27"/>
  <c r="AI28" i="27"/>
  <c r="BC28" i="27" s="1"/>
  <c r="Y44" i="27"/>
  <c r="AM44" i="27" s="1"/>
  <c r="V41" i="27"/>
  <c r="AJ41" i="27" s="1"/>
  <c r="BD41" i="27" s="1"/>
  <c r="AK30" i="27"/>
  <c r="BE30" i="27" s="1"/>
  <c r="T50" i="27"/>
  <c r="AH50" i="27" s="1"/>
  <c r="BB50" i="27" s="1"/>
  <c r="AR30" i="27"/>
  <c r="BL30" i="27" s="1"/>
  <c r="BA30" i="27"/>
  <c r="AR29" i="27"/>
  <c r="BL29" i="27" s="1"/>
  <c r="BA29" i="27"/>
  <c r="AR28" i="27"/>
  <c r="BL28" i="27" s="1"/>
  <c r="BA28" i="27"/>
  <c r="AO30" i="27"/>
  <c r="BI30" i="27" s="1"/>
  <c r="AY30" i="27"/>
  <c r="T44" i="27"/>
  <c r="AH44" i="27" s="1"/>
  <c r="BB44" i="27" s="1"/>
  <c r="X47" i="27"/>
  <c r="AL47" i="27" s="1"/>
  <c r="T52" i="27"/>
  <c r="AH52" i="27" s="1"/>
  <c r="BB52" i="27" s="1"/>
  <c r="AO28" i="27"/>
  <c r="BI28" i="27" s="1"/>
  <c r="AY28" i="27"/>
  <c r="AX28" i="27"/>
  <c r="AK28" i="27"/>
  <c r="BE28" i="27" s="1"/>
  <c r="AP29" i="27"/>
  <c r="BJ29" i="27" s="1"/>
  <c r="AZ29" i="27"/>
  <c r="AO29" i="27"/>
  <c r="BI29" i="27" s="1"/>
  <c r="AY29" i="27"/>
  <c r="AP30" i="27"/>
  <c r="BJ30" i="27" s="1"/>
  <c r="AZ30" i="27"/>
  <c r="AH28" i="27"/>
  <c r="BB28" i="27" s="1"/>
  <c r="AV28" i="27"/>
  <c r="AE46" i="27"/>
  <c r="AS46" i="27" s="1"/>
  <c r="AB43" i="27"/>
  <c r="AG47" i="27"/>
  <c r="AU47" i="27" s="1"/>
  <c r="T38" i="27"/>
  <c r="AH38" i="27" s="1"/>
  <c r="BB38" i="27" s="1"/>
  <c r="X53" i="27"/>
  <c r="AL53" i="27" s="1"/>
  <c r="X52" i="27"/>
  <c r="AL52" i="27" s="1"/>
  <c r="Z39" i="27"/>
  <c r="AN39" i="27" s="1"/>
  <c r="AC43" i="27"/>
  <c r="AQ43" i="27" s="1"/>
  <c r="BK43" i="27" s="1"/>
  <c r="V43" i="27"/>
  <c r="AJ43" i="27" s="1"/>
  <c r="BD43" i="27" s="1"/>
  <c r="AH45" i="27"/>
  <c r="BB45" i="27" s="1"/>
  <c r="Z43" i="27"/>
  <c r="AN43" i="27" s="1"/>
  <c r="AA47" i="27"/>
  <c r="AY47" i="27" s="1"/>
  <c r="AA43" i="27"/>
  <c r="AY43" i="27" s="1"/>
  <c r="Y47" i="27"/>
  <c r="AM47" i="27" s="1"/>
  <c r="Y51" i="27"/>
  <c r="AM51" i="27" s="1"/>
  <c r="X43" i="27"/>
  <c r="AL43" i="27" s="1"/>
  <c r="AF53" i="27"/>
  <c r="AT53" i="27" s="1"/>
  <c r="AF38" i="27"/>
  <c r="AT38" i="27" s="1"/>
  <c r="T41" i="27"/>
  <c r="AV41" i="27" s="1"/>
  <c r="AB47" i="27"/>
  <c r="AP47" i="27" s="1"/>
  <c r="BJ47" i="27" s="1"/>
  <c r="Y43" i="27"/>
  <c r="AM43" i="27" s="1"/>
  <c r="AX42" i="27"/>
  <c r="Z52" i="27"/>
  <c r="AN52" i="27" s="1"/>
  <c r="U50" i="27"/>
  <c r="AI50" i="27" s="1"/>
  <c r="BC50" i="27" s="1"/>
  <c r="W51" i="27"/>
  <c r="AK51" i="27" s="1"/>
  <c r="AH46" i="27"/>
  <c r="BB46" i="27" s="1"/>
  <c r="AO50" i="27"/>
  <c r="BI50" i="27" s="1"/>
  <c r="AD52" i="27"/>
  <c r="AR52" i="27" s="1"/>
  <c r="AA46" i="27"/>
  <c r="AO46" i="27" s="1"/>
  <c r="BI46" i="27" s="1"/>
  <c r="Y52" i="27"/>
  <c r="AM52" i="27" s="1"/>
  <c r="BA50" i="27"/>
  <c r="W50" i="27"/>
  <c r="AK50" i="27" s="1"/>
  <c r="Y39" i="27"/>
  <c r="AM39" i="27" s="1"/>
  <c r="W38" i="27"/>
  <c r="AK38" i="27" s="1"/>
  <c r="Z50" i="27"/>
  <c r="AN50" i="27" s="1"/>
  <c r="BA45" i="27"/>
  <c r="AC38" i="27"/>
  <c r="AQ38" i="27" s="1"/>
  <c r="BK38" i="27" s="1"/>
  <c r="AZ51" i="27"/>
  <c r="AE39" i="27"/>
  <c r="AS39" i="27" s="1"/>
  <c r="X39" i="27"/>
  <c r="AL39" i="27" s="1"/>
  <c r="AD39" i="27"/>
  <c r="BA39" i="27" s="1"/>
  <c r="U39" i="27"/>
  <c r="AI39" i="27" s="1"/>
  <c r="BC39" i="27" s="1"/>
  <c r="AB39" i="27"/>
  <c r="AP39" i="27" s="1"/>
  <c r="BJ39" i="27" s="1"/>
  <c r="T39" i="27"/>
  <c r="AA39" i="27"/>
  <c r="AB38" i="27"/>
  <c r="AP38" i="27" s="1"/>
  <c r="BJ38" i="27" s="1"/>
  <c r="T51" i="27"/>
  <c r="AH51" i="27" s="1"/>
  <c r="BB51" i="27" s="1"/>
  <c r="AZ46" i="27"/>
  <c r="AW51" i="27"/>
  <c r="BA42" i="27"/>
  <c r="V48" i="27"/>
  <c r="AJ48" i="27" s="1"/>
  <c r="AC48" i="27"/>
  <c r="AQ48" i="27" s="1"/>
  <c r="AZ44" i="27"/>
  <c r="AP44" i="27"/>
  <c r="BJ44" i="27" s="1"/>
  <c r="BA54" i="27"/>
  <c r="AR54" i="27"/>
  <c r="AR38" i="27"/>
  <c r="AV51" i="27"/>
  <c r="AG49" i="27"/>
  <c r="AU49" i="27" s="1"/>
  <c r="Z49" i="27"/>
  <c r="AN49" i="27" s="1"/>
  <c r="AK52" i="27"/>
  <c r="AK47" i="27"/>
  <c r="AO51" i="27"/>
  <c r="BI51" i="27" s="1"/>
  <c r="AY51" i="27"/>
  <c r="AC49" i="27"/>
  <c r="AQ49" i="27" s="1"/>
  <c r="V49" i="27"/>
  <c r="AJ49" i="27" s="1"/>
  <c r="AR53" i="27"/>
  <c r="BA44" i="27"/>
  <c r="AR44" i="27"/>
  <c r="AK39" i="27"/>
  <c r="AC40" i="27"/>
  <c r="AQ40" i="27" s="1"/>
  <c r="BK40" i="27" s="1"/>
  <c r="V40" i="27"/>
  <c r="AJ40" i="27" s="1"/>
  <c r="BD40" i="27" s="1"/>
  <c r="AO44" i="27"/>
  <c r="BI44" i="27" s="1"/>
  <c r="AY44" i="27"/>
  <c r="AK44" i="27"/>
  <c r="AV47" i="27"/>
  <c r="AH47" i="27"/>
  <c r="BB47" i="27" s="1"/>
  <c r="AY52" i="27"/>
  <c r="AO52" i="27"/>
  <c r="BI52" i="27" s="1"/>
  <c r="AI43" i="27"/>
  <c r="BC43" i="27" s="1"/>
  <c r="AE40" i="27"/>
  <c r="AS40" i="27" s="1"/>
  <c r="BM40" i="27" s="1"/>
  <c r="X40" i="27"/>
  <c r="AL40" i="27" s="1"/>
  <c r="BF40" i="27" s="1"/>
  <c r="AB48" i="27"/>
  <c r="U48" i="27"/>
  <c r="AY53" i="27"/>
  <c r="AO53" i="27"/>
  <c r="BI53" i="27" s="1"/>
  <c r="X49" i="27"/>
  <c r="AL49" i="27" s="1"/>
  <c r="AE49" i="27"/>
  <c r="AS49" i="27" s="1"/>
  <c r="AA48" i="27"/>
  <c r="T48" i="27"/>
  <c r="T37" i="27"/>
  <c r="AA37" i="27"/>
  <c r="AI54" i="27"/>
  <c r="BC54" i="27" s="1"/>
  <c r="AW54" i="27"/>
  <c r="AV53" i="27"/>
  <c r="AV54" i="27"/>
  <c r="AH54" i="27"/>
  <c r="BB54" i="27" s="1"/>
  <c r="U40" i="27"/>
  <c r="AB40" i="27"/>
  <c r="AA49" i="27"/>
  <c r="T49" i="27"/>
  <c r="X37" i="27"/>
  <c r="AL37" i="27" s="1"/>
  <c r="AE37" i="27"/>
  <c r="AS37" i="27" s="1"/>
  <c r="Z40" i="27"/>
  <c r="AN40" i="27" s="1"/>
  <c r="AG40" i="27"/>
  <c r="AU40" i="27" s="1"/>
  <c r="AI52" i="27"/>
  <c r="BC52" i="27" s="1"/>
  <c r="AW52" i="27"/>
  <c r="AI53" i="27"/>
  <c r="BC53" i="27" s="1"/>
  <c r="AW53" i="27"/>
  <c r="AP52" i="27"/>
  <c r="BJ52" i="27" s="1"/>
  <c r="AZ52" i="27"/>
  <c r="Y48" i="27"/>
  <c r="AM48" i="27" s="1"/>
  <c r="AF48" i="27"/>
  <c r="AT48" i="27" s="1"/>
  <c r="AZ41" i="27"/>
  <c r="AP41" i="27"/>
  <c r="BJ41" i="27" s="1"/>
  <c r="AI45" i="27"/>
  <c r="BC45" i="27" s="1"/>
  <c r="AW45" i="27"/>
  <c r="AB49" i="27"/>
  <c r="U49" i="27"/>
  <c r="AC37" i="27"/>
  <c r="AQ37" i="27" s="1"/>
  <c r="BK37" i="27" s="1"/>
  <c r="V37" i="27"/>
  <c r="AJ37" i="27" s="1"/>
  <c r="BD37" i="27" s="1"/>
  <c r="Y49" i="27"/>
  <c r="AM49" i="27" s="1"/>
  <c r="AF49" i="27"/>
  <c r="AT49" i="27" s="1"/>
  <c r="AT43" i="27"/>
  <c r="BA43" i="27"/>
  <c r="U37" i="27"/>
  <c r="AB37" i="27"/>
  <c r="AD40" i="27"/>
  <c r="W40" i="27"/>
  <c r="AI47" i="27"/>
  <c r="BC47" i="27" s="1"/>
  <c r="AW47" i="27"/>
  <c r="AY41" i="27"/>
  <c r="AO41" i="27"/>
  <c r="BI41" i="27" s="1"/>
  <c r="Z37" i="27"/>
  <c r="AN37" i="27" s="1"/>
  <c r="AG37" i="27"/>
  <c r="AU37" i="27" s="1"/>
  <c r="AH43" i="27"/>
  <c r="BB43" i="27" s="1"/>
  <c r="AV43" i="27"/>
  <c r="AP54" i="27"/>
  <c r="BJ54" i="27" s="1"/>
  <c r="AZ54" i="27"/>
  <c r="AY54" i="27"/>
  <c r="AO54" i="27"/>
  <c r="BI54" i="27" s="1"/>
  <c r="Y40" i="27"/>
  <c r="AM40" i="27" s="1"/>
  <c r="AF40" i="27"/>
  <c r="AT40" i="27" s="1"/>
  <c r="AI38" i="27"/>
  <c r="BC38" i="27" s="1"/>
  <c r="AW38" i="27"/>
  <c r="AR46" i="27"/>
  <c r="AR47" i="27"/>
  <c r="W37" i="27"/>
  <c r="AD37" i="27"/>
  <c r="AX46" i="27"/>
  <c r="AK46" i="27"/>
  <c r="AX54" i="27"/>
  <c r="AK54" i="27"/>
  <c r="AO38" i="27"/>
  <c r="BI38" i="27" s="1"/>
  <c r="AY38" i="27"/>
  <c r="AX53" i="27"/>
  <c r="AK53" i="27"/>
  <c r="AX41" i="27"/>
  <c r="AK41" i="27"/>
  <c r="BE41" i="27" s="1"/>
  <c r="AD49" i="27"/>
  <c r="W49" i="27"/>
  <c r="AE48" i="27"/>
  <c r="AS48" i="27" s="1"/>
  <c r="X48" i="27"/>
  <c r="AL48" i="27" s="1"/>
  <c r="AP45" i="27"/>
  <c r="BJ45" i="27" s="1"/>
  <c r="Z48" i="27"/>
  <c r="AN48" i="27" s="1"/>
  <c r="AG48" i="27"/>
  <c r="AU48" i="27" s="1"/>
  <c r="W48" i="27"/>
  <c r="AD48" i="27"/>
  <c r="AF37" i="27"/>
  <c r="AT37" i="27" s="1"/>
  <c r="Y37" i="27"/>
  <c r="AM37" i="27" s="1"/>
  <c r="BA51" i="27"/>
  <c r="AR51" i="27"/>
  <c r="T40" i="27"/>
  <c r="AA40" i="27"/>
  <c r="AI44" i="27"/>
  <c r="BC44" i="27" s="1"/>
  <c r="AW44" i="27"/>
  <c r="X131" i="52"/>
  <c r="X130" i="52"/>
  <c r="T129" i="52"/>
  <c r="W130" i="52"/>
  <c r="U129" i="52"/>
  <c r="V129" i="52"/>
  <c r="U131" i="52"/>
  <c r="V131" i="52"/>
  <c r="W129" i="52"/>
  <c r="AR39" i="27" l="1"/>
  <c r="AX29" i="27"/>
  <c r="AZ43" i="27"/>
  <c r="AZ53" i="27"/>
  <c r="AI46" i="27"/>
  <c r="BC46" i="27" s="1"/>
  <c r="AW29" i="27"/>
  <c r="AZ47" i="27"/>
  <c r="AV52" i="27"/>
  <c r="AZ45" i="27"/>
  <c r="AV29" i="27"/>
  <c r="AX45" i="27"/>
  <c r="AH30" i="27"/>
  <c r="BB30" i="27" s="1"/>
  <c r="AX30" i="27"/>
  <c r="AR41" i="27"/>
  <c r="BL41" i="27" s="1"/>
  <c r="AV42" i="27"/>
  <c r="AW42" i="27"/>
  <c r="AH41" i="27"/>
  <c r="BB41" i="27" s="1"/>
  <c r="AK29" i="27"/>
  <c r="BE29" i="27" s="1"/>
  <c r="AV50" i="27"/>
  <c r="AV44" i="27"/>
  <c r="AX44" i="27"/>
  <c r="AW41" i="27"/>
  <c r="AX51" i="27"/>
  <c r="AV38" i="27"/>
  <c r="BA47" i="27"/>
  <c r="AO47" i="27"/>
  <c r="BI47" i="27" s="1"/>
  <c r="AW43" i="27"/>
  <c r="AP43" i="27"/>
  <c r="BJ43" i="27" s="1"/>
  <c r="BA46" i="27"/>
  <c r="AX47" i="27"/>
  <c r="AX38" i="27"/>
  <c r="AO43" i="27"/>
  <c r="BI43" i="27" s="1"/>
  <c r="BA38" i="27"/>
  <c r="AW50" i="27"/>
  <c r="BA53" i="27"/>
  <c r="AX43" i="27"/>
  <c r="BA52" i="27"/>
  <c r="AX52" i="27"/>
  <c r="AZ39" i="27"/>
  <c r="AX50" i="27"/>
  <c r="AX39" i="27"/>
  <c r="AY46" i="27"/>
  <c r="AZ38" i="27"/>
  <c r="AY39" i="27"/>
  <c r="AO39" i="27"/>
  <c r="BI39" i="27" s="1"/>
  <c r="AW39" i="27"/>
  <c r="AV39" i="27"/>
  <c r="AH39" i="27"/>
  <c r="BB39" i="27" s="1"/>
  <c r="AY48" i="27"/>
  <c r="AO48" i="27"/>
  <c r="BI48" i="27" s="1"/>
  <c r="AV48" i="27"/>
  <c r="AH48" i="27"/>
  <c r="BB48" i="27" s="1"/>
  <c r="AR49" i="27"/>
  <c r="BA49" i="27"/>
  <c r="BA48" i="27"/>
  <c r="AR48" i="27"/>
  <c r="AW49" i="27"/>
  <c r="AI49" i="27"/>
  <c r="BC49" i="27" s="1"/>
  <c r="AK37" i="27"/>
  <c r="AX37" i="27"/>
  <c r="AV49" i="27"/>
  <c r="AH49" i="27"/>
  <c r="BB49" i="27" s="1"/>
  <c r="AV37" i="27"/>
  <c r="AH37" i="27"/>
  <c r="BB37" i="27" s="1"/>
  <c r="BA40" i="27"/>
  <c r="AR40" i="27"/>
  <c r="BL40" i="27" s="1"/>
  <c r="AZ40" i="27"/>
  <c r="AP40" i="27"/>
  <c r="BJ40" i="27" s="1"/>
  <c r="AI48" i="27"/>
  <c r="BC48" i="27" s="1"/>
  <c r="AW48" i="27"/>
  <c r="AZ37" i="27"/>
  <c r="AP37" i="27"/>
  <c r="BJ37" i="27" s="1"/>
  <c r="AW40" i="27"/>
  <c r="AI40" i="27"/>
  <c r="BC40" i="27" s="1"/>
  <c r="AZ48" i="27"/>
  <c r="AP48" i="27"/>
  <c r="BJ48" i="27" s="1"/>
  <c r="AY40" i="27"/>
  <c r="AO40" i="27"/>
  <c r="BI40" i="27" s="1"/>
  <c r="AK49" i="27"/>
  <c r="AX49" i="27"/>
  <c r="AH40" i="27"/>
  <c r="BB40" i="27" s="1"/>
  <c r="AV40" i="27"/>
  <c r="AR37" i="27"/>
  <c r="BA37" i="27"/>
  <c r="AK48" i="27"/>
  <c r="AX48" i="27"/>
  <c r="AP49" i="27"/>
  <c r="BJ49" i="27" s="1"/>
  <c r="AZ49" i="27"/>
  <c r="AO37" i="27"/>
  <c r="BI37" i="27" s="1"/>
  <c r="AY37" i="27"/>
  <c r="AX40" i="27"/>
  <c r="AK40" i="27"/>
  <c r="BE40" i="27" s="1"/>
  <c r="AO49" i="27"/>
  <c r="BI49" i="27" s="1"/>
  <c r="AY49" i="27"/>
  <c r="AI37" i="27"/>
  <c r="BC37" i="27" s="1"/>
  <c r="AW37" i="27"/>
  <c r="D48" i="29"/>
  <c r="D49" i="29"/>
  <c r="D50" i="29"/>
  <c r="F48" i="29"/>
  <c r="F49" i="29"/>
  <c r="F50" i="29"/>
  <c r="G48" i="29"/>
  <c r="G49" i="29"/>
  <c r="G50" i="29"/>
  <c r="I48" i="29"/>
  <c r="I49" i="29"/>
  <c r="I50" i="29"/>
  <c r="N72" i="12"/>
  <c r="N71" i="12"/>
  <c r="N70" i="12"/>
  <c r="AV5" i="50"/>
  <c r="AV4" i="50"/>
  <c r="AV3" i="50"/>
  <c r="AT5" i="50"/>
  <c r="AT4" i="50"/>
  <c r="AT3" i="50"/>
  <c r="AS5" i="50"/>
  <c r="H22" i="29" s="1"/>
  <c r="AS4" i="50"/>
  <c r="H21" i="29" s="1"/>
  <c r="AS3" i="50"/>
  <c r="H20" i="29" s="1"/>
  <c r="AV2" i="50"/>
  <c r="K6" i="29" s="1"/>
  <c r="A9" i="47" s="1"/>
  <c r="AT2" i="50"/>
  <c r="I6" i="29" s="1"/>
  <c r="A7" i="47" s="1"/>
  <c r="AS2" i="50"/>
  <c r="H6" i="29" s="1"/>
  <c r="AU2" i="50"/>
  <c r="J6" i="29" s="1"/>
  <c r="A8" i="47" s="1"/>
  <c r="M82" i="28"/>
  <c r="AQ3" i="50"/>
  <c r="AR2" i="50"/>
  <c r="G6" i="29" s="1"/>
  <c r="A13" i="27" s="1"/>
  <c r="C13" i="27" s="1"/>
  <c r="AQ2" i="50"/>
  <c r="F6" i="29" s="1"/>
  <c r="A10" i="27" s="1"/>
  <c r="C10" i="27" s="1"/>
  <c r="AP2" i="50"/>
  <c r="E6" i="29" s="1"/>
  <c r="AO2" i="50"/>
  <c r="D6" i="29" s="1"/>
  <c r="A2" i="47" s="1"/>
  <c r="I82" i="28"/>
  <c r="M78" i="28"/>
  <c r="M73" i="28"/>
  <c r="M72" i="28"/>
  <c r="F78" i="28"/>
  <c r="I78" i="28"/>
  <c r="I77" i="28"/>
  <c r="I73" i="28"/>
  <c r="I72" i="28"/>
  <c r="N46" i="28"/>
  <c r="N45" i="28"/>
  <c r="M46" i="28"/>
  <c r="M45" i="28"/>
  <c r="I46" i="28"/>
  <c r="I45" i="28"/>
  <c r="F46" i="28"/>
  <c r="F45" i="28"/>
  <c r="I40" i="28"/>
  <c r="I39" i="28"/>
  <c r="I38" i="28"/>
  <c r="L44" i="28"/>
  <c r="K44" i="28"/>
  <c r="J44" i="28"/>
  <c r="I44" i="28"/>
  <c r="H44" i="28"/>
  <c r="E44" i="28"/>
  <c r="L43" i="28"/>
  <c r="K43" i="28"/>
  <c r="J43" i="28"/>
  <c r="I43" i="28"/>
  <c r="H43" i="28"/>
  <c r="E43" i="28"/>
  <c r="L42" i="28"/>
  <c r="K42" i="28"/>
  <c r="J42" i="28"/>
  <c r="I42" i="28"/>
  <c r="H42" i="28"/>
  <c r="E42" i="28"/>
  <c r="D44" i="28"/>
  <c r="D43" i="28"/>
  <c r="D42" i="28"/>
  <c r="F40" i="28"/>
  <c r="F39" i="28"/>
  <c r="F38" i="28"/>
  <c r="F82" i="28"/>
  <c r="K32" i="28"/>
  <c r="J32" i="28"/>
  <c r="H32" i="28"/>
  <c r="E32" i="28"/>
  <c r="D32" i="28"/>
  <c r="AI6" i="50"/>
  <c r="P20" i="29" l="1"/>
  <c r="I21" i="29"/>
  <c r="P21" i="29"/>
  <c r="I22" i="29"/>
  <c r="F20" i="29"/>
  <c r="P13" i="29"/>
  <c r="I20" i="29"/>
  <c r="P19" i="29"/>
  <c r="P22" i="29"/>
  <c r="K20" i="29"/>
  <c r="P23" i="29"/>
  <c r="K21" i="29"/>
  <c r="P24" i="29"/>
  <c r="K22" i="29"/>
  <c r="AK7" i="50"/>
  <c r="AJ7" i="50"/>
  <c r="M32" i="28" s="1"/>
  <c r="AI7" i="50"/>
  <c r="L32" i="28" s="1"/>
  <c r="AF7" i="50"/>
  <c r="I32" i="28" s="1"/>
  <c r="AC7" i="50"/>
  <c r="F32" i="28" s="1"/>
  <c r="AK6" i="50"/>
  <c r="N2" i="28" s="1"/>
  <c r="AJ6" i="50"/>
  <c r="M2" i="28" s="1"/>
  <c r="L2" i="28"/>
  <c r="AH6" i="50"/>
  <c r="K2" i="28" s="1"/>
  <c r="AG6" i="50"/>
  <c r="J2" i="28" s="1"/>
  <c r="AF6" i="50"/>
  <c r="I2" i="28" s="1"/>
  <c r="AE6" i="50"/>
  <c r="H2" i="28" s="1"/>
  <c r="AC6" i="50"/>
  <c r="AB6" i="50"/>
  <c r="E2" i="28" s="1"/>
  <c r="AA6" i="50"/>
  <c r="D2" i="28" s="1"/>
  <c r="AE2" i="50"/>
  <c r="H1" i="28" s="1"/>
  <c r="A14" i="47" s="1"/>
  <c r="AF2" i="50"/>
  <c r="I1" i="28" s="1"/>
  <c r="A15" i="47" s="1"/>
  <c r="AK2" i="50"/>
  <c r="N1" i="28" s="1"/>
  <c r="A18" i="47" s="1"/>
  <c r="AJ2" i="50"/>
  <c r="M1" i="28" s="1"/>
  <c r="A17" i="47" s="1"/>
  <c r="AI2" i="50"/>
  <c r="L1" i="28" s="1"/>
  <c r="AH2" i="50"/>
  <c r="K1" i="28" s="1"/>
  <c r="AG2" i="50"/>
  <c r="J1" i="28" s="1"/>
  <c r="A16" i="47" s="1"/>
  <c r="AK8" i="50" l="1"/>
  <c r="N32" i="28"/>
  <c r="AC8" i="50"/>
  <c r="AJ10" i="50"/>
  <c r="M44" i="28" s="1"/>
  <c r="AJ9" i="50"/>
  <c r="M43" i="28" s="1"/>
  <c r="AJ8" i="50"/>
  <c r="M42" i="28" s="1"/>
  <c r="AC9" i="50" l="1"/>
  <c r="F42" i="28"/>
  <c r="AK9" i="50"/>
  <c r="N42" i="28"/>
  <c r="AK10" i="50" l="1"/>
  <c r="N44" i="28" s="1"/>
  <c r="N43" i="28"/>
  <c r="AC10" i="50"/>
  <c r="F44" i="28" s="1"/>
  <c r="F43" i="28"/>
  <c r="M9" i="50" l="1"/>
  <c r="P9" i="50" s="1"/>
  <c r="O9" i="50"/>
  <c r="Q9" i="50"/>
  <c r="AC2" i="50"/>
  <c r="F1" i="28" s="1"/>
  <c r="AA2" i="50"/>
  <c r="D1" i="28" s="1"/>
  <c r="AB2" i="50"/>
  <c r="E1" i="28" s="1"/>
  <c r="M10" i="50"/>
  <c r="P10" i="50" s="1"/>
  <c r="O10" i="50"/>
  <c r="Q10" i="50"/>
  <c r="M11" i="50"/>
  <c r="P11" i="50" s="1"/>
  <c r="O11" i="50"/>
  <c r="Q11" i="50"/>
  <c r="M12" i="50"/>
  <c r="P12" i="50" s="1"/>
  <c r="O12" i="50"/>
  <c r="Q12" i="50"/>
  <c r="M13" i="50"/>
  <c r="P13" i="50" s="1"/>
  <c r="O13" i="50"/>
  <c r="Q13" i="50"/>
  <c r="M4" i="50"/>
  <c r="P4" i="50" s="1"/>
  <c r="O4" i="50"/>
  <c r="Q4" i="50"/>
  <c r="M5" i="50"/>
  <c r="P5" i="50" s="1"/>
  <c r="O5" i="50"/>
  <c r="Q5" i="50"/>
  <c r="M6" i="50"/>
  <c r="P6" i="50" s="1"/>
  <c r="O6" i="50"/>
  <c r="Q6" i="50"/>
  <c r="M7" i="50"/>
  <c r="P7" i="50" s="1"/>
  <c r="O7" i="50"/>
  <c r="Q7" i="50"/>
  <c r="M8" i="50"/>
  <c r="P8" i="50" s="1"/>
  <c r="O8" i="50"/>
  <c r="Q8" i="50"/>
  <c r="M2" i="50"/>
  <c r="P2" i="50" s="1"/>
  <c r="O2" i="50"/>
  <c r="Q2" i="50"/>
  <c r="M3" i="50"/>
  <c r="P3" i="50" s="1"/>
  <c r="O3" i="50"/>
  <c r="Q3" i="50"/>
  <c r="O22" i="50"/>
  <c r="P22" i="50"/>
  <c r="Q22" i="50"/>
  <c r="M23" i="50"/>
  <c r="O23" i="50"/>
  <c r="P23" i="50"/>
  <c r="AB4" i="50" s="1"/>
  <c r="E16" i="28" s="1"/>
  <c r="Q23" i="50"/>
  <c r="M28" i="50"/>
  <c r="P28" i="50" s="1"/>
  <c r="O28" i="50"/>
  <c r="AE5" i="50" s="1"/>
  <c r="H17" i="28" s="1"/>
  <c r="Q28" i="50"/>
  <c r="M29" i="50"/>
  <c r="P29" i="50" s="1"/>
  <c r="O29" i="50"/>
  <c r="Q29" i="50"/>
  <c r="M14" i="50"/>
  <c r="P14" i="50" s="1"/>
  <c r="AH4" i="50" s="1"/>
  <c r="K16" i="28" s="1"/>
  <c r="O14" i="50"/>
  <c r="AH5" i="50" s="1"/>
  <c r="K17" i="28" s="1"/>
  <c r="Q14" i="50"/>
  <c r="AH3" i="50" s="1"/>
  <c r="K15" i="28" s="1"/>
  <c r="M15" i="50"/>
  <c r="P15" i="50" s="1"/>
  <c r="AI4" i="50" s="1"/>
  <c r="L16" i="28" s="1"/>
  <c r="O15" i="50"/>
  <c r="AI5" i="50" s="1"/>
  <c r="L17" i="28" s="1"/>
  <c r="Q15" i="50"/>
  <c r="AI3" i="50" s="1"/>
  <c r="L15" i="28" s="1"/>
  <c r="M16" i="50"/>
  <c r="P16" i="50" s="1"/>
  <c r="AJ4" i="50" s="1"/>
  <c r="O16" i="50"/>
  <c r="Q16" i="50"/>
  <c r="M17" i="50"/>
  <c r="P17" i="50" s="1"/>
  <c r="O17" i="50"/>
  <c r="Q17" i="50"/>
  <c r="M18" i="50"/>
  <c r="P18" i="50" s="1"/>
  <c r="AK4" i="50" s="1"/>
  <c r="O18" i="50"/>
  <c r="AK5" i="50" s="1"/>
  <c r="Q18" i="50"/>
  <c r="AK3" i="50" s="1"/>
  <c r="O24" i="50"/>
  <c r="AF5" i="50" s="1"/>
  <c r="P24" i="50"/>
  <c r="O34" i="50"/>
  <c r="P34" i="50"/>
  <c r="Q34" i="50"/>
  <c r="O25" i="50"/>
  <c r="O26" i="50"/>
  <c r="O30" i="50"/>
  <c r="O31" i="50"/>
  <c r="AR5" i="50" s="1"/>
  <c r="P31" i="50"/>
  <c r="AR4" i="50" s="1"/>
  <c r="Q31" i="50"/>
  <c r="AR3" i="50" s="1"/>
  <c r="O36" i="50"/>
  <c r="P36" i="50"/>
  <c r="Q36" i="50"/>
  <c r="R9" i="28" l="1"/>
  <c r="M16" i="28"/>
  <c r="P18" i="29"/>
  <c r="G22" i="29"/>
  <c r="R11" i="28"/>
  <c r="N15" i="28"/>
  <c r="P17" i="29"/>
  <c r="G21" i="29"/>
  <c r="R12" i="28"/>
  <c r="N16" i="28"/>
  <c r="P16" i="29"/>
  <c r="G20" i="29"/>
  <c r="N17" i="28"/>
  <c r="R13" i="28"/>
  <c r="I17" i="28"/>
  <c r="R7" i="28"/>
  <c r="P26" i="50"/>
  <c r="AO5" i="50"/>
  <c r="P30" i="50"/>
  <c r="AQ4" i="50" s="1"/>
  <c r="AQ5" i="50"/>
  <c r="Q25" i="50"/>
  <c r="AP3" i="50" s="1"/>
  <c r="AP5" i="50"/>
  <c r="AF4" i="50"/>
  <c r="Q24" i="50"/>
  <c r="AF3" i="50" s="1"/>
  <c r="AE4" i="50"/>
  <c r="H16" i="28" s="1"/>
  <c r="AJ5" i="50"/>
  <c r="AG3" i="50"/>
  <c r="J15" i="28" s="1"/>
  <c r="AG5" i="50"/>
  <c r="J17" i="28" s="1"/>
  <c r="AJ3" i="50"/>
  <c r="AE3" i="50"/>
  <c r="H15" i="28" s="1"/>
  <c r="AG4" i="50"/>
  <c r="J16" i="28" s="1"/>
  <c r="P25" i="50"/>
  <c r="AP4" i="50" s="1"/>
  <c r="AA3" i="50"/>
  <c r="D15" i="28" s="1"/>
  <c r="AA5" i="50"/>
  <c r="D17" i="28" s="1"/>
  <c r="AA4" i="50"/>
  <c r="D16" i="28" s="1"/>
  <c r="AB5" i="50"/>
  <c r="E17" i="28" s="1"/>
  <c r="AB3" i="50"/>
  <c r="E15" i="28" s="1"/>
  <c r="AC3" i="50"/>
  <c r="AC5" i="50"/>
  <c r="AC4" i="50"/>
  <c r="P14" i="29" l="1"/>
  <c r="F21" i="29"/>
  <c r="R8" i="28"/>
  <c r="M15" i="28"/>
  <c r="R4" i="28"/>
  <c r="F17" i="28"/>
  <c r="P15" i="29"/>
  <c r="F22" i="29"/>
  <c r="R3" i="28"/>
  <c r="F16" i="28"/>
  <c r="F15" i="28"/>
  <c r="R2" i="28"/>
  <c r="R10" i="28"/>
  <c r="M17" i="28"/>
  <c r="R5" i="28"/>
  <c r="I15" i="28"/>
  <c r="R6" i="28"/>
  <c r="I16" i="28"/>
  <c r="P12" i="29"/>
  <c r="E22" i="29"/>
  <c r="P11" i="29"/>
  <c r="E21" i="29"/>
  <c r="D22" i="29"/>
  <c r="P9" i="29"/>
  <c r="P10" i="29"/>
  <c r="E20" i="29"/>
  <c r="Q26" i="50"/>
  <c r="AO3" i="50" s="1"/>
  <c r="AO4" i="50"/>
  <c r="A10" i="47"/>
  <c r="A11" i="47"/>
  <c r="C6" i="47"/>
  <c r="C5" i="47"/>
  <c r="C4" i="47"/>
  <c r="P8" i="29" l="1"/>
  <c r="D21" i="29"/>
  <c r="P7" i="29"/>
  <c r="D20" i="29"/>
  <c r="J32" i="27"/>
  <c r="J33" i="27"/>
  <c r="J34" i="27"/>
  <c r="J35" i="27"/>
  <c r="J36" i="27"/>
  <c r="J55" i="27"/>
  <c r="J56" i="27"/>
  <c r="J57" i="27"/>
  <c r="J31" i="27"/>
  <c r="I34" i="27"/>
  <c r="I31" i="27"/>
  <c r="H34" i="27"/>
  <c r="H32" i="27"/>
  <c r="H33" i="27"/>
  <c r="H31" i="27"/>
  <c r="G35" i="27"/>
  <c r="G36" i="27"/>
  <c r="G34" i="27"/>
  <c r="G33" i="27"/>
  <c r="G31" i="27"/>
  <c r="A34" i="27"/>
  <c r="A31" i="27"/>
  <c r="H8" i="27"/>
  <c r="H9" i="27"/>
  <c r="H7" i="27"/>
  <c r="G8" i="27"/>
  <c r="G9" i="27"/>
  <c r="G7" i="27"/>
  <c r="K9" i="27" l="1"/>
  <c r="O9" i="27" s="1"/>
  <c r="K8" i="27"/>
  <c r="O8" i="27" s="1"/>
  <c r="K7" i="27"/>
  <c r="O7" i="27" s="1"/>
  <c r="C31" i="27"/>
  <c r="C34" i="27"/>
  <c r="J14" i="12"/>
  <c r="J15" i="12"/>
  <c r="J16" i="1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D59" i="2"/>
  <c r="E58" i="2"/>
  <c r="D58" i="2"/>
  <c r="E57" i="2"/>
  <c r="D57" i="2"/>
  <c r="E56" i="2"/>
  <c r="D56" i="2"/>
  <c r="D54" i="2"/>
  <c r="D53" i="2"/>
  <c r="E52" i="2"/>
  <c r="D52" i="2"/>
  <c r="E51" i="2"/>
  <c r="D51" i="2"/>
  <c r="E50" i="2"/>
  <c r="D50" i="2"/>
  <c r="E48" i="2"/>
  <c r="D48" i="2"/>
  <c r="D47" i="2"/>
  <c r="E46" i="2"/>
  <c r="D46" i="2"/>
  <c r="E45" i="2"/>
  <c r="D45" i="2"/>
  <c r="E44" i="2"/>
  <c r="D44" i="2"/>
  <c r="E42" i="2"/>
  <c r="D42" i="2"/>
  <c r="D41" i="2"/>
  <c r="E40" i="2"/>
  <c r="D40" i="2"/>
  <c r="E39" i="2"/>
  <c r="D39" i="2"/>
  <c r="E38" i="2"/>
  <c r="D38" i="2"/>
  <c r="E36" i="2"/>
  <c r="D36" i="2"/>
  <c r="D35" i="2"/>
  <c r="E34" i="2"/>
  <c r="D34" i="2"/>
  <c r="E33" i="2"/>
  <c r="D33" i="2"/>
  <c r="E32" i="2"/>
  <c r="D32" i="2"/>
  <c r="E30" i="2"/>
  <c r="D30" i="2"/>
  <c r="E24" i="2"/>
  <c r="E55" i="2" s="1"/>
  <c r="P70" i="12" l="1"/>
  <c r="E35" i="2"/>
  <c r="E41" i="2"/>
  <c r="E47" i="2"/>
  <c r="E53" i="2"/>
  <c r="E59" i="2"/>
  <c r="D31" i="2"/>
  <c r="D37" i="2"/>
  <c r="D43" i="2"/>
  <c r="D49" i="2"/>
  <c r="D55" i="2"/>
  <c r="E54" i="2"/>
  <c r="E31" i="2"/>
  <c r="E37" i="2"/>
  <c r="E43" i="2"/>
  <c r="E49" i="2"/>
  <c r="P4" i="27"/>
  <c r="J4" i="2"/>
  <c r="P72" i="12" s="1"/>
  <c r="P71" i="12" l="1"/>
  <c r="AD65" i="29" l="1"/>
  <c r="AD62" i="29"/>
  <c r="AD59" i="29"/>
  <c r="AD56" i="29"/>
  <c r="AD53" i="29"/>
  <c r="AD50" i="29"/>
  <c r="AD47" i="29"/>
  <c r="AD44" i="29"/>
  <c r="AD41" i="29"/>
  <c r="AD38" i="29"/>
  <c r="AD35" i="29"/>
  <c r="AD32" i="29"/>
  <c r="AD29" i="29"/>
  <c r="AD26" i="29"/>
  <c r="AD23" i="29"/>
  <c r="AA31" i="29"/>
  <c r="AA30" i="29"/>
  <c r="AA28" i="29"/>
  <c r="AA27" i="29"/>
  <c r="AC65" i="29"/>
  <c r="AC62" i="29"/>
  <c r="AC59" i="29"/>
  <c r="AC56" i="29"/>
  <c r="AC53" i="29"/>
  <c r="AC50" i="29"/>
  <c r="AC47" i="29"/>
  <c r="AC44" i="29"/>
  <c r="AC41" i="29"/>
  <c r="AC38" i="29"/>
  <c r="AC35" i="29"/>
  <c r="AC32" i="29"/>
  <c r="AC29" i="29"/>
  <c r="AC26" i="29"/>
  <c r="AC23" i="29"/>
  <c r="AB65" i="29"/>
  <c r="AB62" i="29"/>
  <c r="AB59" i="29"/>
  <c r="AB56" i="29"/>
  <c r="AB53" i="29"/>
  <c r="AB50" i="29"/>
  <c r="AB47" i="29"/>
  <c r="AB44" i="29"/>
  <c r="AB41" i="29"/>
  <c r="AB38" i="29"/>
  <c r="AB35" i="29"/>
  <c r="AB32" i="29"/>
  <c r="AB29" i="29"/>
  <c r="AB26" i="29"/>
  <c r="AB23" i="29"/>
  <c r="AA67" i="29"/>
  <c r="AA66" i="29"/>
  <c r="AA65" i="29"/>
  <c r="AA64" i="29"/>
  <c r="AA63" i="29"/>
  <c r="AA62" i="29"/>
  <c r="AA61" i="29"/>
  <c r="AA60" i="29"/>
  <c r="AA59" i="29"/>
  <c r="AA58" i="29"/>
  <c r="AA57" i="29"/>
  <c r="AA56" i="29"/>
  <c r="AA55" i="29"/>
  <c r="AA54" i="29"/>
  <c r="AA53" i="29"/>
  <c r="AA52" i="29"/>
  <c r="AA51" i="29"/>
  <c r="AA50" i="29"/>
  <c r="AA49" i="29"/>
  <c r="AA48" i="29"/>
  <c r="AA47" i="29"/>
  <c r="AA46" i="29"/>
  <c r="AA45" i="29"/>
  <c r="AA44" i="29"/>
  <c r="AA43" i="29"/>
  <c r="AA42" i="29"/>
  <c r="AA40" i="29"/>
  <c r="AA39" i="29"/>
  <c r="AA37" i="29"/>
  <c r="AA36" i="29"/>
  <c r="AA34" i="29"/>
  <c r="AA33" i="29"/>
  <c r="AA41" i="29"/>
  <c r="AA38" i="29"/>
  <c r="AA35" i="29"/>
  <c r="AA32" i="29"/>
  <c r="AA29" i="29"/>
  <c r="AA26" i="29"/>
  <c r="AA23" i="29"/>
  <c r="X67" i="29"/>
  <c r="Y67" i="29" s="1"/>
  <c r="X66" i="29"/>
  <c r="Y66" i="29" s="1"/>
  <c r="X65" i="29"/>
  <c r="Y65" i="29" s="1"/>
  <c r="X52" i="29"/>
  <c r="Y52" i="29" s="1"/>
  <c r="X51" i="29"/>
  <c r="Y51" i="29" s="1"/>
  <c r="X50" i="29"/>
  <c r="Y50" i="29" s="1"/>
  <c r="X25" i="29"/>
  <c r="Y25" i="29" s="1"/>
  <c r="X24" i="29"/>
  <c r="Y24" i="29" s="1"/>
  <c r="X23" i="29"/>
  <c r="X43" i="29"/>
  <c r="Y43" i="29" s="1"/>
  <c r="X42" i="29"/>
  <c r="Y42" i="29" s="1"/>
  <c r="X41" i="29"/>
  <c r="X40" i="29"/>
  <c r="Y40" i="29" s="1"/>
  <c r="X39" i="29"/>
  <c r="Y39" i="29" s="1"/>
  <c r="X38" i="29"/>
  <c r="V65" i="29"/>
  <c r="V62" i="29"/>
  <c r="V56" i="29"/>
  <c r="V50" i="29"/>
  <c r="V53" i="29" l="1"/>
  <c r="V59" i="29"/>
  <c r="V47" i="29"/>
  <c r="V26" i="29"/>
  <c r="V23" i="29"/>
  <c r="X35" i="29"/>
  <c r="X36" i="29"/>
  <c r="X37" i="29"/>
  <c r="X26" i="29"/>
  <c r="X27" i="29"/>
  <c r="X28" i="29"/>
  <c r="X44" i="29"/>
  <c r="Y44" i="29" s="1"/>
  <c r="X45" i="29"/>
  <c r="Y45" i="29" s="1"/>
  <c r="X46" i="29"/>
  <c r="Y46" i="29" s="1"/>
  <c r="X64" i="29"/>
  <c r="Y64" i="29" s="1"/>
  <c r="X61" i="29"/>
  <c r="Y61" i="29" s="1"/>
  <c r="X55" i="29"/>
  <c r="Y55" i="29" s="1"/>
  <c r="X34" i="29"/>
  <c r="Y34" i="29" s="1"/>
  <c r="X31" i="29"/>
  <c r="Y31" i="29" s="1"/>
  <c r="X63" i="29"/>
  <c r="Y63" i="29" s="1"/>
  <c r="X60" i="29"/>
  <c r="Y60" i="29" s="1"/>
  <c r="X54" i="29"/>
  <c r="Y54" i="29" s="1"/>
  <c r="X33" i="29"/>
  <c r="Y33" i="29" s="1"/>
  <c r="X30" i="29"/>
  <c r="Y30" i="29" s="1"/>
  <c r="X62" i="29"/>
  <c r="Y62" i="29" s="1"/>
  <c r="X59" i="29"/>
  <c r="Y59" i="29" s="1"/>
  <c r="X53" i="29"/>
  <c r="Y53" i="29" s="1"/>
  <c r="X47" i="29"/>
  <c r="Y47" i="29" s="1"/>
  <c r="X32" i="29"/>
  <c r="X29" i="29"/>
  <c r="V32" i="29" l="1"/>
  <c r="A4" i="47"/>
  <c r="V35" i="29"/>
  <c r="A5" i="47"/>
  <c r="V38" i="29"/>
  <c r="A6" i="47"/>
  <c r="V41" i="29"/>
  <c r="V44" i="29"/>
  <c r="V29" i="29"/>
  <c r="A3" i="47"/>
  <c r="A7" i="27"/>
  <c r="I32" i="27"/>
  <c r="I33" i="27"/>
  <c r="I35" i="27"/>
  <c r="I56" i="27"/>
  <c r="C7" i="27" l="1"/>
  <c r="I36" i="27"/>
  <c r="I57" i="27"/>
  <c r="H57" i="27"/>
  <c r="H36" i="27"/>
  <c r="K57" i="27"/>
  <c r="K56" i="27"/>
  <c r="K36" i="27"/>
  <c r="K35" i="27"/>
  <c r="K33" i="27"/>
  <c r="K32" i="27"/>
  <c r="K55" i="27"/>
  <c r="K34" i="27"/>
  <c r="N34" i="27" s="1"/>
  <c r="K31" i="27"/>
  <c r="M31" i="27" s="1"/>
  <c r="N32" i="27" l="1"/>
  <c r="S32" i="27"/>
  <c r="R32" i="27"/>
  <c r="P32" i="27"/>
  <c r="O32" i="27"/>
  <c r="M32" i="27"/>
  <c r="T32" i="27" s="1"/>
  <c r="Q32" i="27"/>
  <c r="N56" i="27"/>
  <c r="M56" i="27"/>
  <c r="S56" i="27"/>
  <c r="R56" i="27"/>
  <c r="Q56" i="27"/>
  <c r="P56" i="27"/>
  <c r="S57" i="27"/>
  <c r="P57" i="27"/>
  <c r="Q57" i="27"/>
  <c r="R57" i="27"/>
  <c r="N57" i="27"/>
  <c r="M57" i="27"/>
  <c r="T57" i="27" s="1"/>
  <c r="P55" i="27"/>
  <c r="S55" i="27"/>
  <c r="R55" i="27"/>
  <c r="M55" i="27"/>
  <c r="T55" i="27" s="1"/>
  <c r="N55" i="27"/>
  <c r="Q55" i="27"/>
  <c r="S36" i="27"/>
  <c r="P36" i="27"/>
  <c r="R36" i="27"/>
  <c r="Q36" i="27"/>
  <c r="M36" i="27"/>
  <c r="T36" i="27" s="1"/>
  <c r="N36" i="27"/>
  <c r="S33" i="27"/>
  <c r="P33" i="27"/>
  <c r="O33" i="27"/>
  <c r="N33" i="27"/>
  <c r="R33" i="27"/>
  <c r="M33" i="27"/>
  <c r="Q33" i="27"/>
  <c r="R35" i="27"/>
  <c r="Q35" i="27"/>
  <c r="S35" i="27"/>
  <c r="N35" i="27"/>
  <c r="P35" i="27"/>
  <c r="M35" i="27"/>
  <c r="T31" i="27"/>
  <c r="O31" i="27"/>
  <c r="N31" i="27"/>
  <c r="Q31" i="27"/>
  <c r="S31" i="27"/>
  <c r="R31" i="27"/>
  <c r="P31" i="27"/>
  <c r="S34" i="27"/>
  <c r="M34" i="27"/>
  <c r="T34" i="27" s="1"/>
  <c r="P34" i="27"/>
  <c r="R34" i="27"/>
  <c r="Q34" i="27"/>
  <c r="H35" i="27"/>
  <c r="H56" i="27"/>
  <c r="T56" i="27" l="1"/>
  <c r="M4" i="27"/>
  <c r="Q7" i="27"/>
  <c r="P7" i="27"/>
  <c r="M7" i="27"/>
  <c r="R7" i="27"/>
  <c r="N7" i="27"/>
  <c r="S7" i="27"/>
  <c r="N11" i="27"/>
  <c r="U11" i="27" s="1"/>
  <c r="M11" i="27"/>
  <c r="T11" i="27" s="1"/>
  <c r="R11" i="27"/>
  <c r="Y11" i="27" s="1"/>
  <c r="AM11" i="27" s="1"/>
  <c r="BG11" i="27" s="1"/>
  <c r="Q11" i="27"/>
  <c r="X11" i="27" s="1"/>
  <c r="AL11" i="27" s="1"/>
  <c r="BF11" i="27" s="1"/>
  <c r="P11" i="27"/>
  <c r="W11" i="27" s="1"/>
  <c r="O11" i="27"/>
  <c r="V11" i="27" s="1"/>
  <c r="AJ11" i="27" s="1"/>
  <c r="BD11" i="27" s="1"/>
  <c r="S11" i="27"/>
  <c r="Z11" i="27" s="1"/>
  <c r="AN11" i="27" s="1"/>
  <c r="BH11" i="27" s="1"/>
  <c r="M5" i="27"/>
  <c r="T5" i="27" s="1"/>
  <c r="V5" i="27"/>
  <c r="AJ5" i="27" s="1"/>
  <c r="P5" i="27"/>
  <c r="W5" i="27" s="1"/>
  <c r="S5" i="27"/>
  <c r="Z5" i="27" s="1"/>
  <c r="AN5" i="27" s="1"/>
  <c r="R5" i="27"/>
  <c r="Y5" i="27" s="1"/>
  <c r="AM5" i="27" s="1"/>
  <c r="Q5" i="27"/>
  <c r="X5" i="27" s="1"/>
  <c r="AL5" i="27" s="1"/>
  <c r="N5" i="27"/>
  <c r="U5" i="27" s="1"/>
  <c r="M8" i="27"/>
  <c r="T8" i="27" s="1"/>
  <c r="N8" i="27"/>
  <c r="U8" i="27" s="1"/>
  <c r="S8" i="27"/>
  <c r="Z8" i="27" s="1"/>
  <c r="AN8" i="27" s="1"/>
  <c r="Q8" i="27"/>
  <c r="X8" i="27" s="1"/>
  <c r="AL8" i="27" s="1"/>
  <c r="R8" i="27"/>
  <c r="Y8" i="27" s="1"/>
  <c r="AM8" i="27" s="1"/>
  <c r="P8" i="27"/>
  <c r="W8" i="27" s="1"/>
  <c r="V8" i="27"/>
  <c r="AJ8" i="27" s="1"/>
  <c r="BD8" i="27" s="1"/>
  <c r="S9" i="27"/>
  <c r="Z9" i="27" s="1"/>
  <c r="AN9" i="27" s="1"/>
  <c r="P9" i="27"/>
  <c r="W9" i="27" s="1"/>
  <c r="V9" i="27"/>
  <c r="AJ9" i="27" s="1"/>
  <c r="BD9" i="27" s="1"/>
  <c r="M9" i="27"/>
  <c r="T9" i="27" s="1"/>
  <c r="R9" i="27"/>
  <c r="Y9" i="27" s="1"/>
  <c r="AM9" i="27" s="1"/>
  <c r="N9" i="27"/>
  <c r="U9" i="27" s="1"/>
  <c r="Q9" i="27"/>
  <c r="X9" i="27" s="1"/>
  <c r="AL9" i="27" s="1"/>
  <c r="R13" i="27"/>
  <c r="O13" i="27"/>
  <c r="N13" i="27"/>
  <c r="M13" i="27"/>
  <c r="P13" i="27"/>
  <c r="S13" i="27"/>
  <c r="Q13" i="27"/>
  <c r="Q14" i="27"/>
  <c r="X14" i="27" s="1"/>
  <c r="AL14" i="27" s="1"/>
  <c r="BF14" i="27" s="1"/>
  <c r="P14" i="27"/>
  <c r="W14" i="27" s="1"/>
  <c r="O14" i="27"/>
  <c r="V14" i="27" s="1"/>
  <c r="AJ14" i="27" s="1"/>
  <c r="BD14" i="27" s="1"/>
  <c r="N14" i="27"/>
  <c r="U14" i="27" s="1"/>
  <c r="M14" i="27"/>
  <c r="T14" i="27" s="1"/>
  <c r="S14" i="27"/>
  <c r="Z14" i="27" s="1"/>
  <c r="AN14" i="27" s="1"/>
  <c r="BH14" i="27" s="1"/>
  <c r="R14" i="27"/>
  <c r="Y14" i="27" s="1"/>
  <c r="AM14" i="27" s="1"/>
  <c r="BG14" i="27" s="1"/>
  <c r="T33" i="27"/>
  <c r="Q19" i="27"/>
  <c r="S6" i="27"/>
  <c r="Z6" i="27" s="1"/>
  <c r="AN6" i="27" s="1"/>
  <c r="V6" i="27"/>
  <c r="AJ6" i="27" s="1"/>
  <c r="P6" i="27"/>
  <c r="W6" i="27" s="1"/>
  <c r="Q6" i="27"/>
  <c r="X6" i="27" s="1"/>
  <c r="AL6" i="27" s="1"/>
  <c r="N6" i="27"/>
  <c r="U6" i="27" s="1"/>
  <c r="R6" i="27"/>
  <c r="Y6" i="27" s="1"/>
  <c r="AM6" i="27" s="1"/>
  <c r="M6" i="27"/>
  <c r="T6" i="27" s="1"/>
  <c r="S10" i="27"/>
  <c r="R10" i="27"/>
  <c r="P10" i="27"/>
  <c r="Q10" i="27"/>
  <c r="M10" i="27"/>
  <c r="N10" i="27"/>
  <c r="O10" i="27"/>
  <c r="S12" i="27"/>
  <c r="Z12" i="27" s="1"/>
  <c r="AN12" i="27" s="1"/>
  <c r="BH12" i="27" s="1"/>
  <c r="P12" i="27"/>
  <c r="W12" i="27" s="1"/>
  <c r="M12" i="27"/>
  <c r="T12" i="27" s="1"/>
  <c r="O12" i="27"/>
  <c r="V12" i="27" s="1"/>
  <c r="AJ12" i="27" s="1"/>
  <c r="BD12" i="27" s="1"/>
  <c r="N12" i="27"/>
  <c r="U12" i="27" s="1"/>
  <c r="R12" i="27"/>
  <c r="Y12" i="27" s="1"/>
  <c r="AM12" i="27" s="1"/>
  <c r="BG12" i="27" s="1"/>
  <c r="Q12" i="27"/>
  <c r="X12" i="27" s="1"/>
  <c r="AL12" i="27" s="1"/>
  <c r="BF12" i="27" s="1"/>
  <c r="T35" i="27"/>
  <c r="S15" i="27"/>
  <c r="Z15" i="27" s="1"/>
  <c r="AN15" i="27" s="1"/>
  <c r="BH15" i="27" s="1"/>
  <c r="P15" i="27"/>
  <c r="W15" i="27" s="1"/>
  <c r="O15" i="27"/>
  <c r="V15" i="27" s="1"/>
  <c r="AJ15" i="27" s="1"/>
  <c r="BD15" i="27" s="1"/>
  <c r="N15" i="27"/>
  <c r="U15" i="27" s="1"/>
  <c r="M15" i="27"/>
  <c r="T15" i="27" s="1"/>
  <c r="Q15" i="27"/>
  <c r="X15" i="27" s="1"/>
  <c r="AL15" i="27" s="1"/>
  <c r="BF15" i="27" s="1"/>
  <c r="R15" i="27"/>
  <c r="Y15" i="27" s="1"/>
  <c r="AM15" i="27" s="1"/>
  <c r="BG15" i="27" s="1"/>
  <c r="I15" i="27"/>
  <c r="I14" i="27"/>
  <c r="I9" i="27"/>
  <c r="I26" i="27"/>
  <c r="I27" i="27"/>
  <c r="I12" i="27"/>
  <c r="I17" i="27"/>
  <c r="I18" i="27"/>
  <c r="I21" i="27"/>
  <c r="I20" i="27"/>
  <c r="I23" i="27"/>
  <c r="N19" i="27" l="1"/>
  <c r="N18" i="27"/>
  <c r="U18" i="27" s="1"/>
  <c r="M18" i="27"/>
  <c r="T18" i="27" s="1"/>
  <c r="AH18" i="27" s="1"/>
  <c r="BB18" i="27" s="1"/>
  <c r="Q18" i="27"/>
  <c r="X18" i="27" s="1"/>
  <c r="AL18" i="27" s="1"/>
  <c r="P18" i="27"/>
  <c r="W18" i="27" s="1"/>
  <c r="AK18" i="27" s="1"/>
  <c r="O19" i="27"/>
  <c r="AC19" i="27" s="1"/>
  <c r="AQ19" i="27" s="1"/>
  <c r="BK19" i="27" s="1"/>
  <c r="M19" i="27"/>
  <c r="AA19" i="27" s="1"/>
  <c r="R19" i="27"/>
  <c r="Y19" i="27" s="1"/>
  <c r="AM19" i="27" s="1"/>
  <c r="BG19" i="27" s="1"/>
  <c r="S19" i="27"/>
  <c r="Z19" i="27" s="1"/>
  <c r="AN19" i="27" s="1"/>
  <c r="BH19" i="27" s="1"/>
  <c r="P19" i="27"/>
  <c r="AD19" i="27" s="1"/>
  <c r="S18" i="27"/>
  <c r="Z18" i="27" s="1"/>
  <c r="AN18" i="27" s="1"/>
  <c r="O21" i="27"/>
  <c r="V21" i="27" s="1"/>
  <c r="AJ21" i="27" s="1"/>
  <c r="BD21" i="27" s="1"/>
  <c r="N16" i="27"/>
  <c r="U16" i="27" s="1"/>
  <c r="P21" i="27"/>
  <c r="W21" i="27" s="1"/>
  <c r="AK21" i="27" s="1"/>
  <c r="BE21" i="27" s="1"/>
  <c r="S21" i="27"/>
  <c r="Z21" i="27" s="1"/>
  <c r="AN21" i="27" s="1"/>
  <c r="BH21" i="27" s="1"/>
  <c r="S20" i="27"/>
  <c r="Z20" i="27" s="1"/>
  <c r="AN20" i="27" s="1"/>
  <c r="BH20" i="27" s="1"/>
  <c r="O18" i="27"/>
  <c r="V18" i="27" s="1"/>
  <c r="AJ18" i="27" s="1"/>
  <c r="BD18" i="27" s="1"/>
  <c r="P17" i="27"/>
  <c r="W17" i="27" s="1"/>
  <c r="AK17" i="27" s="1"/>
  <c r="S16" i="27"/>
  <c r="Z16" i="27" s="1"/>
  <c r="AN16" i="27" s="1"/>
  <c r="S17" i="27"/>
  <c r="Z17" i="27" s="1"/>
  <c r="AN17" i="27" s="1"/>
  <c r="R20" i="27"/>
  <c r="Y20" i="27" s="1"/>
  <c r="AM20" i="27" s="1"/>
  <c r="BG20" i="27" s="1"/>
  <c r="M20" i="27"/>
  <c r="T20" i="27" s="1"/>
  <c r="AV20" i="27" s="1"/>
  <c r="Q17" i="27"/>
  <c r="X17" i="27" s="1"/>
  <c r="AL17" i="27" s="1"/>
  <c r="M16" i="27"/>
  <c r="T16" i="27" s="1"/>
  <c r="N20" i="27"/>
  <c r="U20" i="27" s="1"/>
  <c r="N21" i="27"/>
  <c r="U21" i="27" s="1"/>
  <c r="N17" i="27"/>
  <c r="U17" i="27" s="1"/>
  <c r="R16" i="27"/>
  <c r="AF16" i="27" s="1"/>
  <c r="AT16" i="27" s="1"/>
  <c r="M21" i="27"/>
  <c r="T21" i="27" s="1"/>
  <c r="AH21" i="27" s="1"/>
  <c r="BB21" i="27" s="1"/>
  <c r="Q21" i="27"/>
  <c r="X21" i="27" s="1"/>
  <c r="AL21" i="27" s="1"/>
  <c r="BF21" i="27" s="1"/>
  <c r="O20" i="27"/>
  <c r="V20" i="27" s="1"/>
  <c r="AJ20" i="27" s="1"/>
  <c r="BD20" i="27" s="1"/>
  <c r="O17" i="27"/>
  <c r="V17" i="27" s="1"/>
  <c r="AJ17" i="27" s="1"/>
  <c r="BD17" i="27" s="1"/>
  <c r="R17" i="27"/>
  <c r="Y17" i="27" s="1"/>
  <c r="AM17" i="27" s="1"/>
  <c r="O16" i="27"/>
  <c r="V16" i="27" s="1"/>
  <c r="AJ16" i="27" s="1"/>
  <c r="BD16" i="27" s="1"/>
  <c r="M17" i="27"/>
  <c r="T17" i="27" s="1"/>
  <c r="AH17" i="27" s="1"/>
  <c r="BB17" i="27" s="1"/>
  <c r="P16" i="27"/>
  <c r="AD16" i="27" s="1"/>
  <c r="Q16" i="27"/>
  <c r="AE16" i="27" s="1"/>
  <c r="AS16" i="27" s="1"/>
  <c r="P20" i="27"/>
  <c r="W20" i="27" s="1"/>
  <c r="AK20" i="27" s="1"/>
  <c r="BE20" i="27" s="1"/>
  <c r="Q20" i="27"/>
  <c r="X20" i="27" s="1"/>
  <c r="AL20" i="27" s="1"/>
  <c r="BF20" i="27" s="1"/>
  <c r="R18" i="27"/>
  <c r="Y18" i="27" s="1"/>
  <c r="AM18" i="27" s="1"/>
  <c r="R21" i="27"/>
  <c r="Y21" i="27" s="1"/>
  <c r="AM21" i="27" s="1"/>
  <c r="BG21" i="27" s="1"/>
  <c r="AD4" i="27"/>
  <c r="S4" i="27"/>
  <c r="Z4" i="27" s="1"/>
  <c r="AN4" i="27" s="1"/>
  <c r="Q4" i="27"/>
  <c r="X4" i="27" s="1"/>
  <c r="AL4" i="27" s="1"/>
  <c r="R4" i="27"/>
  <c r="Y4" i="27" s="1"/>
  <c r="AM4" i="27" s="1"/>
  <c r="N4" i="27"/>
  <c r="AB4" i="27" s="1"/>
  <c r="AC4" i="27"/>
  <c r="AQ4" i="27" s="1"/>
  <c r="Y13" i="27"/>
  <c r="AM13" i="27" s="1"/>
  <c r="BG13" i="27" s="1"/>
  <c r="AF13" i="27"/>
  <c r="AT13" i="27" s="1"/>
  <c r="BN13" i="27" s="1"/>
  <c r="AW12" i="27"/>
  <c r="AI12" i="27"/>
  <c r="BC12" i="27" s="1"/>
  <c r="AV14" i="27"/>
  <c r="AH14" i="27"/>
  <c r="AW14" i="27"/>
  <c r="AI14" i="27"/>
  <c r="BC14" i="27" s="1"/>
  <c r="AI18" i="27"/>
  <c r="BC18" i="27" s="1"/>
  <c r="AW6" i="27"/>
  <c r="AI6" i="27"/>
  <c r="BC6" i="27" s="1"/>
  <c r="AK12" i="27"/>
  <c r="BE12" i="27" s="1"/>
  <c r="AX12" i="27"/>
  <c r="AX14" i="27"/>
  <c r="AK14" i="27"/>
  <c r="BE14" i="27" s="1"/>
  <c r="AH5" i="27"/>
  <c r="BB5" i="27" s="1"/>
  <c r="AV5" i="27"/>
  <c r="V10" i="27"/>
  <c r="AJ10" i="27" s="1"/>
  <c r="BD10" i="27" s="1"/>
  <c r="AC10" i="27"/>
  <c r="AQ10" i="27" s="1"/>
  <c r="BK10" i="27" s="1"/>
  <c r="T7" i="27"/>
  <c r="AA7" i="27"/>
  <c r="U10" i="27"/>
  <c r="AB10" i="27"/>
  <c r="AG13" i="27"/>
  <c r="AU13" i="27" s="1"/>
  <c r="BO13" i="27" s="1"/>
  <c r="Z13" i="27"/>
  <c r="AN13" i="27" s="1"/>
  <c r="BH13" i="27" s="1"/>
  <c r="AC7" i="27"/>
  <c r="AQ7" i="27" s="1"/>
  <c r="BK7" i="27" s="1"/>
  <c r="V7" i="27"/>
  <c r="AJ7" i="27" s="1"/>
  <c r="BD7" i="27" s="1"/>
  <c r="T4" i="27"/>
  <c r="AA4" i="27"/>
  <c r="AV6" i="27"/>
  <c r="AH6" i="27"/>
  <c r="BB6" i="27" s="1"/>
  <c r="AX5" i="27"/>
  <c r="AK5" i="27"/>
  <c r="AI11" i="27"/>
  <c r="BC11" i="27" s="1"/>
  <c r="AW11" i="27"/>
  <c r="Z7" i="27"/>
  <c r="AN7" i="27" s="1"/>
  <c r="AG7" i="27"/>
  <c r="AU7" i="27" s="1"/>
  <c r="AK8" i="27"/>
  <c r="AX8" i="27"/>
  <c r="AB7" i="27"/>
  <c r="U7" i="27"/>
  <c r="AH15" i="27"/>
  <c r="AV15" i="27"/>
  <c r="AK6" i="27"/>
  <c r="AX6" i="27"/>
  <c r="AE19" i="27"/>
  <c r="AS19" i="27" s="1"/>
  <c r="BM19" i="27" s="1"/>
  <c r="X19" i="27"/>
  <c r="AL19" i="27" s="1"/>
  <c r="BF19" i="27" s="1"/>
  <c r="Y7" i="27"/>
  <c r="AM7" i="27" s="1"/>
  <c r="AF7" i="27"/>
  <c r="AT7" i="27" s="1"/>
  <c r="AI15" i="27"/>
  <c r="BC15" i="27" s="1"/>
  <c r="AW15" i="27"/>
  <c r="U19" i="27"/>
  <c r="AB19" i="27"/>
  <c r="X13" i="27"/>
  <c r="AL13" i="27" s="1"/>
  <c r="BF13" i="27" s="1"/>
  <c r="AE13" i="27"/>
  <c r="AS13" i="27" s="1"/>
  <c r="BM13" i="27" s="1"/>
  <c r="AK15" i="27"/>
  <c r="BE15" i="27" s="1"/>
  <c r="AX15" i="27"/>
  <c r="T10" i="27"/>
  <c r="AA10" i="27"/>
  <c r="AD13" i="27"/>
  <c r="W13" i="27"/>
  <c r="AW9" i="27"/>
  <c r="AI9" i="27"/>
  <c r="BC9" i="27" s="1"/>
  <c r="AI8" i="27"/>
  <c r="BC8" i="27" s="1"/>
  <c r="AW8" i="27"/>
  <c r="AD7" i="27"/>
  <c r="W7" i="27"/>
  <c r="AG10" i="27"/>
  <c r="AU10" i="27" s="1"/>
  <c r="BO10" i="27" s="1"/>
  <c r="Z10" i="27"/>
  <c r="AN10" i="27" s="1"/>
  <c r="BH10" i="27" s="1"/>
  <c r="AK9" i="27"/>
  <c r="AX9" i="27"/>
  <c r="AH11" i="27"/>
  <c r="AV11" i="27"/>
  <c r="AV12" i="27"/>
  <c r="AH12" i="27"/>
  <c r="X10" i="27"/>
  <c r="AL10" i="27" s="1"/>
  <c r="BF10" i="27" s="1"/>
  <c r="AE10" i="27"/>
  <c r="AS10" i="27" s="1"/>
  <c r="BM10" i="27" s="1"/>
  <c r="AA13" i="27"/>
  <c r="T13" i="27"/>
  <c r="AV8" i="27"/>
  <c r="AH8" i="27"/>
  <c r="BB8" i="27" s="1"/>
  <c r="AE7" i="27"/>
  <c r="AS7" i="27" s="1"/>
  <c r="X7" i="27"/>
  <c r="AL7" i="27" s="1"/>
  <c r="AD10" i="27"/>
  <c r="W10" i="27"/>
  <c r="U13" i="27"/>
  <c r="AB13" i="27"/>
  <c r="AV9" i="27"/>
  <c r="AH9" i="27"/>
  <c r="BB9" i="27" s="1"/>
  <c r="AI5" i="27"/>
  <c r="BC5" i="27" s="1"/>
  <c r="AW5" i="27"/>
  <c r="AX11" i="27"/>
  <c r="AK11" i="27"/>
  <c r="BE11" i="27" s="1"/>
  <c r="Y10" i="27"/>
  <c r="AM10" i="27" s="1"/>
  <c r="BG10" i="27" s="1"/>
  <c r="AF10" i="27"/>
  <c r="AT10" i="27" s="1"/>
  <c r="BN10" i="27" s="1"/>
  <c r="AC13" i="27"/>
  <c r="AQ13" i="27" s="1"/>
  <c r="BK13" i="27" s="1"/>
  <c r="V13" i="27"/>
  <c r="AJ13" i="27" s="1"/>
  <c r="BD13" i="27" s="1"/>
  <c r="AG11" i="27"/>
  <c r="AU11" i="27" s="1"/>
  <c r="BO11" i="27" s="1"/>
  <c r="AF11" i="27"/>
  <c r="AT11" i="27" s="1"/>
  <c r="BN11" i="27" s="1"/>
  <c r="AE11" i="27"/>
  <c r="AS11" i="27" s="1"/>
  <c r="BM11" i="27" s="1"/>
  <c r="AD11" i="27"/>
  <c r="AC11" i="27"/>
  <c r="AQ11" i="27" s="1"/>
  <c r="BK11" i="27" s="1"/>
  <c r="AB11" i="27"/>
  <c r="AA11" i="27"/>
  <c r="AF12" i="27"/>
  <c r="AT12" i="27" s="1"/>
  <c r="BN12" i="27" s="1"/>
  <c r="AE12" i="27"/>
  <c r="AS12" i="27" s="1"/>
  <c r="BM12" i="27" s="1"/>
  <c r="AD12" i="27"/>
  <c r="AC12" i="27"/>
  <c r="AQ12" i="27" s="1"/>
  <c r="BK12" i="27" s="1"/>
  <c r="AB12" i="27"/>
  <c r="AA12" i="27"/>
  <c r="AG12" i="27"/>
  <c r="AU12" i="27" s="1"/>
  <c r="BO12" i="27" s="1"/>
  <c r="AC14" i="27"/>
  <c r="AQ14" i="27" s="1"/>
  <c r="BK14" i="27" s="1"/>
  <c r="AB14" i="27"/>
  <c r="AG14" i="27"/>
  <c r="AU14" i="27" s="1"/>
  <c r="BO14" i="27" s="1"/>
  <c r="AF14" i="27"/>
  <c r="AT14" i="27" s="1"/>
  <c r="BN14" i="27" s="1"/>
  <c r="AE14" i="27"/>
  <c r="AS14" i="27" s="1"/>
  <c r="BM14" i="27" s="1"/>
  <c r="AD14" i="27"/>
  <c r="AA14" i="27"/>
  <c r="AE15" i="27"/>
  <c r="AS15" i="27" s="1"/>
  <c r="BM15" i="27" s="1"/>
  <c r="AD15" i="27"/>
  <c r="AB15" i="27"/>
  <c r="AA15" i="27"/>
  <c r="AG15" i="27"/>
  <c r="AU15" i="27" s="1"/>
  <c r="BO15" i="27" s="1"/>
  <c r="AF15" i="27"/>
  <c r="AT15" i="27" s="1"/>
  <c r="BN15" i="27" s="1"/>
  <c r="AC15" i="27"/>
  <c r="AQ15" i="27" s="1"/>
  <c r="BK15" i="27" s="1"/>
  <c r="AE9" i="27"/>
  <c r="AS9" i="27" s="1"/>
  <c r="AD9" i="27"/>
  <c r="AB9" i="27"/>
  <c r="AA9" i="27"/>
  <c r="AG9" i="27"/>
  <c r="AU9" i="27" s="1"/>
  <c r="AF9" i="27"/>
  <c r="AT9" i="27" s="1"/>
  <c r="AC9" i="27"/>
  <c r="AQ9" i="27" s="1"/>
  <c r="BK9" i="27" s="1"/>
  <c r="AC8" i="27"/>
  <c r="AQ8" i="27" s="1"/>
  <c r="BK8" i="27" s="1"/>
  <c r="AB8" i="27"/>
  <c r="AG8" i="27"/>
  <c r="AU8" i="27" s="1"/>
  <c r="AF8" i="27"/>
  <c r="AT8" i="27" s="1"/>
  <c r="AE8" i="27"/>
  <c r="AS8" i="27" s="1"/>
  <c r="AD8" i="27"/>
  <c r="AA8" i="27"/>
  <c r="AG5" i="27"/>
  <c r="AU5" i="27" s="1"/>
  <c r="AF5" i="27"/>
  <c r="AT5" i="27" s="1"/>
  <c r="AE5" i="27"/>
  <c r="AS5" i="27" s="1"/>
  <c r="AD5" i="27"/>
  <c r="AC5" i="27"/>
  <c r="AQ5" i="27" s="1"/>
  <c r="AB5" i="27"/>
  <c r="AA5" i="27"/>
  <c r="AB18" i="27"/>
  <c r="AF6" i="27"/>
  <c r="AT6" i="27" s="1"/>
  <c r="AE6" i="27"/>
  <c r="AS6" i="27" s="1"/>
  <c r="AD6" i="27"/>
  <c r="AC6" i="27"/>
  <c r="AQ6" i="27" s="1"/>
  <c r="AB6" i="27"/>
  <c r="AG6" i="27"/>
  <c r="AU6" i="27" s="1"/>
  <c r="AA6" i="27"/>
  <c r="Y41" i="29"/>
  <c r="Y29" i="29"/>
  <c r="Y28" i="29"/>
  <c r="Y27" i="29"/>
  <c r="Y26" i="29"/>
  <c r="Y38" i="29"/>
  <c r="Y35" i="29"/>
  <c r="Y32" i="29"/>
  <c r="Y23" i="29"/>
  <c r="AN1" i="27"/>
  <c r="AM1" i="27" s="1"/>
  <c r="AL1" i="27" s="1"/>
  <c r="AK1" i="27" s="1"/>
  <c r="AJ1" i="27" s="1"/>
  <c r="AI1" i="27" s="1"/>
  <c r="AH1" i="27" s="1"/>
  <c r="AR1" i="27"/>
  <c r="AS1" i="27" s="1"/>
  <c r="AT1" i="27" s="1"/>
  <c r="AU1" i="27" s="1"/>
  <c r="H142" i="12"/>
  <c r="L142" i="12" s="1"/>
  <c r="H140" i="12"/>
  <c r="L140" i="12" s="1"/>
  <c r="H141" i="12"/>
  <c r="L141" i="12" s="1"/>
  <c r="K141" i="12"/>
  <c r="K142" i="12"/>
  <c r="K140" i="12"/>
  <c r="F131" i="12"/>
  <c r="F130" i="12"/>
  <c r="F133" i="12"/>
  <c r="F132" i="12"/>
  <c r="F135" i="12"/>
  <c r="F134" i="12"/>
  <c r="D116" i="12"/>
  <c r="E116" i="12" s="1"/>
  <c r="D107" i="12"/>
  <c r="E107" i="12"/>
  <c r="W19" i="27" l="1"/>
  <c r="AK19" i="27" s="1"/>
  <c r="BE19" i="27" s="1"/>
  <c r="AA18" i="27"/>
  <c r="AO18" i="27" s="1"/>
  <c r="BI18" i="27" s="1"/>
  <c r="AV18" i="27"/>
  <c r="AE18" i="27"/>
  <c r="AS18" i="27" s="1"/>
  <c r="AG18" i="27"/>
  <c r="AU18" i="27" s="1"/>
  <c r="AG20" i="27"/>
  <c r="AU20" i="27" s="1"/>
  <c r="BO20" i="27" s="1"/>
  <c r="AC21" i="27"/>
  <c r="AQ21" i="27" s="1"/>
  <c r="BK21" i="27" s="1"/>
  <c r="AD18" i="27"/>
  <c r="AR18" i="27" s="1"/>
  <c r="AW18" i="27"/>
  <c r="AF19" i="27"/>
  <c r="AT19" i="27" s="1"/>
  <c r="BN19" i="27" s="1"/>
  <c r="AB16" i="27"/>
  <c r="AP16" i="27" s="1"/>
  <c r="BJ16" i="27" s="1"/>
  <c r="AG19" i="27"/>
  <c r="AU19" i="27" s="1"/>
  <c r="BO19" i="27" s="1"/>
  <c r="T19" i="27"/>
  <c r="AV19" i="27" s="1"/>
  <c r="V19" i="27"/>
  <c r="AJ19" i="27" s="1"/>
  <c r="BD19" i="27" s="1"/>
  <c r="AW21" i="27"/>
  <c r="AG21" i="27"/>
  <c r="AU21" i="27" s="1"/>
  <c r="BO21" i="27" s="1"/>
  <c r="AC17" i="27"/>
  <c r="AQ17" i="27" s="1"/>
  <c r="BK17" i="27" s="1"/>
  <c r="AE17" i="27"/>
  <c r="AS17" i="27" s="1"/>
  <c r="AF17" i="27"/>
  <c r="AT17" i="27" s="1"/>
  <c r="AC18" i="27"/>
  <c r="AQ18" i="27" s="1"/>
  <c r="BK18" i="27" s="1"/>
  <c r="AA21" i="27"/>
  <c r="AO21" i="27" s="1"/>
  <c r="BI21" i="27" s="1"/>
  <c r="AD21" i="27"/>
  <c r="AR21" i="27" s="1"/>
  <c r="BL21" i="27" s="1"/>
  <c r="AG17" i="27"/>
  <c r="AU17" i="27" s="1"/>
  <c r="AE21" i="27"/>
  <c r="AS21" i="27" s="1"/>
  <c r="BM21" i="27" s="1"/>
  <c r="AF20" i="27"/>
  <c r="AT20" i="27" s="1"/>
  <c r="BN20" i="27" s="1"/>
  <c r="AA16" i="27"/>
  <c r="AO16" i="27" s="1"/>
  <c r="BI16" i="27" s="1"/>
  <c r="AV17" i="27"/>
  <c r="AH20" i="27"/>
  <c r="BB20" i="27" s="1"/>
  <c r="AA17" i="27"/>
  <c r="AY17" i="27" s="1"/>
  <c r="AW20" i="27"/>
  <c r="W16" i="27"/>
  <c r="AK16" i="27" s="1"/>
  <c r="AB21" i="27"/>
  <c r="AP21" i="27" s="1"/>
  <c r="BJ21" i="27" s="1"/>
  <c r="AD20" i="27"/>
  <c r="AR20" i="27" s="1"/>
  <c r="BL20" i="27" s="1"/>
  <c r="AA20" i="27"/>
  <c r="AO20" i="27" s="1"/>
  <c r="BI20" i="27" s="1"/>
  <c r="AC16" i="27"/>
  <c r="AQ16" i="27" s="1"/>
  <c r="BK16" i="27" s="1"/>
  <c r="AI21" i="27"/>
  <c r="BC21" i="27" s="1"/>
  <c r="AI20" i="27"/>
  <c r="BC20" i="27" s="1"/>
  <c r="AX17" i="27"/>
  <c r="AW17" i="27"/>
  <c r="AE20" i="27"/>
  <c r="AS20" i="27" s="1"/>
  <c r="BM20" i="27" s="1"/>
  <c r="AV21" i="27"/>
  <c r="AX18" i="27"/>
  <c r="AG16" i="27"/>
  <c r="AU16" i="27" s="1"/>
  <c r="AX20" i="27"/>
  <c r="AB17" i="27"/>
  <c r="AP17" i="27" s="1"/>
  <c r="BJ17" i="27" s="1"/>
  <c r="AB20" i="27"/>
  <c r="AI17" i="27"/>
  <c r="BC17" i="27" s="1"/>
  <c r="AC20" i="27"/>
  <c r="AQ20" i="27" s="1"/>
  <c r="BK20" i="27" s="1"/>
  <c r="X16" i="27"/>
  <c r="AL16" i="27" s="1"/>
  <c r="Y16" i="27"/>
  <c r="AM16" i="27" s="1"/>
  <c r="AF21" i="27"/>
  <c r="AT21" i="27" s="1"/>
  <c r="BN21" i="27" s="1"/>
  <c r="AD17" i="27"/>
  <c r="AR17" i="27" s="1"/>
  <c r="AF18" i="27"/>
  <c r="AT18" i="27" s="1"/>
  <c r="AX21" i="27"/>
  <c r="AG4" i="27"/>
  <c r="AU4" i="27" s="1"/>
  <c r="V4" i="27"/>
  <c r="AJ4" i="27" s="1"/>
  <c r="AE4" i="27"/>
  <c r="AS4" i="27" s="1"/>
  <c r="U4" i="27"/>
  <c r="AI4" i="27" s="1"/>
  <c r="BC4" i="27" s="1"/>
  <c r="AF4" i="27"/>
  <c r="AT4" i="27" s="1"/>
  <c r="W4" i="27"/>
  <c r="AK4" i="27" s="1"/>
  <c r="AI10" i="27"/>
  <c r="BC10" i="27" s="1"/>
  <c r="AW10" i="27"/>
  <c r="AP19" i="27"/>
  <c r="BJ19" i="27" s="1"/>
  <c r="AZ19" i="27"/>
  <c r="AO4" i="27"/>
  <c r="BI4" i="27" s="1"/>
  <c r="AY4" i="27"/>
  <c r="AR19" i="27"/>
  <c r="BL19" i="27" s="1"/>
  <c r="AI19" i="27"/>
  <c r="BC19" i="27" s="1"/>
  <c r="AH4" i="27"/>
  <c r="BB4" i="27" s="1"/>
  <c r="AV4" i="27"/>
  <c r="AV16" i="27"/>
  <c r="AH16" i="27"/>
  <c r="BB16" i="27" s="1"/>
  <c r="AK10" i="27"/>
  <c r="BE10" i="27" s="1"/>
  <c r="AX10" i="27"/>
  <c r="AX7" i="27"/>
  <c r="AK7" i="27"/>
  <c r="AO10" i="27"/>
  <c r="AY10" i="27"/>
  <c r="AW7" i="27"/>
  <c r="AI7" i="27"/>
  <c r="BC7" i="27" s="1"/>
  <c r="AP10" i="27"/>
  <c r="BJ10" i="27" s="1"/>
  <c r="AZ10" i="27"/>
  <c r="BA13" i="27"/>
  <c r="AR13" i="27"/>
  <c r="BL13" i="27" s="1"/>
  <c r="AR16" i="27"/>
  <c r="AP4" i="27"/>
  <c r="BJ4" i="27" s="1"/>
  <c r="AZ4" i="27"/>
  <c r="AR10" i="27"/>
  <c r="BL10" i="27" s="1"/>
  <c r="BA10" i="27"/>
  <c r="BA7" i="27"/>
  <c r="AR7" i="27"/>
  <c r="AH10" i="27"/>
  <c r="AV10" i="27"/>
  <c r="AZ7" i="27"/>
  <c r="AP7" i="27"/>
  <c r="BJ7" i="27" s="1"/>
  <c r="AW13" i="27"/>
  <c r="AI13" i="27"/>
  <c r="BC13" i="27" s="1"/>
  <c r="AY19" i="27"/>
  <c r="AO19" i="27"/>
  <c r="BI19" i="27" s="1"/>
  <c r="AR4" i="27"/>
  <c r="AX13" i="27"/>
  <c r="AK13" i="27"/>
  <c r="BE13" i="27" s="1"/>
  <c r="AY7" i="27"/>
  <c r="AO7" i="27"/>
  <c r="BI7" i="27" s="1"/>
  <c r="AW16" i="27"/>
  <c r="AI16" i="27"/>
  <c r="BC16" i="27" s="1"/>
  <c r="AV13" i="27"/>
  <c r="AH13" i="27"/>
  <c r="AH7" i="27"/>
  <c r="BB7" i="27" s="1"/>
  <c r="AV7" i="27"/>
  <c r="AZ13" i="27"/>
  <c r="AP13" i="27"/>
  <c r="BJ13" i="27" s="1"/>
  <c r="AY13" i="27"/>
  <c r="AO13" i="27"/>
  <c r="AP6" i="27"/>
  <c r="BJ6" i="27" s="1"/>
  <c r="AZ6" i="27"/>
  <c r="AP12" i="27"/>
  <c r="BJ12" i="27" s="1"/>
  <c r="AZ12" i="27"/>
  <c r="AO9" i="27"/>
  <c r="BI9" i="27" s="1"/>
  <c r="AY9" i="27"/>
  <c r="AR6" i="27"/>
  <c r="BA6" i="27"/>
  <c r="AP18" i="27"/>
  <c r="BJ18" i="27" s="1"/>
  <c r="AO8" i="27"/>
  <c r="BI8" i="27" s="1"/>
  <c r="AY8" i="27"/>
  <c r="AP9" i="27"/>
  <c r="BJ9" i="27" s="1"/>
  <c r="AZ9" i="27"/>
  <c r="AR12" i="27"/>
  <c r="BL12" i="27" s="1"/>
  <c r="BA12" i="27"/>
  <c r="BA8" i="27"/>
  <c r="AR8" i="27"/>
  <c r="AR9" i="27"/>
  <c r="BA9" i="27"/>
  <c r="AO14" i="27"/>
  <c r="AY14" i="27"/>
  <c r="AO15" i="27"/>
  <c r="AY15" i="27"/>
  <c r="BA14" i="27"/>
  <c r="AR14" i="27"/>
  <c r="BL14" i="27" s="1"/>
  <c r="AP15" i="27"/>
  <c r="BJ15" i="27" s="1"/>
  <c r="AZ15" i="27"/>
  <c r="AY11" i="27"/>
  <c r="AO11" i="27"/>
  <c r="AR15" i="27"/>
  <c r="BL15" i="27" s="1"/>
  <c r="BA15" i="27"/>
  <c r="AZ11" i="27"/>
  <c r="AP11" i="27"/>
  <c r="BJ11" i="27" s="1"/>
  <c r="AY5" i="27"/>
  <c r="AO5" i="27"/>
  <c r="BI5" i="27" s="1"/>
  <c r="AZ8" i="27"/>
  <c r="AP8" i="27"/>
  <c r="BJ8" i="27" s="1"/>
  <c r="AZ5" i="27"/>
  <c r="AP5" i="27"/>
  <c r="BJ5" i="27" s="1"/>
  <c r="AZ14" i="27"/>
  <c r="AP14" i="27"/>
  <c r="BJ14" i="27" s="1"/>
  <c r="BA11" i="27"/>
  <c r="AR11" i="27"/>
  <c r="BL11" i="27" s="1"/>
  <c r="AO6" i="27"/>
  <c r="BI6" i="27" s="1"/>
  <c r="AY6" i="27"/>
  <c r="BA5" i="27"/>
  <c r="AR5" i="27"/>
  <c r="AO12" i="27"/>
  <c r="AY12" i="27"/>
  <c r="M140" i="12"/>
  <c r="M142" i="12"/>
  <c r="M141" i="12"/>
  <c r="G130" i="12"/>
  <c r="G132" i="12"/>
  <c r="G134" i="12"/>
  <c r="G107" i="12"/>
  <c r="AX19" i="27" l="1"/>
  <c r="AY18" i="27"/>
  <c r="AY21" i="27"/>
  <c r="AW19" i="27"/>
  <c r="AH19" i="27"/>
  <c r="BB19" i="27" s="1"/>
  <c r="AZ18" i="27"/>
  <c r="AZ21" i="27"/>
  <c r="BA19" i="27"/>
  <c r="AZ17" i="27"/>
  <c r="AY16" i="27"/>
  <c r="BA16" i="27"/>
  <c r="AY20" i="27"/>
  <c r="AZ16" i="27"/>
  <c r="AO17" i="27"/>
  <c r="BI17" i="27" s="1"/>
  <c r="AZ20" i="27"/>
  <c r="BA18" i="27"/>
  <c r="BA21" i="27"/>
  <c r="BA17" i="27"/>
  <c r="AX16" i="27"/>
  <c r="AP20" i="27"/>
  <c r="BJ20" i="27" s="1"/>
  <c r="BA20" i="27"/>
  <c r="AW4" i="27"/>
  <c r="BA4" i="27"/>
  <c r="AX4" i="27"/>
  <c r="F100" i="12" l="1"/>
  <c r="E100" i="12"/>
  <c r="D100" i="12"/>
  <c r="F101" i="12"/>
  <c r="E101" i="12"/>
  <c r="D101" i="12"/>
  <c r="F102" i="12"/>
  <c r="E102" i="12"/>
  <c r="D102" i="12"/>
  <c r="H88" i="12"/>
  <c r="H92" i="12" s="1"/>
  <c r="F40" i="12"/>
  <c r="E40" i="12"/>
  <c r="D40" i="12"/>
  <c r="C40" i="12"/>
  <c r="F39" i="12"/>
  <c r="E39" i="12"/>
  <c r="D39" i="12"/>
  <c r="C39" i="12"/>
  <c r="F36" i="12"/>
  <c r="E36" i="12"/>
  <c r="D36" i="12"/>
  <c r="C36" i="12"/>
  <c r="F35" i="12"/>
  <c r="E35" i="12"/>
  <c r="D35" i="12"/>
  <c r="C35" i="12"/>
  <c r="F32" i="12"/>
  <c r="E32" i="12"/>
  <c r="D32" i="12"/>
  <c r="C32" i="12"/>
  <c r="F31" i="12"/>
  <c r="E31" i="12"/>
  <c r="D31" i="12"/>
  <c r="N23" i="27" l="1"/>
  <c r="M23" i="27"/>
  <c r="T23" i="27" s="1"/>
  <c r="AH23" i="27" s="1"/>
  <c r="BB23" i="27" s="1"/>
  <c r="O23" i="27"/>
  <c r="S23" i="27"/>
  <c r="R23" i="27"/>
  <c r="Q23" i="27"/>
  <c r="P23" i="27"/>
  <c r="S24" i="27"/>
  <c r="P24" i="27"/>
  <c r="Q24" i="27"/>
  <c r="O24" i="27"/>
  <c r="N24" i="27"/>
  <c r="R24" i="27"/>
  <c r="M24" i="27"/>
  <c r="T24" i="27" s="1"/>
  <c r="AA34" i="27"/>
  <c r="G102" i="12"/>
  <c r="G100" i="12"/>
  <c r="I32" i="12"/>
  <c r="H40" i="12"/>
  <c r="E24" i="12" s="1"/>
  <c r="I24" i="12" s="1"/>
  <c r="I35" i="12"/>
  <c r="D22" i="12" s="1"/>
  <c r="H22" i="12" s="1"/>
  <c r="G31" i="12"/>
  <c r="C17" i="12" s="1"/>
  <c r="G17" i="12" s="1"/>
  <c r="G101" i="12"/>
  <c r="I40" i="12"/>
  <c r="I39" i="12"/>
  <c r="E22" i="12" s="1"/>
  <c r="I22" i="12" s="1"/>
  <c r="H31" i="12"/>
  <c r="H39" i="12"/>
  <c r="E21" i="12" s="1"/>
  <c r="I21" i="12" s="1"/>
  <c r="I31" i="12"/>
  <c r="C22" i="12" s="1"/>
  <c r="G22" i="12" s="1"/>
  <c r="G32" i="12"/>
  <c r="C23" i="12" s="1"/>
  <c r="G23" i="12" s="1"/>
  <c r="I36" i="12"/>
  <c r="H32" i="12"/>
  <c r="G36" i="12"/>
  <c r="G40" i="12"/>
  <c r="G39" i="12"/>
  <c r="G35" i="12"/>
  <c r="H36" i="12"/>
  <c r="H35" i="12"/>
  <c r="S27" i="27" l="1"/>
  <c r="P27" i="27"/>
  <c r="O27" i="27"/>
  <c r="R27" i="27"/>
  <c r="M27" i="27"/>
  <c r="T27" i="27" s="1"/>
  <c r="Q27" i="27"/>
  <c r="N27" i="27"/>
  <c r="O22" i="27"/>
  <c r="AC22" i="27" s="1"/>
  <c r="AQ22" i="27" s="1"/>
  <c r="BK22" i="27" s="1"/>
  <c r="N22" i="27"/>
  <c r="AB22" i="27" s="1"/>
  <c r="S22" i="27"/>
  <c r="Z22" i="27" s="1"/>
  <c r="AN22" i="27" s="1"/>
  <c r="BH22" i="27" s="1"/>
  <c r="R22" i="27"/>
  <c r="Y22" i="27" s="1"/>
  <c r="AM22" i="27" s="1"/>
  <c r="BG22" i="27" s="1"/>
  <c r="Q22" i="27"/>
  <c r="AE22" i="27" s="1"/>
  <c r="AS22" i="27" s="1"/>
  <c r="BM22" i="27" s="1"/>
  <c r="P22" i="27"/>
  <c r="AD22" i="27" s="1"/>
  <c r="M22" i="27"/>
  <c r="T22" i="27" s="1"/>
  <c r="M26" i="27"/>
  <c r="T26" i="27" s="1"/>
  <c r="P26" i="27"/>
  <c r="R26" i="27"/>
  <c r="O26" i="27"/>
  <c r="Q26" i="27"/>
  <c r="N26" i="27"/>
  <c r="S26" i="27"/>
  <c r="Q25" i="27"/>
  <c r="P25" i="27"/>
  <c r="M25" i="27"/>
  <c r="T25" i="27" s="1"/>
  <c r="AH25" i="27" s="1"/>
  <c r="BB25" i="27" s="1"/>
  <c r="S25" i="27"/>
  <c r="R25" i="27"/>
  <c r="O25" i="27"/>
  <c r="N25" i="27"/>
  <c r="AB23" i="27"/>
  <c r="U23" i="27"/>
  <c r="AI23" i="27" s="1"/>
  <c r="BC23" i="27" s="1"/>
  <c r="X23" i="27"/>
  <c r="AL23" i="27" s="1"/>
  <c r="BF23" i="27" s="1"/>
  <c r="AE23" i="27"/>
  <c r="AS23" i="27" s="1"/>
  <c r="BM23" i="27" s="1"/>
  <c r="AF23" i="27"/>
  <c r="AT23" i="27" s="1"/>
  <c r="BN23" i="27" s="1"/>
  <c r="Y23" i="27"/>
  <c r="AM23" i="27" s="1"/>
  <c r="BG23" i="27" s="1"/>
  <c r="AG23" i="27"/>
  <c r="AU23" i="27" s="1"/>
  <c r="BO23" i="27" s="1"/>
  <c r="Z23" i="27"/>
  <c r="AN23" i="27" s="1"/>
  <c r="BH23" i="27" s="1"/>
  <c r="W23" i="27"/>
  <c r="AK23" i="27" s="1"/>
  <c r="BE23" i="27" s="1"/>
  <c r="AD23" i="27"/>
  <c r="X24" i="27"/>
  <c r="AL24" i="27" s="1"/>
  <c r="BF24" i="27" s="1"/>
  <c r="AE24" i="27"/>
  <c r="AS24" i="27" s="1"/>
  <c r="BM24" i="27" s="1"/>
  <c r="Y24" i="27"/>
  <c r="AM24" i="27" s="1"/>
  <c r="BG24" i="27" s="1"/>
  <c r="AF24" i="27"/>
  <c r="AT24" i="27" s="1"/>
  <c r="BN24" i="27" s="1"/>
  <c r="AG24" i="27"/>
  <c r="AU24" i="27" s="1"/>
  <c r="BO24" i="27" s="1"/>
  <c r="Z24" i="27"/>
  <c r="AN24" i="27" s="1"/>
  <c r="BH24" i="27" s="1"/>
  <c r="AA24" i="27"/>
  <c r="AH24" i="27"/>
  <c r="BB24" i="27" s="1"/>
  <c r="AB24" i="27"/>
  <c r="U24" i="27"/>
  <c r="AI24" i="27" s="1"/>
  <c r="BC24" i="27" s="1"/>
  <c r="AC24" i="27"/>
  <c r="AQ24" i="27" s="1"/>
  <c r="BK24" i="27" s="1"/>
  <c r="V24" i="27"/>
  <c r="AJ24" i="27" s="1"/>
  <c r="BD24" i="27" s="1"/>
  <c r="W24" i="27"/>
  <c r="AK24" i="27" s="1"/>
  <c r="BE24" i="27" s="1"/>
  <c r="AD24" i="27"/>
  <c r="V23" i="27"/>
  <c r="AJ23" i="27" s="1"/>
  <c r="BD23" i="27" s="1"/>
  <c r="AC23" i="27"/>
  <c r="AQ23" i="27" s="1"/>
  <c r="BK23" i="27" s="1"/>
  <c r="AA23" i="27"/>
  <c r="C20" i="12"/>
  <c r="G20" i="12" s="1"/>
  <c r="E18" i="12"/>
  <c r="I18" i="12" s="1"/>
  <c r="E19" i="12"/>
  <c r="I19" i="12" s="1"/>
  <c r="C25" i="12"/>
  <c r="G25" i="12" s="1"/>
  <c r="D25" i="12"/>
  <c r="H25" i="12" s="1"/>
  <c r="C24" i="12"/>
  <c r="G24" i="12" s="1"/>
  <c r="D23" i="12"/>
  <c r="H23" i="12" s="1"/>
  <c r="E25" i="12"/>
  <c r="I25" i="12" s="1"/>
  <c r="C19" i="12"/>
  <c r="G19" i="12" s="1"/>
  <c r="C21" i="12"/>
  <c r="G21" i="12" s="1"/>
  <c r="C18" i="12"/>
  <c r="G18" i="12" s="1"/>
  <c r="D19" i="12"/>
  <c r="H19" i="12" s="1"/>
  <c r="E17" i="12"/>
  <c r="I17" i="12" s="1"/>
  <c r="E20" i="12"/>
  <c r="I20" i="12" s="1"/>
  <c r="D18" i="12"/>
  <c r="H18" i="12" s="1"/>
  <c r="D21" i="12"/>
  <c r="H21" i="12" s="1"/>
  <c r="E23" i="12"/>
  <c r="I23" i="12" s="1"/>
  <c r="D24" i="12"/>
  <c r="H24" i="12" s="1"/>
  <c r="D20" i="12"/>
  <c r="H20" i="12" s="1"/>
  <c r="D17" i="12"/>
  <c r="H17" i="12" s="1"/>
  <c r="AF22" i="27" l="1"/>
  <c r="AT22" i="27" s="1"/>
  <c r="BN22" i="27" s="1"/>
  <c r="AH22" i="27"/>
  <c r="BB22" i="27" s="1"/>
  <c r="U22" i="27"/>
  <c r="AI22" i="27" s="1"/>
  <c r="BC22" i="27" s="1"/>
  <c r="AG22" i="27"/>
  <c r="AU22" i="27" s="1"/>
  <c r="BO22" i="27" s="1"/>
  <c r="AA22" i="27"/>
  <c r="AY22" i="27" s="1"/>
  <c r="V22" i="27"/>
  <c r="AJ22" i="27" s="1"/>
  <c r="BD22" i="27" s="1"/>
  <c r="X22" i="27"/>
  <c r="W22" i="27"/>
  <c r="AK22" i="27" s="1"/>
  <c r="BE22" i="27" s="1"/>
  <c r="AW24" i="27"/>
  <c r="AR22" i="27"/>
  <c r="BL22" i="27" s="1"/>
  <c r="AV23" i="27"/>
  <c r="AR23" i="27"/>
  <c r="BL23" i="27" s="1"/>
  <c r="BA23" i="27"/>
  <c r="AX23" i="27"/>
  <c r="AV24" i="27"/>
  <c r="AO24" i="27"/>
  <c r="BI24" i="27" s="1"/>
  <c r="AY24" i="27"/>
  <c r="AW23" i="27"/>
  <c r="BA24" i="27"/>
  <c r="AR24" i="27"/>
  <c r="BL24" i="27" s="1"/>
  <c r="AX24" i="27"/>
  <c r="AZ24" i="27"/>
  <c r="AP24" i="27"/>
  <c r="BJ24" i="27" s="1"/>
  <c r="AO23" i="27"/>
  <c r="BI23" i="27" s="1"/>
  <c r="AY23" i="27"/>
  <c r="AP22" i="27"/>
  <c r="BJ22" i="27" s="1"/>
  <c r="AZ22" i="27"/>
  <c r="AZ23" i="27"/>
  <c r="AP23" i="27"/>
  <c r="BJ23" i="27" s="1"/>
  <c r="AA57" i="27"/>
  <c r="AH57" i="27"/>
  <c r="BB57" i="27" s="1"/>
  <c r="AC56" i="27"/>
  <c r="AQ56" i="27" s="1"/>
  <c r="V56" i="27"/>
  <c r="AJ56" i="27" s="1"/>
  <c r="AG55" i="27"/>
  <c r="AU55" i="27" s="1"/>
  <c r="Z55" i="27"/>
  <c r="AN55" i="27" s="1"/>
  <c r="AE56" i="27"/>
  <c r="AS56" i="27" s="1"/>
  <c r="X56" i="27"/>
  <c r="AL56" i="27" s="1"/>
  <c r="W57" i="27"/>
  <c r="AK57" i="27" s="1"/>
  <c r="AD57" i="27"/>
  <c r="AR57" i="27" s="1"/>
  <c r="V55" i="27"/>
  <c r="AJ55" i="27" s="1"/>
  <c r="AC55" i="27"/>
  <c r="AQ55" i="27" s="1"/>
  <c r="U56" i="27"/>
  <c r="AI56" i="27" s="1"/>
  <c r="BC56" i="27" s="1"/>
  <c r="AB56" i="27"/>
  <c r="AP56" i="27" s="1"/>
  <c r="BJ56" i="27" s="1"/>
  <c r="AC57" i="27"/>
  <c r="AQ57" i="27" s="1"/>
  <c r="V57" i="27"/>
  <c r="AJ57" i="27" s="1"/>
  <c r="AD55" i="27"/>
  <c r="AR55" i="27" s="1"/>
  <c r="W55" i="27"/>
  <c r="AK55" i="27" s="1"/>
  <c r="AG56" i="27"/>
  <c r="AU56" i="27" s="1"/>
  <c r="Z56" i="27"/>
  <c r="AN56" i="27" s="1"/>
  <c r="AE55" i="27"/>
  <c r="AS55" i="27" s="1"/>
  <c r="X55" i="27"/>
  <c r="AL55" i="27" s="1"/>
  <c r="Y57" i="27"/>
  <c r="AM57" i="27" s="1"/>
  <c r="AF57" i="27"/>
  <c r="AT57" i="27" s="1"/>
  <c r="AB55" i="27"/>
  <c r="AP55" i="27" s="1"/>
  <c r="BJ55" i="27" s="1"/>
  <c r="U55" i="27"/>
  <c r="AI55" i="27" s="1"/>
  <c r="BC55" i="27" s="1"/>
  <c r="AF56" i="27"/>
  <c r="AT56" i="27" s="1"/>
  <c r="Y56" i="27"/>
  <c r="AM56" i="27" s="1"/>
  <c r="AG57" i="27"/>
  <c r="AU57" i="27" s="1"/>
  <c r="Z57" i="27"/>
  <c r="AN57" i="27" s="1"/>
  <c r="AE57" i="27"/>
  <c r="AS57" i="27" s="1"/>
  <c r="X57" i="27"/>
  <c r="AL57" i="27" s="1"/>
  <c r="AA55" i="27"/>
  <c r="AH55" i="27"/>
  <c r="BB55" i="27" s="1"/>
  <c r="W56" i="27"/>
  <c r="AK56" i="27" s="1"/>
  <c r="AD56" i="27"/>
  <c r="AR56" i="27" s="1"/>
  <c r="U57" i="27"/>
  <c r="AI57" i="27" s="1"/>
  <c r="BC57" i="27" s="1"/>
  <c r="AB57" i="27"/>
  <c r="AP57" i="27" s="1"/>
  <c r="BJ57" i="27" s="1"/>
  <c r="Y55" i="27"/>
  <c r="AM55" i="27" s="1"/>
  <c r="AF55" i="27"/>
  <c r="AT55" i="27" s="1"/>
  <c r="AH56" i="27"/>
  <c r="BB56" i="27" s="1"/>
  <c r="AA56" i="27"/>
  <c r="W32" i="27"/>
  <c r="AK32" i="27" s="1"/>
  <c r="AD32" i="27"/>
  <c r="AR32" i="27" s="1"/>
  <c r="AB32" i="27"/>
  <c r="AP32" i="27" s="1"/>
  <c r="BJ32" i="27" s="1"/>
  <c r="U32" i="27"/>
  <c r="AI32" i="27" s="1"/>
  <c r="BC32" i="27" s="1"/>
  <c r="Z33" i="27"/>
  <c r="AN33" i="27" s="1"/>
  <c r="AG33" i="27"/>
  <c r="AU33" i="27" s="1"/>
  <c r="V25" i="27"/>
  <c r="AJ25" i="27" s="1"/>
  <c r="BD25" i="27" s="1"/>
  <c r="AC25" i="27"/>
  <c r="AQ25" i="27" s="1"/>
  <c r="BK25" i="27" s="1"/>
  <c r="X32" i="27"/>
  <c r="AL32" i="27" s="1"/>
  <c r="AE32" i="27"/>
  <c r="AS32" i="27" s="1"/>
  <c r="Z26" i="27"/>
  <c r="AN26" i="27" s="1"/>
  <c r="BH26" i="27" s="1"/>
  <c r="AG26" i="27"/>
  <c r="AU26" i="27" s="1"/>
  <c r="BO26" i="27" s="1"/>
  <c r="Y27" i="27"/>
  <c r="AM27" i="27" s="1"/>
  <c r="BG27" i="27" s="1"/>
  <c r="AF27" i="27"/>
  <c r="AT27" i="27" s="1"/>
  <c r="BN27" i="27" s="1"/>
  <c r="AB36" i="27"/>
  <c r="AP36" i="27" s="1"/>
  <c r="BJ36" i="27" s="1"/>
  <c r="U36" i="27"/>
  <c r="AI36" i="27" s="1"/>
  <c r="BC36" i="27" s="1"/>
  <c r="Z31" i="27"/>
  <c r="AN31" i="27" s="1"/>
  <c r="AG31" i="27"/>
  <c r="AU31" i="27" s="1"/>
  <c r="AH35" i="27"/>
  <c r="BB35" i="27" s="1"/>
  <c r="AA35" i="27"/>
  <c r="Y34" i="27"/>
  <c r="AM34" i="27" s="1"/>
  <c r="AF34" i="27"/>
  <c r="AT34" i="27" s="1"/>
  <c r="AB27" i="27"/>
  <c r="AP27" i="27" s="1"/>
  <c r="BJ27" i="27" s="1"/>
  <c r="U27" i="27"/>
  <c r="AI27" i="27" s="1"/>
  <c r="BC27" i="27" s="1"/>
  <c r="AE31" i="27"/>
  <c r="AS31" i="27" s="1"/>
  <c r="X31" i="27"/>
  <c r="AL31" i="27" s="1"/>
  <c r="V34" i="27"/>
  <c r="AJ34" i="27" s="1"/>
  <c r="AC34" i="27"/>
  <c r="AQ34" i="27" s="1"/>
  <c r="X25" i="27"/>
  <c r="AL25" i="27" s="1"/>
  <c r="BF25" i="27" s="1"/>
  <c r="AE25" i="27"/>
  <c r="AS25" i="27" s="1"/>
  <c r="BM25" i="27" s="1"/>
  <c r="V32" i="27"/>
  <c r="AJ32" i="27" s="1"/>
  <c r="BD32" i="27" s="1"/>
  <c r="AC32" i="27"/>
  <c r="AQ32" i="27" s="1"/>
  <c r="BK32" i="27" s="1"/>
  <c r="W26" i="27"/>
  <c r="AK26" i="27" s="1"/>
  <c r="BE26" i="27" s="1"/>
  <c r="AD26" i="27"/>
  <c r="AR26" i="27" s="1"/>
  <c r="BL26" i="27" s="1"/>
  <c r="Y36" i="27"/>
  <c r="AM36" i="27" s="1"/>
  <c r="AF36" i="27"/>
  <c r="AT36" i="27" s="1"/>
  <c r="AH31" i="27"/>
  <c r="BB31" i="27" s="1"/>
  <c r="AA31" i="27"/>
  <c r="W33" i="27"/>
  <c r="AK33" i="27" s="1"/>
  <c r="AD33" i="27"/>
  <c r="AR33" i="27" s="1"/>
  <c r="W35" i="27"/>
  <c r="AK35" i="27" s="1"/>
  <c r="AD35" i="27"/>
  <c r="AR35" i="27" s="1"/>
  <c r="AH34" i="27"/>
  <c r="BB34" i="27" s="1"/>
  <c r="Y25" i="27"/>
  <c r="AM25" i="27" s="1"/>
  <c r="BG25" i="27" s="1"/>
  <c r="AF25" i="27"/>
  <c r="AT25" i="27" s="1"/>
  <c r="BN25" i="27" s="1"/>
  <c r="Y32" i="27"/>
  <c r="AM32" i="27" s="1"/>
  <c r="AF32" i="27"/>
  <c r="AT32" i="27" s="1"/>
  <c r="U26" i="27"/>
  <c r="AI26" i="27" s="1"/>
  <c r="BC26" i="27" s="1"/>
  <c r="AB26" i="27"/>
  <c r="AP26" i="27" s="1"/>
  <c r="BJ26" i="27" s="1"/>
  <c r="AA27" i="27"/>
  <c r="AH27" i="27"/>
  <c r="BB27" i="27" s="1"/>
  <c r="V36" i="27"/>
  <c r="AJ36" i="27" s="1"/>
  <c r="AC36" i="27"/>
  <c r="AQ36" i="27" s="1"/>
  <c r="Y31" i="27"/>
  <c r="AM31" i="27" s="1"/>
  <c r="AF31" i="27"/>
  <c r="AT31" i="27" s="1"/>
  <c r="U33" i="27"/>
  <c r="AI33" i="27" s="1"/>
  <c r="BC33" i="27" s="1"/>
  <c r="AB33" i="27"/>
  <c r="AP33" i="27" s="1"/>
  <c r="BJ33" i="27" s="1"/>
  <c r="Z35" i="27"/>
  <c r="AN35" i="27" s="1"/>
  <c r="AG35" i="27"/>
  <c r="AU35" i="27" s="1"/>
  <c r="AB34" i="27"/>
  <c r="AP34" i="27" s="1"/>
  <c r="BJ34" i="27" s="1"/>
  <c r="U34" i="27"/>
  <c r="AI34" i="27" s="1"/>
  <c r="BC34" i="27" s="1"/>
  <c r="Z32" i="27"/>
  <c r="AN32" i="27" s="1"/>
  <c r="AG32" i="27"/>
  <c r="AU32" i="27" s="1"/>
  <c r="Z27" i="27"/>
  <c r="AN27" i="27" s="1"/>
  <c r="BH27" i="27" s="1"/>
  <c r="AG27" i="27"/>
  <c r="AU27" i="27" s="1"/>
  <c r="BO27" i="27" s="1"/>
  <c r="Z36" i="27"/>
  <c r="AN36" i="27" s="1"/>
  <c r="AG36" i="27"/>
  <c r="AU36" i="27" s="1"/>
  <c r="AF33" i="27"/>
  <c r="AT33" i="27" s="1"/>
  <c r="Y33" i="27"/>
  <c r="AM33" i="27" s="1"/>
  <c r="U35" i="27"/>
  <c r="AI35" i="27" s="1"/>
  <c r="BC35" i="27" s="1"/>
  <c r="AB35" i="27"/>
  <c r="AP35" i="27" s="1"/>
  <c r="BJ35" i="27" s="1"/>
  <c r="W31" i="27"/>
  <c r="AK31" i="27" s="1"/>
  <c r="AD31" i="27"/>
  <c r="AR31" i="27" s="1"/>
  <c r="AE33" i="27"/>
  <c r="AS33" i="27" s="1"/>
  <c r="X33" i="27"/>
  <c r="AL33" i="27" s="1"/>
  <c r="X34" i="27"/>
  <c r="AL34" i="27" s="1"/>
  <c r="AE34" i="27"/>
  <c r="AS34" i="27" s="1"/>
  <c r="W36" i="27"/>
  <c r="AK36" i="27" s="1"/>
  <c r="AD36" i="27"/>
  <c r="AR36" i="27" s="1"/>
  <c r="U31" i="27"/>
  <c r="AI31" i="27" s="1"/>
  <c r="BC31" i="27" s="1"/>
  <c r="AB31" i="27"/>
  <c r="AP31" i="27" s="1"/>
  <c r="BJ31" i="27" s="1"/>
  <c r="V33" i="27"/>
  <c r="AJ33" i="27" s="1"/>
  <c r="BD33" i="27" s="1"/>
  <c r="AC33" i="27"/>
  <c r="AQ33" i="27" s="1"/>
  <c r="BK33" i="27" s="1"/>
  <c r="AF35" i="27"/>
  <c r="AT35" i="27" s="1"/>
  <c r="Y35" i="27"/>
  <c r="AM35" i="27" s="1"/>
  <c r="W34" i="27"/>
  <c r="AK34" i="27" s="1"/>
  <c r="AD34" i="27"/>
  <c r="AR34" i="27" s="1"/>
  <c r="Z25" i="27"/>
  <c r="AN25" i="27" s="1"/>
  <c r="BH25" i="27" s="1"/>
  <c r="AG25" i="27"/>
  <c r="AU25" i="27" s="1"/>
  <c r="BO25" i="27" s="1"/>
  <c r="V26" i="27"/>
  <c r="AJ26" i="27" s="1"/>
  <c r="BD26" i="27" s="1"/>
  <c r="AC26" i="27"/>
  <c r="AQ26" i="27" s="1"/>
  <c r="BK26" i="27" s="1"/>
  <c r="V27" i="27"/>
  <c r="AJ27" i="27" s="1"/>
  <c r="BD27" i="27" s="1"/>
  <c r="AC27" i="27"/>
  <c r="AQ27" i="27" s="1"/>
  <c r="BK27" i="27" s="1"/>
  <c r="AB25" i="27"/>
  <c r="AP25" i="27" s="1"/>
  <c r="BJ25" i="27" s="1"/>
  <c r="U25" i="27"/>
  <c r="AI25" i="27" s="1"/>
  <c r="BC25" i="27" s="1"/>
  <c r="Y26" i="27"/>
  <c r="AM26" i="27" s="1"/>
  <c r="BG26" i="27" s="1"/>
  <c r="AF26" i="27"/>
  <c r="AT26" i="27" s="1"/>
  <c r="BN26" i="27" s="1"/>
  <c r="X36" i="27"/>
  <c r="AL36" i="27" s="1"/>
  <c r="AE36" i="27"/>
  <c r="AS36" i="27" s="1"/>
  <c r="AA32" i="27"/>
  <c r="AH32" i="27"/>
  <c r="BB32" i="27" s="1"/>
  <c r="AA25" i="27"/>
  <c r="AE26" i="27"/>
  <c r="AS26" i="27" s="1"/>
  <c r="BM26" i="27" s="1"/>
  <c r="X26" i="27"/>
  <c r="AL26" i="27" s="1"/>
  <c r="BF26" i="27" s="1"/>
  <c r="W27" i="27"/>
  <c r="AK27" i="27" s="1"/>
  <c r="BE27" i="27" s="1"/>
  <c r="AD27" i="27"/>
  <c r="AR27" i="27" s="1"/>
  <c r="BL27" i="27" s="1"/>
  <c r="V35" i="27"/>
  <c r="AJ35" i="27" s="1"/>
  <c r="AC35" i="27"/>
  <c r="AQ35" i="27" s="1"/>
  <c r="W25" i="27"/>
  <c r="AK25" i="27" s="1"/>
  <c r="BE25" i="27" s="1"/>
  <c r="AD25" i="27"/>
  <c r="AR25" i="27" s="1"/>
  <c r="BL25" i="27" s="1"/>
  <c r="AH26" i="27"/>
  <c r="BB26" i="27" s="1"/>
  <c r="AA26" i="27"/>
  <c r="X27" i="27"/>
  <c r="AL27" i="27" s="1"/>
  <c r="BF27" i="27" s="1"/>
  <c r="AE27" i="27"/>
  <c r="AS27" i="27" s="1"/>
  <c r="BM27" i="27" s="1"/>
  <c r="AA36" i="27"/>
  <c r="AH36" i="27"/>
  <c r="BB36" i="27" s="1"/>
  <c r="V31" i="27"/>
  <c r="AJ31" i="27" s="1"/>
  <c r="BD31" i="27" s="1"/>
  <c r="AC31" i="27"/>
  <c r="AQ31" i="27" s="1"/>
  <c r="BK31" i="27" s="1"/>
  <c r="AH33" i="27"/>
  <c r="BB33" i="27" s="1"/>
  <c r="AA33" i="27"/>
  <c r="AE35" i="27"/>
  <c r="AS35" i="27" s="1"/>
  <c r="X35" i="27"/>
  <c r="AL35" i="27" s="1"/>
  <c r="Z34" i="27"/>
  <c r="AN34" i="27" s="1"/>
  <c r="AG34" i="27"/>
  <c r="AU34" i="27" s="1"/>
  <c r="AV22" i="27" l="1"/>
  <c r="AO22" i="27"/>
  <c r="BI22" i="27" s="1"/>
  <c r="BA22" i="27"/>
  <c r="AW22" i="27"/>
  <c r="AL22" i="27"/>
  <c r="BF22" i="27" s="1"/>
  <c r="AX22" i="27"/>
  <c r="AY35" i="27"/>
  <c r="AO35" i="27"/>
  <c r="BI35" i="27" s="1"/>
  <c r="AY32" i="27"/>
  <c r="AO32" i="27"/>
  <c r="BI32" i="27" s="1"/>
  <c r="AY27" i="27"/>
  <c r="AO27" i="27"/>
  <c r="BI27" i="27" s="1"/>
  <c r="AY26" i="27"/>
  <c r="AO26" i="27"/>
  <c r="BI26" i="27" s="1"/>
  <c r="AY56" i="27"/>
  <c r="AO56" i="27"/>
  <c r="BI56" i="27" s="1"/>
  <c r="AY34" i="27"/>
  <c r="AO34" i="27"/>
  <c r="BI34" i="27" s="1"/>
  <c r="AY55" i="27"/>
  <c r="AO55" i="27"/>
  <c r="BI55" i="27" s="1"/>
  <c r="AY36" i="27"/>
  <c r="AO36" i="27"/>
  <c r="BI36" i="27" s="1"/>
  <c r="AY31" i="27"/>
  <c r="AO31" i="27"/>
  <c r="BI31" i="27" s="1"/>
  <c r="AY33" i="27"/>
  <c r="AO33" i="27"/>
  <c r="BI33" i="27" s="1"/>
  <c r="AY57" i="27"/>
  <c r="AO57" i="27"/>
  <c r="BI57" i="27" s="1"/>
  <c r="AY25" i="27"/>
  <c r="AO25" i="27"/>
  <c r="BI25" i="27" s="1"/>
  <c r="AV26" i="27"/>
  <c r="AV25" i="27"/>
  <c r="AV27" i="27"/>
  <c r="AV35" i="27"/>
  <c r="AV36" i="27"/>
  <c r="AV34" i="27"/>
  <c r="AV56" i="27"/>
  <c r="AV32" i="27"/>
  <c r="AV55" i="27"/>
  <c r="AV31" i="27"/>
  <c r="AV57" i="27"/>
  <c r="AV33" i="27"/>
  <c r="AZ56" i="27"/>
  <c r="AW56" i="27"/>
  <c r="AW55" i="27"/>
  <c r="AZ57" i="27"/>
  <c r="BA56" i="27"/>
  <c r="AW57" i="27"/>
  <c r="AX56" i="27"/>
  <c r="AX55" i="27"/>
  <c r="BA57" i="27"/>
  <c r="AZ55" i="27"/>
  <c r="BA55" i="27"/>
  <c r="AX57" i="27"/>
  <c r="AZ25" i="27"/>
  <c r="BA31" i="27"/>
  <c r="AW25" i="27"/>
  <c r="AZ33" i="27"/>
  <c r="BA26" i="27"/>
  <c r="AW27" i="27"/>
  <c r="AW32" i="27"/>
  <c r="AW34" i="27"/>
  <c r="BA27" i="27"/>
  <c r="BA33" i="27"/>
  <c r="AX25" i="27"/>
  <c r="AX34" i="27"/>
  <c r="AW31" i="27"/>
  <c r="AX31" i="27"/>
  <c r="AW33" i="27"/>
  <c r="AX26" i="27"/>
  <c r="AZ27" i="27"/>
  <c r="AZ32" i="27"/>
  <c r="BA36" i="27"/>
  <c r="AZ26" i="27"/>
  <c r="BA35" i="27"/>
  <c r="AW36" i="27"/>
  <c r="AX36" i="27"/>
  <c r="AW26" i="27"/>
  <c r="AX35" i="27"/>
  <c r="AZ36" i="27"/>
  <c r="BA32" i="27"/>
  <c r="AZ31" i="27"/>
  <c r="BA25" i="27"/>
  <c r="AZ34" i="27"/>
  <c r="AX32" i="27"/>
  <c r="BA34" i="27"/>
  <c r="AZ35" i="27"/>
  <c r="AX27" i="27"/>
  <c r="AW35" i="27"/>
  <c r="AX33" i="27"/>
  <c r="P35" i="50" l="1"/>
  <c r="P33" i="50"/>
  <c r="P32" i="50"/>
  <c r="Q33" i="50"/>
  <c r="Q35" i="50"/>
  <c r="Q32" i="50"/>
  <c r="O32" i="50"/>
  <c r="O33" i="50"/>
  <c r="O35" i="50"/>
  <c r="AU4" i="50" l="1"/>
  <c r="J21" i="29" s="1"/>
  <c r="X57" i="29" s="1"/>
  <c r="Y57" i="29" s="1"/>
  <c r="AU3" i="50"/>
  <c r="J20" i="29" s="1"/>
  <c r="X56" i="29" s="1"/>
  <c r="Y56" i="29" s="1"/>
  <c r="AU5" i="50"/>
  <c r="J22" i="29" s="1"/>
  <c r="X58" i="29" s="1"/>
  <c r="Y58" i="29" s="1"/>
</calcChain>
</file>

<file path=xl/sharedStrings.xml><?xml version="1.0" encoding="utf-8"?>
<sst xmlns="http://schemas.openxmlformats.org/spreadsheetml/2006/main" count="16343" uniqueCount="3217">
  <si>
    <t>Consumer Exposure Analysis for Butyl Benzyl Phthalate (BBP)</t>
  </si>
  <si>
    <t>CASRN: 85-68-7</t>
  </si>
  <si>
    <t>December 2025</t>
  </si>
  <si>
    <t>ReadMe</t>
  </si>
  <si>
    <t>Tab Name</t>
  </si>
  <si>
    <t>Description</t>
  </si>
  <si>
    <t>P-Chem</t>
  </si>
  <si>
    <t>Values for physical chemical properties used in consumer modeling</t>
  </si>
  <si>
    <t>COU BBP</t>
  </si>
  <si>
    <t>COU Table from Risk Evaluation and initial comments on references and sources of information</t>
  </si>
  <si>
    <t>Use Report Products Review</t>
  </si>
  <si>
    <t>Crosswalk of products in EPA Use Report to COUs and consumer scenarios.</t>
  </si>
  <si>
    <t>Literature Data</t>
  </si>
  <si>
    <t>Extracted data from literature studies</t>
  </si>
  <si>
    <t>WA PTD Database</t>
  </si>
  <si>
    <t>Data extracted from the WA State database</t>
  </si>
  <si>
    <t>HPCDS Database</t>
  </si>
  <si>
    <t>Data extracted from the HPCDS database</t>
  </si>
  <si>
    <t>BBP Crosswalk</t>
  </si>
  <si>
    <t>Calculation of weight fractions for high, medium, and low level exposure scenarios for products</t>
  </si>
  <si>
    <t>Frequency Inputs</t>
  </si>
  <si>
    <t>Table summarizing frequency of use input used per scenario</t>
  </si>
  <si>
    <t>Article Inputs</t>
  </si>
  <si>
    <t>Calculations and sources for mouthing duration, area of article mouthed, chemical migration rate, material density, surface area of articles</t>
  </si>
  <si>
    <t>Compiled Products</t>
  </si>
  <si>
    <t>Inputs for product consumer scenarios compiled in one tab.</t>
  </si>
  <si>
    <t>Compiled Articles</t>
  </si>
  <si>
    <t>Inputs for article consumer scenarios compiled in one tab.</t>
  </si>
  <si>
    <t>Dermal Calcs</t>
  </si>
  <si>
    <t>Inputs, calculations, and results for dermal route of consumer scenarios (products and articles)</t>
  </si>
  <si>
    <t>Tire Crumb Calc Inputs</t>
  </si>
  <si>
    <t>Inputs used for tire crumb exposures</t>
  </si>
  <si>
    <t>Tire Crumb Dose Calcs</t>
  </si>
  <si>
    <t>Tire crumb dose calculations for inhalation, dermal, and ingestion</t>
  </si>
  <si>
    <t>Physical and Chemical Properties for BBP Used in Consumer Modeling</t>
  </si>
  <si>
    <t>Common Materials</t>
  </si>
  <si>
    <t>Dp (m2/hr)</t>
  </si>
  <si>
    <t>Kma</t>
  </si>
  <si>
    <t>Chemical Migration Partial Calculation</t>
  </si>
  <si>
    <t xml:space="preserve"> CAS 85-68-7</t>
  </si>
  <si>
    <t>Carpet</t>
  </si>
  <si>
    <t>Property or Endpoint</t>
  </si>
  <si>
    <t>Mean</t>
  </si>
  <si>
    <t>Selected Value</t>
  </si>
  <si>
    <t>Unit</t>
  </si>
  <si>
    <t>Vinyl Flooring</t>
  </si>
  <si>
    <t>Molecular weight</t>
  </si>
  <si>
    <t>g/mol</t>
  </si>
  <si>
    <t>PVC</t>
  </si>
  <si>
    <t>Vapor pressure</t>
  </si>
  <si>
    <t>mm Hg</t>
  </si>
  <si>
    <t>Rigid Plastics</t>
  </si>
  <si>
    <t>Water solubility</t>
  </si>
  <si>
    <t>mg/L</t>
  </si>
  <si>
    <t>Flexible Plastics</t>
  </si>
  <si>
    <t>Octanol/water partition coefficient (log Kow)</t>
  </si>
  <si>
    <t>-</t>
  </si>
  <si>
    <t>Rubbers</t>
  </si>
  <si>
    <t>Henry’s Law constant</t>
  </si>
  <si>
    <t>atm·m3/mol</t>
  </si>
  <si>
    <t>Low Density Foam (Packaging)</t>
  </si>
  <si>
    <r>
      <t>Octanol/air partition coefficient (log K</t>
    </r>
    <r>
      <rPr>
        <vertAlign val="subscript"/>
        <sz val="11"/>
        <color rgb="FF111111"/>
        <rFont val="Calibri"/>
        <family val="2"/>
        <scheme val="minor"/>
      </rPr>
      <t>OA</t>
    </r>
    <r>
      <rPr>
        <sz val="11"/>
        <color rgb="FF111111"/>
        <rFont val="Calibri"/>
        <family val="2"/>
        <scheme val="minor"/>
      </rPr>
      <t>)</t>
    </r>
  </si>
  <si>
    <t>High Density Foam (mattresses, insulation)</t>
  </si>
  <si>
    <t>Wood</t>
  </si>
  <si>
    <t>Source of Pchem Information:</t>
  </si>
  <si>
    <t>pChem module</t>
  </si>
  <si>
    <t>Pressed Wood</t>
  </si>
  <si>
    <t>Paper</t>
  </si>
  <si>
    <t>Gypsum Board</t>
  </si>
  <si>
    <t>CEM Estimated Value (Material Agnostic)</t>
  </si>
  <si>
    <t>N/A</t>
  </si>
  <si>
    <t>Calculation of Internal Diffusion Coefficient based on Huang et al. (2017)</t>
  </si>
  <si>
    <t>Calculations for Solid-Air Partitioning Coefficient</t>
  </si>
  <si>
    <t>Calculations for chemical Migration Rate to Saliva based on Aurisano et al. (2022)</t>
  </si>
  <si>
    <t>https://doi.org/10.1111/ina.12395</t>
  </si>
  <si>
    <t>DOI: 10.1111/ina.12510</t>
  </si>
  <si>
    <t>doi: 10.1038/s41370-021-00354-0</t>
  </si>
  <si>
    <t>QPPR Equation</t>
  </si>
  <si>
    <t xml:space="preserve">QPPR Equation </t>
  </si>
  <si>
    <r>
      <t>Where </t>
    </r>
    <r>
      <rPr>
        <i/>
        <sz val="10"/>
        <color rgb="FF212121"/>
        <rFont val="Cambria"/>
        <family val="1"/>
      </rPr>
      <t>R</t>
    </r>
    <r>
      <rPr>
        <sz val="8"/>
        <color rgb="FF212121"/>
        <rFont val="Cambria"/>
        <family val="1"/>
      </rPr>
      <t>mgr</t>
    </r>
    <r>
      <rPr>
        <sz val="10"/>
        <color rgb="FF212121"/>
        <rFont val="Cambria"/>
        <family val="1"/>
      </rPr>
      <t> is the migration rate (µg/10cm</t>
    </r>
    <r>
      <rPr>
        <sz val="8"/>
        <color rgb="FF212121"/>
        <rFont val="Cambria"/>
        <family val="1"/>
      </rPr>
      <t>2</t>
    </r>
    <r>
      <rPr>
        <sz val="10"/>
        <color rgb="FF212121"/>
        <rFont val="Cambria"/>
        <family val="1"/>
      </rPr>
      <t>/min), Dp is the solid phase diffusion Coefficient  (cm2/s), C0 is the initial concentration of chemical (ug/g), and KOW is the octanol water partitioning coefficient</t>
    </r>
  </si>
  <si>
    <t>where D is the diffusion coefficient (m2/s), MW is molecular weight (g/mol), T is absolute temperature (K), b and τ (K) are the material-specific coefficients below</t>
  </si>
  <si>
    <r>
      <t>log</t>
    </r>
    <r>
      <rPr>
        <sz val="8"/>
        <color theme="1"/>
        <rFont val="Calibri"/>
        <family val="2"/>
        <scheme val="minor"/>
      </rPr>
      <t>10</t>
    </r>
    <r>
      <rPr>
        <sz val="11"/>
        <color theme="1"/>
        <rFont val="Calibri"/>
        <family val="2"/>
        <scheme val="minor"/>
      </rPr>
      <t>MW</t>
    </r>
  </si>
  <si>
    <t>where Kma is the dimensionless solid material-air partition coefficient, Koa is the chemical's dimensionless octanol-air partition coefficient at 25°C, ΔHma is the enthalpy of the partitioning between material and air (J/mol) which is given by Equation (5), T is absolute temperature (K), and b is the material-specific coefficient below</t>
  </si>
  <si>
    <t>Full list of Materials</t>
  </si>
  <si>
    <t>T</t>
  </si>
  <si>
    <t>Material</t>
  </si>
  <si>
    <t>b</t>
  </si>
  <si>
    <t>τ</t>
  </si>
  <si>
    <r>
      <t>D1 (m</t>
    </r>
    <r>
      <rPr>
        <vertAlign val="superscript"/>
        <sz val="11"/>
        <color theme="1"/>
        <rFont val="Calibri"/>
        <family val="2"/>
        <scheme val="minor"/>
      </rPr>
      <t>2</t>
    </r>
    <r>
      <rPr>
        <sz val="11"/>
        <color theme="1"/>
        <rFont val="Calibri"/>
        <family val="2"/>
        <scheme val="minor"/>
      </rPr>
      <t>/s)</t>
    </r>
  </si>
  <si>
    <r>
      <t>D2 (m</t>
    </r>
    <r>
      <rPr>
        <vertAlign val="superscript"/>
        <sz val="11"/>
        <color theme="1"/>
        <rFont val="Calibri"/>
        <family val="2"/>
        <scheme val="minor"/>
      </rPr>
      <t>2</t>
    </r>
    <r>
      <rPr>
        <sz val="11"/>
        <color theme="1"/>
        <rFont val="Calibri"/>
        <family val="2"/>
        <scheme val="minor"/>
      </rPr>
      <t>/s)</t>
    </r>
  </si>
  <si>
    <t>(5)</t>
  </si>
  <si>
    <r>
      <t>Log Dp(cm</t>
    </r>
    <r>
      <rPr>
        <b/>
        <vertAlign val="superscript"/>
        <sz val="11"/>
        <color theme="1"/>
        <rFont val="Calibri"/>
        <family val="2"/>
        <scheme val="minor"/>
      </rPr>
      <t>2</t>
    </r>
    <r>
      <rPr>
        <b/>
        <sz val="11"/>
        <color theme="1"/>
        <rFont val="Calibri"/>
        <family val="2"/>
        <scheme val="minor"/>
      </rPr>
      <t>/s)</t>
    </r>
  </si>
  <si>
    <t>Term 1</t>
  </si>
  <si>
    <t>Term 2</t>
  </si>
  <si>
    <t>Term 4</t>
  </si>
  <si>
    <t>Calcium silicate</t>
  </si>
  <si>
    <t>Where  ΔHv is the chemicals enthalpy of vaporization obtained from chem spider</t>
  </si>
  <si>
    <t>Cement</t>
  </si>
  <si>
    <t>https://www.chemspider.com/</t>
  </si>
  <si>
    <t>Ethylene-propylene rubbers</t>
  </si>
  <si>
    <t>ΔHv</t>
  </si>
  <si>
    <t>Δhma/2.303*R</t>
  </si>
  <si>
    <t>Flexible PVC</t>
  </si>
  <si>
    <t>General polystyrene (PS)</t>
  </si>
  <si>
    <t>Glass, Stainless steel</t>
  </si>
  <si>
    <t>Gypsum and cellulose ceiling tile</t>
  </si>
  <si>
    <t>Gypsum board</t>
  </si>
  <si>
    <t>High density polyethylene (HDPE)</t>
  </si>
  <si>
    <t>Cellulose fabric (cotton, linen)</t>
  </si>
  <si>
    <t>High-impact polystyrene (HIPS)</t>
  </si>
  <si>
    <t>Cement, Calcium silicate</t>
  </si>
  <si>
    <t>Methyl methacrylate (MMA) copolymer-medium or low density</t>
  </si>
  <si>
    <t>Concrete</t>
  </si>
  <si>
    <t>Methyl methacrylate (MMA) homopolymer</t>
  </si>
  <si>
    <t>Ethylene Vinyl Acetate (EVA)</t>
  </si>
  <si>
    <t>Natural rubber (NR)</t>
  </si>
  <si>
    <t>Glass</t>
  </si>
  <si>
    <t>Other wooden boards</t>
  </si>
  <si>
    <t>Latex and solvent-based paint</t>
  </si>
  <si>
    <t>Plywood</t>
  </si>
  <si>
    <t>Polyamide (PA)</t>
  </si>
  <si>
    <t>Poly acrylnitrile butadiene styrene (ABS), Ethylene vinyl alcohol (EVOH)</t>
  </si>
  <si>
    <t>Polyester fabric</t>
  </si>
  <si>
    <t>Polychloroprene (CR)</t>
  </si>
  <si>
    <t>Polyether ether ketone (PEEK)</t>
  </si>
  <si>
    <t>Polyethylene (PE, LDPE, LLDPE)</t>
  </si>
  <si>
    <t>Polyethylene (PE)</t>
  </si>
  <si>
    <t>Polyethylene naphthalate (PEN)</t>
  </si>
  <si>
    <t>Polypropylene (PP)</t>
  </si>
  <si>
    <t>Polyethylene terephthalate (PET)</t>
  </si>
  <si>
    <t>Polytetrafluoroethylene (PTFE)</t>
  </si>
  <si>
    <t>Polystyrene foam (XPS, EPS)</t>
  </si>
  <si>
    <t>PU-ester</t>
  </si>
  <si>
    <t>Polyurethane-based materials</t>
  </si>
  <si>
    <t>PU-ether</t>
  </si>
  <si>
    <t>PP copolymer</t>
  </si>
  <si>
    <t>PUF-undefined</t>
  </si>
  <si>
    <t>PP homopolymer</t>
  </si>
  <si>
    <t>Rayon fabric</t>
  </si>
  <si>
    <t>Rigid polymers</t>
  </si>
  <si>
    <t>Stainless steel</t>
  </si>
  <si>
    <t>Synthetic rubber</t>
  </si>
  <si>
    <t>Vinyl flooring</t>
  </si>
  <si>
    <t>Vinyl acetate-based polymers</t>
  </si>
  <si>
    <t>Wooden boards</t>
  </si>
  <si>
    <t>PCHEM Module Table copied from working draft 9/23/2024</t>
  </si>
  <si>
    <r>
      <t>Property or Endpoint</t>
    </r>
    <r>
      <rPr>
        <sz val="11"/>
        <color rgb="FF111111"/>
        <rFont val="Times New Roman"/>
        <family val="1"/>
      </rPr>
      <t> </t>
    </r>
  </si>
  <si>
    <r>
      <t>High Quality Studies</t>
    </r>
    <r>
      <rPr>
        <sz val="11"/>
        <rFont val="Times New Roman"/>
        <family val="1"/>
      </rPr>
      <t> </t>
    </r>
  </si>
  <si>
    <r>
      <t>Unit</t>
    </r>
    <r>
      <rPr>
        <sz val="11"/>
        <color rgb="FF111111"/>
        <rFont val="Times New Roman"/>
        <family val="1"/>
      </rPr>
      <t> </t>
    </r>
  </si>
  <si>
    <r>
      <t>Mean</t>
    </r>
    <r>
      <rPr>
        <sz val="11"/>
        <color rgb="FF111111"/>
        <rFont val="Times New Roman"/>
        <family val="1"/>
      </rPr>
      <t> </t>
    </r>
  </si>
  <si>
    <r>
      <t>St. Dev.</t>
    </r>
    <r>
      <rPr>
        <sz val="11"/>
        <color rgb="FF111111"/>
        <rFont val="Times New Roman"/>
        <family val="1"/>
      </rPr>
      <t> </t>
    </r>
  </si>
  <si>
    <r>
      <t>Min</t>
    </r>
    <r>
      <rPr>
        <sz val="11"/>
        <color rgb="FF111111"/>
        <rFont val="Times New Roman"/>
        <family val="1"/>
      </rPr>
      <t> </t>
    </r>
  </si>
  <si>
    <r>
      <t>Max</t>
    </r>
    <r>
      <rPr>
        <sz val="11"/>
        <color rgb="FF111111"/>
        <rFont val="Times New Roman"/>
        <family val="1"/>
      </rPr>
      <t> </t>
    </r>
  </si>
  <si>
    <r>
      <t>Selected Value</t>
    </r>
    <r>
      <rPr>
        <sz val="11"/>
        <color rgb="FF111111"/>
        <rFont val="Times New Roman"/>
        <family val="1"/>
      </rPr>
      <t> </t>
    </r>
  </si>
  <si>
    <r>
      <t>HERO ID</t>
    </r>
    <r>
      <rPr>
        <sz val="11"/>
        <color rgb="FF111111"/>
        <rFont val="Times New Roman"/>
        <family val="1"/>
      </rPr>
      <t> </t>
    </r>
  </si>
  <si>
    <r>
      <t>EPA QC</t>
    </r>
    <r>
      <rPr>
        <sz val="11"/>
        <color rgb="FF111111"/>
        <rFont val="Times New Roman"/>
        <family val="1"/>
      </rPr>
      <t> </t>
    </r>
  </si>
  <si>
    <t>Molecular formula </t>
  </si>
  <si>
    <t>- </t>
  </si>
  <si>
    <t>NA </t>
  </si>
  <si>
    <r>
      <t>C</t>
    </r>
    <r>
      <rPr>
        <vertAlign val="subscript"/>
        <sz val="8.5"/>
        <color rgb="FF111111"/>
        <rFont val="Times New Roman"/>
        <family val="1"/>
      </rPr>
      <t>19</t>
    </r>
    <r>
      <rPr>
        <sz val="11"/>
        <color rgb="FF111111"/>
        <rFont val="Times New Roman"/>
        <family val="1"/>
      </rPr>
      <t>H</t>
    </r>
    <r>
      <rPr>
        <vertAlign val="subscript"/>
        <sz val="8.5"/>
        <color rgb="FF111111"/>
        <rFont val="Times New Roman"/>
        <family val="1"/>
      </rPr>
      <t>20</t>
    </r>
    <r>
      <rPr>
        <sz val="11"/>
        <color rgb="FF111111"/>
        <rFont val="Times New Roman"/>
        <family val="1"/>
      </rPr>
      <t>O</t>
    </r>
    <r>
      <rPr>
        <vertAlign val="subscript"/>
        <sz val="8.5"/>
        <color rgb="FF111111"/>
        <rFont val="Times New Roman"/>
        <family val="1"/>
      </rPr>
      <t>4</t>
    </r>
    <r>
      <rPr>
        <sz val="8.5"/>
        <color rgb="FF111111"/>
        <rFont val="Times New Roman"/>
        <family val="1"/>
      </rPr>
      <t> </t>
    </r>
  </si>
  <si>
    <t>Molecular weight </t>
  </si>
  <si>
    <t>g/mol </t>
  </si>
  <si>
    <t>312.37 </t>
  </si>
  <si>
    <t>Physical state </t>
  </si>
  <si>
    <t>8 studies, 8 data points (3981013, 1333728, 2121719, 7325405, 5348378, 666726, 675227, 5348395) </t>
  </si>
  <si>
    <t>Liquid </t>
  </si>
  <si>
    <t>5926116 </t>
  </si>
  <si>
    <t>Physical properties </t>
  </si>
  <si>
    <t>4 studies, 4 data points (5926116, 1333728, 666726, 675227) </t>
  </si>
  <si>
    <t>Clear oil, liquid; slight odor </t>
  </si>
  <si>
    <t>Melting point </t>
  </si>
  <si>
    <t>5 studies, 5 data points (3981013, 7325405, 5926420, 666726, 5926116) </t>
  </si>
  <si>
    <t>°C </t>
  </si>
  <si>
    <t>-35 </t>
  </si>
  <si>
    <t>0 </t>
  </si>
  <si>
    <t>Boiling point </t>
  </si>
  <si>
    <t>7 studies, 7 data points (3981013, 5926420, 5348395, 66726, 5926116, 679796, 5926148) </t>
  </si>
  <si>
    <t>352.86 </t>
  </si>
  <si>
    <t>45.36 </t>
  </si>
  <si>
    <t>250 </t>
  </si>
  <si>
    <t>370 </t>
  </si>
  <si>
    <t>5348395 </t>
  </si>
  <si>
    <t>Density </t>
  </si>
  <si>
    <t>7 studies, 7 data points (3981013, 7325405, 666726, 679796, 5926420, 5348395, 5926116) </t>
  </si>
  <si>
    <t>g/cm3 </t>
  </si>
  <si>
    <t>1.114 </t>
  </si>
  <si>
    <t>0.007 </t>
  </si>
  <si>
    <t>1.100 </t>
  </si>
  <si>
    <t>1.119 </t>
  </si>
  <si>
    <t>Vapor pressure </t>
  </si>
  <si>
    <t>10 studies, 11 data points (3981013, 1333728, 7325405, 5926420, 5433544, 679985, 666726, 807140, 5926116, 5926148) </t>
  </si>
  <si>
    <t>mm Hg </t>
  </si>
  <si>
    <r>
      <t>1.4×10</t>
    </r>
    <r>
      <rPr>
        <vertAlign val="superscript"/>
        <sz val="8.5"/>
        <color rgb="FF111111"/>
        <rFont val="Times New Roman"/>
        <family val="1"/>
      </rPr>
      <t>-2</t>
    </r>
    <r>
      <rPr>
        <sz val="8.5"/>
        <color rgb="FF111111"/>
        <rFont val="Times New Roman"/>
        <family val="1"/>
      </rPr>
      <t> </t>
    </r>
  </si>
  <si>
    <t>0.05 </t>
  </si>
  <si>
    <r>
      <t>1.50×10</t>
    </r>
    <r>
      <rPr>
        <vertAlign val="superscript"/>
        <sz val="8.5"/>
        <color rgb="FF111111"/>
        <rFont val="Times New Roman"/>
        <family val="1"/>
      </rPr>
      <t>-6</t>
    </r>
    <r>
      <rPr>
        <sz val="8.5"/>
        <color rgb="FF111111"/>
        <rFont val="Times New Roman"/>
        <family val="1"/>
      </rPr>
      <t> </t>
    </r>
  </si>
  <si>
    <r>
      <t>1.8×10</t>
    </r>
    <r>
      <rPr>
        <vertAlign val="superscript"/>
        <sz val="8.5"/>
        <color rgb="FF111111"/>
        <rFont val="Times New Roman"/>
        <family val="1"/>
      </rPr>
      <t>-1</t>
    </r>
    <r>
      <rPr>
        <sz val="8.5"/>
        <color rgb="FF111111"/>
        <rFont val="Times New Roman"/>
        <family val="1"/>
      </rPr>
      <t> </t>
    </r>
  </si>
  <si>
    <r>
      <t>8.25×10</t>
    </r>
    <r>
      <rPr>
        <vertAlign val="superscript"/>
        <sz val="8.5"/>
        <color rgb="FF111111"/>
        <rFont val="Times New Roman"/>
        <family val="1"/>
      </rPr>
      <t>-6</t>
    </r>
    <r>
      <rPr>
        <sz val="8.5"/>
        <color rgb="FF111111"/>
        <rFont val="Times New Roman"/>
        <family val="1"/>
      </rPr>
      <t> </t>
    </r>
  </si>
  <si>
    <t>679985 </t>
  </si>
  <si>
    <t>Vapor density </t>
  </si>
  <si>
    <t>2 studies, 2 data points (666726, 5926116) </t>
  </si>
  <si>
    <t>10.8 </t>
  </si>
  <si>
    <t>Water solubility </t>
  </si>
  <si>
    <t>12 studies, 14 data points (1359224, 1316095, 1333728, 7325405, 5926429, 5353181, 7401366, 679985, 654554, 5926116, 1316216, 5926148) </t>
  </si>
  <si>
    <t>mg/L </t>
  </si>
  <si>
    <t>2.33 </t>
  </si>
  <si>
    <t>0.73 </t>
  </si>
  <si>
    <t>0.67 </t>
  </si>
  <si>
    <t>2.8 </t>
  </si>
  <si>
    <t>2.69 </t>
  </si>
  <si>
    <t>Octanol/water partition coefficient (log Kow) </t>
  </si>
  <si>
    <t>10 study, 11 data point (1333728, 7325405, 5926420, 5353181, 679985, 666726, 5433285, 654554, 5926116, 5926148) </t>
  </si>
  <si>
    <t>4.70 </t>
  </si>
  <si>
    <t>0.39 </t>
  </si>
  <si>
    <t>3.57 </t>
  </si>
  <si>
    <t>4.91 </t>
  </si>
  <si>
    <t>4.73 </t>
  </si>
  <si>
    <t>Henry’s Law constant </t>
  </si>
  <si>
    <t>3 studies, 3 data points (4159647, 1333728, 5926420) </t>
  </si>
  <si>
    <r>
      <t>atm·m</t>
    </r>
    <r>
      <rPr>
        <vertAlign val="superscript"/>
        <sz val="8.5"/>
        <color rgb="FF111111"/>
        <rFont val="Times New Roman"/>
        <family val="1"/>
      </rPr>
      <t>3</t>
    </r>
    <r>
      <rPr>
        <sz val="11"/>
        <color rgb="FF111111"/>
        <rFont val="Times New Roman"/>
        <family val="1"/>
      </rPr>
      <t>/mol </t>
    </r>
  </si>
  <si>
    <r>
      <t>1.36</t>
    </r>
    <r>
      <rPr>
        <sz val="11"/>
        <color rgb="FF111111"/>
        <rFont val="Times New Roman"/>
        <family val="1"/>
      </rPr>
      <t>×10</t>
    </r>
    <r>
      <rPr>
        <vertAlign val="superscript"/>
        <sz val="8.5"/>
        <color rgb="FF111111"/>
        <rFont val="Times New Roman"/>
        <family val="1"/>
      </rPr>
      <t>-6</t>
    </r>
    <r>
      <rPr>
        <sz val="8.5"/>
        <color rgb="FF111111"/>
        <rFont val="Times New Roman"/>
        <family val="1"/>
      </rPr>
      <t> </t>
    </r>
  </si>
  <si>
    <r>
      <t>6.31</t>
    </r>
    <r>
      <rPr>
        <sz val="11"/>
        <color rgb="FF111111"/>
        <rFont val="Times New Roman"/>
        <family val="1"/>
      </rPr>
      <t>×10</t>
    </r>
    <r>
      <rPr>
        <vertAlign val="superscript"/>
        <sz val="8.5"/>
        <color rgb="FF111111"/>
        <rFont val="Times New Roman"/>
        <family val="1"/>
      </rPr>
      <t>-7</t>
    </r>
    <r>
      <rPr>
        <sz val="8.5"/>
        <color rgb="FF111111"/>
        <rFont val="Times New Roman"/>
        <family val="1"/>
      </rPr>
      <t> </t>
    </r>
  </si>
  <si>
    <r>
      <t>7.61</t>
    </r>
    <r>
      <rPr>
        <sz val="11"/>
        <color rgb="FF111111"/>
        <rFont val="Times New Roman"/>
        <family val="1"/>
      </rPr>
      <t>×10</t>
    </r>
    <r>
      <rPr>
        <vertAlign val="superscript"/>
        <sz val="8.5"/>
        <color rgb="FF111111"/>
        <rFont val="Times New Roman"/>
        <family val="1"/>
      </rPr>
      <t>-7</t>
    </r>
    <r>
      <rPr>
        <sz val="8.5"/>
        <color rgb="FF111111"/>
        <rFont val="Times New Roman"/>
        <family val="1"/>
      </rPr>
      <t> </t>
    </r>
  </si>
  <si>
    <r>
      <t>2.02</t>
    </r>
    <r>
      <rPr>
        <sz val="11"/>
        <color rgb="FF111111"/>
        <rFont val="Times New Roman"/>
        <family val="1"/>
      </rPr>
      <t>×10</t>
    </r>
    <r>
      <rPr>
        <vertAlign val="superscript"/>
        <sz val="8.5"/>
        <color rgb="FF111111"/>
        <rFont val="Times New Roman"/>
        <family val="1"/>
      </rPr>
      <t>-6</t>
    </r>
    <r>
      <rPr>
        <sz val="8.5"/>
        <color rgb="FF111111"/>
        <rFont val="Times New Roman"/>
        <family val="1"/>
      </rPr>
      <t> </t>
    </r>
  </si>
  <si>
    <r>
      <t>7.61×10</t>
    </r>
    <r>
      <rPr>
        <vertAlign val="superscript"/>
        <sz val="8.5"/>
        <color rgb="FF111111"/>
        <rFont val="Times New Roman"/>
        <family val="1"/>
      </rPr>
      <t>-7</t>
    </r>
    <r>
      <rPr>
        <sz val="8.5"/>
        <color rgb="FF111111"/>
        <rFont val="Times New Roman"/>
        <family val="1"/>
      </rPr>
      <t> </t>
    </r>
  </si>
  <si>
    <t>5926420 </t>
  </si>
  <si>
    <r>
      <t>Octanol/air partition coefficient (log K</t>
    </r>
    <r>
      <rPr>
        <vertAlign val="subscript"/>
        <sz val="8.5"/>
        <color rgb="FF111111"/>
        <rFont val="Times New Roman"/>
        <family val="1"/>
      </rPr>
      <t>OA</t>
    </r>
    <r>
      <rPr>
        <sz val="11"/>
        <color rgb="FF111111"/>
        <rFont val="Times New Roman"/>
        <family val="1"/>
      </rPr>
      <t>) </t>
    </r>
  </si>
  <si>
    <r>
      <t>EPI Suite estimate: 9.2</t>
    </r>
    <r>
      <rPr>
        <vertAlign val="superscript"/>
        <sz val="8.5"/>
        <color rgb="FF111111"/>
        <rFont val="Times New Roman"/>
        <family val="1"/>
      </rPr>
      <t>a</t>
    </r>
    <r>
      <rPr>
        <sz val="8.5"/>
        <color rgb="FF111111"/>
        <rFont val="Times New Roman"/>
        <family val="1"/>
      </rPr>
      <t> </t>
    </r>
  </si>
  <si>
    <t>9.2 (EPI Suite) </t>
  </si>
  <si>
    <t>11181058 </t>
  </si>
  <si>
    <t>Flash point </t>
  </si>
  <si>
    <t>1 study, 1 data point (5926116) </t>
  </si>
  <si>
    <t>199 </t>
  </si>
  <si>
    <t>Auto flammability </t>
  </si>
  <si>
    <t>No Data </t>
  </si>
  <si>
    <t>Viscosity </t>
  </si>
  <si>
    <t>1 study, 1 data point (5926420) </t>
  </si>
  <si>
    <t>cP </t>
  </si>
  <si>
    <t>55 </t>
  </si>
  <si>
    <t>Dissociation constant </t>
  </si>
  <si>
    <r>
      <t>No Data</t>
    </r>
    <r>
      <rPr>
        <vertAlign val="superscript"/>
        <sz val="8.5"/>
        <rFont val="Times New Roman"/>
        <family val="1"/>
      </rPr>
      <t>b</t>
    </r>
    <r>
      <rPr>
        <sz val="8.5"/>
        <rFont val="Times New Roman"/>
        <family val="1"/>
      </rPr>
      <t> </t>
    </r>
  </si>
  <si>
    <r>
      <t xml:space="preserve">Category </t>
    </r>
    <r>
      <rPr>
        <b/>
        <vertAlign val="superscript"/>
        <sz val="12"/>
        <rFont val="Times New Roman"/>
        <family val="1"/>
      </rPr>
      <t>b</t>
    </r>
  </si>
  <si>
    <r>
      <t xml:space="preserve">Subcategory </t>
    </r>
    <r>
      <rPr>
        <b/>
        <vertAlign val="superscript"/>
        <sz val="12"/>
        <color rgb="FF111111"/>
        <rFont val="Times New Roman"/>
        <family val="1"/>
      </rPr>
      <t>c</t>
    </r>
  </si>
  <si>
    <t xml:space="preserve">References </t>
  </si>
  <si>
    <t xml:space="preserve">Construction, Paint, Electrical, and Metal Products </t>
  </si>
  <si>
    <t>Adhesives and Sealants, Including Fillers and Putties</t>
  </si>
  <si>
    <t>This COU is referring to the consumer use of BBP already been incorporated in adhesives and sealants. The use of these types of products would occur in commercial applications; however, EPA notes that this product are able to be sourced by DIY consumers through various online vendors.</t>
  </si>
  <si>
    <t xml:space="preserve">BBP-containing sealants can be used to protect concrete in commercial and consumer settings {Satin Clear Seal HERO ID}. It can be applied using a roller or pump sprayer. BBP-containing adhesives and sealants are also used to in the repair of roofs, blacktop, concrete, automotives, sporting equipment, mortar, and stucco {Home Depot, 2019, 6302488; other HERO IDs}. The products can be applied using a caulking gun, trowel, or another mechanism to spread it on the surface.  </t>
  </si>
  <si>
    <t>Paints and Coatings</t>
  </si>
  <si>
    <t>This COU is referring to the consumer use of DINP in paints and coatings. This COU includes the consumer DIY and bystander exposure to the paint and coating products during the application of paints and coatings.</t>
  </si>
  <si>
    <t xml:space="preserve">Lanxess Corporation (2015) Manufacturer "product safety assessment" "Diisobutyl phthalate is sold by LANXESS for use in the manufacture of foundry resins for metal casting and for use as a solvent or plasticizer in the production of plastic and rubber products. The chemical compound is also used as an additive in concrete products, adhesives, paints, printing inks, fuel stabilizers and many other consumer and industrial products"  BBP is also found in touch up paints used for retouching cars that customers have already purchased {Ford Motor Company, 2019, 6302466}. BBP is also present in coatings to repair plumbing fixtures {Multi-Tech Products Corp, 2015, 6302514}. It is a spray on application. BBP is also present in spray-on enamels used on a variety of surfaces (NEED HERO IDs). </t>
  </si>
  <si>
    <t xml:space="preserve">Furnishing, Cleaning, Treatment/Care Products </t>
  </si>
  <si>
    <t>Fabrics, Textiles, and Leather Products</t>
  </si>
  <si>
    <t>This COU is referring to the consumer use of BBP already incorporated in fabric, textile, and leather products. The consumer users of products under this category would be expected to purchase and wear various apparel. The National Library of Medicine 2019 database identified BBP as a plasticizer in PVC for vinyl leather and cloth coating {NLM, 2015, 5926116}.</t>
  </si>
  <si>
    <t>BBP has been identified in children’s clothing items and accessories {WSDE, 2023, 10731919; HPCDS, 2020, 6984558}. Exposure could also occur through the consumer use of synthetic leather furniture {DTI, 2010, 10622421} and automotive synthetic leather interiors. Dow - ICOPOR I-105 (P) Black Pigment Paste Product Safety Assessment: “ICOPOR pigment paste is a dispersion of carbon-black pigment in diisobutyl phthalate. ICOPOR pigment paste is used to color high-solids or solvent-free polyurethane resins and polyvinyl chloride (PVC) plastisols used to make artificial leathers and textile products. Dow does not sell this product for direct consumer use, but it is used to color artificial leathers and textile products with which consumers may come into contact".</t>
  </si>
  <si>
    <t xml:space="preserve">Floor coverings; Construction and Building Materials Covering Large Surface Areas Including Stone, Plaster, Cement, Glass and Ceramic Articles Fabrics, Textiles, and Apparel </t>
  </si>
  <si>
    <t xml:space="preserve">This COU is referring to the consumer use of BBP already incorporated into solid items or in products meant to cover large surface areas after application. </t>
  </si>
  <si>
    <t>BBP is incorporated in vinyl and carpet tiles {EPAB, 2020, 10492354}. Consumers generally use flooring containing BBP in an indoor environment and DIYers handle the construction materials (e.g., tiles, carpeting) that have BBP incorporated into the products, which may involve cutting and shaping the products for installation.
BBP is found in a liquid stucco, which is used as a cement-based finishing plaster {HERO ID}.  The product requires the addition of water and mixing it before application using a trowel or spray.</t>
  </si>
  <si>
    <t xml:space="preserve">Other Uses </t>
  </si>
  <si>
    <t xml:space="preserve">Automotive Products, Fluids </t>
  </si>
  <si>
    <t>This COU is referring to the consumer use of BBP already incorporated in automotive product fluid. This COU includes the use of BBP-containing automotive products in a consumer DIY setting.</t>
  </si>
  <si>
    <t xml:space="preserve">BBP is used in automotive cleaning formulations and power steering fluids {U.S. EPA, 2020, 10228608; Armored Auto Group Inc., 2015, 6302459}. It is also found in lubricants used to stop breaks from squealing {Permatex 2020 SDS}. </t>
  </si>
  <si>
    <t>Automotive Products, Other than Fluids</t>
  </si>
  <si>
    <t>This COU is referring to the consumer use of BBP already incorporated in automotive products other than fluids. This COU includes the use of BBP-containing automotive products in a consumer DIY setting or by consumers driving a vehicle.</t>
  </si>
  <si>
    <t xml:space="preserve">According to a received comment, BBP is found in the reading lamp assembly, the instrument cluster located in the passenger compartment, closure panels/knee bolsters located in the passenger compartment, front seat springs, frame, tracks, and mechanisms that are adjusted manually by the passenger, and the body side/side quarter – trim and ornamentation located in the passenger compartment (EPA-HQ-OPPT-2019-0131-0022). EPA notes that exposure to synthetic leather interior within the automobile will be assessed under another COU. </t>
  </si>
  <si>
    <t>Novelty Articles</t>
  </si>
  <si>
    <t>This COU is referring to the consumer use of BBP in adult novelty products</t>
  </si>
  <si>
    <t xml:space="preserve">This same study indicated tested concentrations of phthalates between 24 and 49 percent of the tested sex toys for creating a softer, more flexible plastic {Stabile, 2013, 11360721}, and EPA assumed that the concentration of BBP in these products to be analogous to the overall content of the mix of phthalates tested and found in this study. </t>
  </si>
  <si>
    <t xml:space="preserve">Packaging, Paper, Plastic, Hobby Products </t>
  </si>
  <si>
    <t xml:space="preserve">Arts, Crafts, and Hobby Materials </t>
  </si>
  <si>
    <t>This COU refers to the consumer use of BBP in and in a two-component urethane casting resin used in general purpose casting, which may involve prototyping, miniatures, models, and taxidermy. EPA expects that the majority of products used for casting that contain BBP would be commercial or industrial in nature; however, it is reasonably foreseeable that some products are used by DIY consumers as many of the commercial products are available for consumer purchasers through various online vendors.</t>
  </si>
  <si>
    <t>BBP is used in components of castings used for general purpose in consumer settings {HERO IDs}.</t>
  </si>
  <si>
    <t>Ink, Toner, and Colorant Products</t>
  </si>
  <si>
    <r>
      <t xml:space="preserve">This COU is referring to the consumer use of BBP in ink, toner, and colorant products. According to the </t>
    </r>
    <r>
      <rPr>
        <i/>
        <sz val="10"/>
        <color theme="1"/>
        <rFont val="Times New Roman"/>
        <family val="1"/>
      </rPr>
      <t>Final Scope of the Risk Evaluation for Butyl Benzyl Phthalate (BBP)</t>
    </r>
    <r>
      <rPr>
        <sz val="10"/>
        <color theme="1"/>
        <rFont val="Times New Roman"/>
        <family val="1"/>
      </rPr>
      <t>, printing inks consist of colorants (</t>
    </r>
    <r>
      <rPr>
        <i/>
        <sz val="10"/>
        <color theme="1"/>
        <rFont val="Times New Roman"/>
        <family val="1"/>
      </rPr>
      <t>e.g.</t>
    </r>
    <r>
      <rPr>
        <sz val="10"/>
        <color theme="1"/>
        <rFont val="Times New Roman"/>
        <family val="1"/>
      </rPr>
      <t xml:space="preserve">, pigments, dyes and toners) dispersed in a formulation to form a paste, liquid or solid, which can be applied to a substrate’s surface and dried {U.S. EPA, 2020, 10228608}. </t>
    </r>
  </si>
  <si>
    <t>EPA expects that most ink, toner, and colorant products containing BBP would be commercial or industrial in nature; however, it is possible that some products are used by DIY consumers as many of the commercial products are available for consumer purchasers through various online vendors. EPA would expect that if consumer DIYers were to use these products they would apply them in the same fashion as commercial users, on a smaller scale at their residences.</t>
  </si>
  <si>
    <t xml:space="preserve">Packaging (Excluding Food Packaging) and Other Articles with Routine Direct Contact During Normal Use, Including Rubber Articles; Plastic Articles (Hard); Plastic Articles (Soft) </t>
  </si>
  <si>
    <t xml:space="preserve">This COU is referring to the consumer use of BBP already incorporated in various packaging, paper, plastic, and hobby products. EPA notes that this reporting code in the 2020 CDR cycle is intended to describe products such as phone covers, personal tablets covers, styrofoam packaging, and bubble wrap. </t>
  </si>
  <si>
    <t>Given the use of BBP as a general-purpose plasticizer for PVC and non-PVC applications, BBP has been noted to be in a variety of articles such as food conveyor belts, tarps, weather stripping and traffic cones {EPAB, 2020, 10492354}.</t>
  </si>
  <si>
    <t>Toys, Playgrounds, and Sporting Equipment</t>
  </si>
  <si>
    <t xml:space="preserve">This COU is referring to the consumer use of BBP in toys, playground, and sporting equipment. The COU includes the consumer use or storage of toys, playgrounds, and sporting equipment that contain BBP in an indoor environment. The use also refers to the DIY building of home sporting equipment. </t>
  </si>
  <si>
    <t xml:space="preserve">Consumer Product Safety Commission has banned the use of BBP at concentrations greater than 0.1 percent in children’s toys and childcare articles (16 CFR part 1307). EPA expects that the use of BBP in toys manufactured or processed prior to the ban may still be occurring {U.S. EPA, 2020, 10228608}. BBP is also reported to be in a component of tire crumb, which is used in playgrounds and playing fields. BBP may also be a part of other components in playing field based on results of federal research on exposure to chemicals in outdoor and indoor playing fields (Federal Research Action Plan on Recycled Tire Crumb Used on Playing Fields and Playgrounds, need HERO IDS). </t>
  </si>
  <si>
    <r>
      <t xml:space="preserve">COU Category
</t>
    </r>
    <r>
      <rPr>
        <sz val="11"/>
        <rFont val="Calibri"/>
        <family val="2"/>
        <scheme val="minor"/>
      </rPr>
      <t>Conditions of Use categories from Final Scope, see COU tab for categories and subcategories</t>
    </r>
  </si>
  <si>
    <t>Use (From Use Report)</t>
  </si>
  <si>
    <t>Expected Users (From Use Report)</t>
  </si>
  <si>
    <t>Product (From Use Report)</t>
  </si>
  <si>
    <t>Manufacturer (From Use Report)</t>
  </si>
  <si>
    <t>Percent in Product (From Use Report)</t>
  </si>
  <si>
    <t>min %</t>
  </si>
  <si>
    <t xml:space="preserve">avg % </t>
  </si>
  <si>
    <t>max %</t>
  </si>
  <si>
    <t>Min WF</t>
  </si>
  <si>
    <t>Avg WF</t>
  </si>
  <si>
    <t>Max WF</t>
  </si>
  <si>
    <t>Include?</t>
  </si>
  <si>
    <r>
      <t xml:space="preserve">Form
</t>
    </r>
    <r>
      <rPr>
        <sz val="8"/>
        <rFont val="Calibri"/>
        <family val="2"/>
        <scheme val="minor"/>
      </rPr>
      <t>-Liquid (added to water) for small amount of product diluted with water
-Liquid (poured) for adding product to another vessel</t>
    </r>
  </si>
  <si>
    <t>Density (g/cm3)</t>
  </si>
  <si>
    <t>Product Size and format</t>
  </si>
  <si>
    <t>Use Environment</t>
  </si>
  <si>
    <t xml:space="preserve">Vendor </t>
  </si>
  <si>
    <t>Detailed Use Description</t>
  </si>
  <si>
    <t>Additional Notes</t>
  </si>
  <si>
    <t>Adhesives and sealants</t>
  </si>
  <si>
    <t>Blacktop sealant</t>
  </si>
  <si>
    <t>Consumer</t>
  </si>
  <si>
    <t>Sakrete Blacktop Repair Tube</t>
  </si>
  <si>
    <t>Sakrete of North America</t>
  </si>
  <si>
    <r>
      <t xml:space="preserve">7 – 13%, by weight
</t>
    </r>
    <r>
      <rPr>
        <sz val="11"/>
        <color rgb="FFC00000"/>
        <rFont val="Calibri"/>
        <family val="2"/>
        <scheme val="minor"/>
      </rPr>
      <t>4-10% in 2021 SDS</t>
    </r>
  </si>
  <si>
    <t>Yes</t>
  </si>
  <si>
    <t>Paste (putty knife or hand application)</t>
  </si>
  <si>
    <t>No data available</t>
  </si>
  <si>
    <t>5.5 oz</t>
  </si>
  <si>
    <t>Outdoor</t>
  </si>
  <si>
    <t>Amazon</t>
  </si>
  <si>
    <r>
      <rPr>
        <sz val="11"/>
        <color rgb="FF000000"/>
        <rFont val="Calibri"/>
        <family val="2"/>
        <scheme val="minor"/>
      </rPr>
      <t>A sanded acrylic formula that fills and seals cracks in blacktop surfaces
Color and texture blends with the surrounding blacktop
Weather-resistant formula remains flexible and adheres to both asphalt and concrete -</t>
    </r>
    <r>
      <rPr>
        <b/>
        <sz val="11"/>
        <color rgb="FF000000"/>
        <rFont val="Calibri"/>
        <family val="2"/>
        <scheme val="minor"/>
      </rPr>
      <t>Amazon reviews: "Makes quick driveway repairs."</t>
    </r>
  </si>
  <si>
    <t>2021 SDS WF is 4-10%</t>
  </si>
  <si>
    <t>Concrete patch</t>
  </si>
  <si>
    <t>Concrete Patching Compound</t>
  </si>
  <si>
    <t>Quikrete Companies</t>
  </si>
  <si>
    <t>1 – 2% , by weight</t>
  </si>
  <si>
    <t>1.0 - 1.2</t>
  </si>
  <si>
    <t>1 quart</t>
  </si>
  <si>
    <t>Indoor/Outdoor</t>
  </si>
  <si>
    <r>
      <t xml:space="preserve">The weather resistant formula dries to a durable and flexible finish that blends with the texture and color of the surrounding surface
*Quikrete ready-to-use concrete patch is a pre-mixed sanded acrylic compound - </t>
    </r>
    <r>
      <rPr>
        <b/>
        <sz val="11"/>
        <color rgb="FF000000"/>
        <rFont val="Calibri"/>
        <family val="2"/>
        <scheme val="minor"/>
      </rPr>
      <t>Amazon reviews: "This is great for patching divots in cement on a garage floor" "Good for patching chipped and cracking concrete."</t>
    </r>
  </si>
  <si>
    <t>Model and hobby cement</t>
  </si>
  <si>
    <t>Elmer's Model + Hobby Cement</t>
  </si>
  <si>
    <t>Elmers Products, Inc.</t>
  </si>
  <si>
    <t>3.85%, unspecified</t>
  </si>
  <si>
    <t>1 fl oz tube</t>
  </si>
  <si>
    <t>Indoor</t>
  </si>
  <si>
    <r>
      <rPr>
        <sz val="11"/>
        <color rgb="FF000000"/>
        <rFont val="Calibri"/>
        <family val="2"/>
        <scheme val="minor"/>
      </rPr>
      <t xml:space="preserve">OZ, Model &amp; Hobby Cement, Convenient &amp; Fast Drying, Water Resistant, Adheres To Polystyrene &amp; Other Plastics, No Shrink, Indoor, Low Odor, Paintable, 30 Seconds Set Time, 24 Hours Cure Time, Dries Clear. For more than 65 years, Elmer's Products, has been providing creative adhesive solutions that support success and turn ideas into reality. </t>
    </r>
    <r>
      <rPr>
        <b/>
        <sz val="11"/>
        <color rgb="FF000000"/>
        <rFont val="Calibri"/>
        <family val="2"/>
        <scheme val="minor"/>
      </rPr>
      <t>Amazon reviews: "I have looked everywhere for a readily available glue that will glue polystyrene to itself, and this glue does a PERFECT job. It allows me to glue very thin edges together in a bond that I know will not come apart. Just be careful not to apply too much, as this glue "melts" the plastic together, and try not to let it drip on other surfaces of your styrene either.
But my search for polystyrene glue is over, and I recommend that anyone that works with styrene should try this glue - it's 3 bucks, just try it."</t>
    </r>
  </si>
  <si>
    <t>2014 SDS doesn't have BBP</t>
  </si>
  <si>
    <t>Mortar repair compound</t>
  </si>
  <si>
    <t>Mortar Repair Sealant</t>
  </si>
  <si>
    <t>1 – 2%,  by weight</t>
  </si>
  <si>
    <t>Paste (caulk gun)</t>
  </si>
  <si>
    <t>1.6 to 1.8</t>
  </si>
  <si>
    <t>10 oz</t>
  </si>
  <si>
    <t>Vendor</t>
  </si>
  <si>
    <r>
      <t xml:space="preserve">Quikrete 10 oz. Mortar Repair Tube features an acrylic formula used for sealing joints in concrete, brick and block surfaces. The tube features a square applicator that provides a smooth seal for mortar joints and makes it especially easy to use for tuck pointing. Quikrete 10 oz. Mortar Repair Tube has a sanded texture which matches very well to an existing masonry surface. </t>
    </r>
    <r>
      <rPr>
        <b/>
        <sz val="11"/>
        <color rgb="FF000000"/>
        <rFont val="Calibri"/>
        <family val="2"/>
        <scheme val="minor"/>
      </rPr>
      <t>Reviews: "I have used this product for years. It WAS excellent. Quikrete has drastically changed the formula, but kept the same product code. Vendors have not updated pictures. If you used and liked this product before, you will NOT like the new 'stuff'. It has a light whitish color and barely any texture. Feels slimy compared to the old version which felt like real mortar. Attached picture has both cartridges. The new version has ACRYLIC above the product name and has a white band at the top. Beware" "I bought this to do a trim like effect on some stone panels I just installed with bagged mortar. When it dried, it wasn’t the grey that it was and was indeed white. Now it looks weird and I have to find a way to cover it. Tip: going over it with bag mortar doesn’t cover it. Very disappointed."</t>
    </r>
  </si>
  <si>
    <t>Automotive, Fuel, Agriculture, Outdoor Use Products</t>
  </si>
  <si>
    <t>Power steering fluid additive</t>
  </si>
  <si>
    <t>STP 17925 Power Steering Fluid &amp; Stop Leak</t>
  </si>
  <si>
    <t>Armored AutoGroup Inc.</t>
  </si>
  <si>
    <t>0 – 3%, unspecified</t>
  </si>
  <si>
    <t>Liquid (poured)</t>
  </si>
  <si>
    <t>12 fl oz</t>
  </si>
  <si>
    <r>
      <t xml:space="preserve">STP Power Steering Fluid + Stop Leak is specially formulated to stop or reduce fluid loss caused by seals that leak due to wear or shrinkage (not for use with broken or scored seals). This treatment helps stop most wear and shrinkage levels. Can be used instead of regular power steering fluid as preventive maintenance. </t>
    </r>
    <r>
      <rPr>
        <b/>
        <sz val="11"/>
        <color rgb="FF000000"/>
        <rFont val="Calibri"/>
        <family val="2"/>
        <scheme val="minor"/>
      </rPr>
      <t>Amazon reviews: "With winter in New York and the temperature fluctuating quickly this year, and a leak with my steering oil, the steering wheel became hard to turn. I put 3/4 of a bottle of this oil to the steering oil container, and the wheel loosened up immediately. I've been driving for the last month with no more steering issues. The car is turning super smoothly. This oil is great for the car."</t>
    </r>
  </si>
  <si>
    <t>Roof and flashing sealant</t>
  </si>
  <si>
    <t>DAP Roof &amp; Flashing Sealant, Polyurethane</t>
  </si>
  <si>
    <t>DAP Products, Inc.</t>
  </si>
  <si>
    <r>
      <t xml:space="preserve">Unknown
</t>
    </r>
    <r>
      <rPr>
        <sz val="11"/>
        <color rgb="FFC00000"/>
        <rFont val="Calibri"/>
        <family val="2"/>
        <scheme val="minor"/>
      </rPr>
      <t>10-30% per 2008 SDS; not in 2024 SDS</t>
    </r>
  </si>
  <si>
    <t>10.1 oz</t>
  </si>
  <si>
    <r>
      <t xml:space="preserve">A one-part, moisture-curing, commercial grade sealant. Specially formulated to provide a permanent, waterproof seal when filling exterior gaps, joints and cracks. This high performance sealant offers superior adhesion to a variety of substrates and remains permanently flexible. Paintable. 50 year durability guarantee. Meets or exceeds Federal Spec TT-S 00230C, Type II, Class A and ASTM C 920, Type S, Grade NS, Class 25. Ideal for use on doors, windows, sidings, ducts and vents </t>
    </r>
    <r>
      <rPr>
        <b/>
        <sz val="11"/>
        <color rgb="FF000000"/>
        <rFont val="Calibri"/>
        <family val="2"/>
        <scheme val="minor"/>
      </rPr>
      <t>Amazon reviews: "If you are looking for a super durable waterproof caulk this is the real deal. I’ve used it for caulking around windows and doors as well as areas where concrete butts up against wood ( sidewalk and patio areas). It’s very sticky when you apply it. When this stuff dries and cures, it becomes very firm but still flexible. Its consistency is like a hard rubber. Very durable.
One minor heads-up - The stuff is very difficult to squeeze out of the tube with a caulk gun. You would need the hand strength of an adult Orangutan to do it. I ended up using a heat gun to warm it up so it was easier to apply."</t>
    </r>
  </si>
  <si>
    <t>Stucco patch</t>
  </si>
  <si>
    <t>Pre-Mixed Stucco Patch</t>
  </si>
  <si>
    <t>1 – 2%, by weight</t>
  </si>
  <si>
    <t xml:space="preserve">1.0 to 1.2 </t>
  </si>
  <si>
    <t>Repairs cracks, holes or other minor defects up to 1/4 in. thick in stucco surfaces
Formula designed to blend with the texture of stucco surfaces
Dries to a durable and flexible finish
Covers approximately 3 to 1/4 sq. ft.
Off-white color</t>
  </si>
  <si>
    <t>Automotive Care Products</t>
  </si>
  <si>
    <t xml:space="preserve">Consumer, Commercial, Industrial </t>
  </si>
  <si>
    <t>126VR Disc Brake Quiet 0.25 Fl. Oz Pouch</t>
  </si>
  <si>
    <t>ITW Permatex</t>
  </si>
  <si>
    <t>5-10%, by weight</t>
  </si>
  <si>
    <t>0.25 oz and 9 oz</t>
  </si>
  <si>
    <r>
      <t xml:space="preserve">Permatex Disc Brake Quiet stops brake squealing by dampening vibration at the caliper/brake pad interface. While providing a tighter fit and allowing for easier disassembly it also protects against corrosion. This product contains an elastomeric polymer for use with brake pads that don't have anti-squeal shims and is compatible with anti-lock brake systems. </t>
    </r>
    <r>
      <rPr>
        <b/>
        <sz val="11"/>
        <color rgb="FF000000"/>
        <rFont val="Calibri"/>
        <family val="2"/>
        <scheme val="minor"/>
      </rPr>
      <t>Amazon reviews: "After a recent brake job, my 2016 Toyota Highlander brakes were squealing whenever I slowed to a stop. I picked up some of this Permatex Disk Brake Quiet and sprayed the back of the brake pads, then re-installed them."</t>
    </r>
    <r>
      <rPr>
        <sz val="11"/>
        <color rgb="FF000000"/>
        <rFont val="Calibri"/>
        <family val="2"/>
        <scheme val="minor"/>
      </rPr>
      <t xml:space="preserve"> </t>
    </r>
    <r>
      <rPr>
        <b/>
        <sz val="11"/>
        <color rgb="FF000000"/>
        <rFont val="Calibri"/>
        <family val="2"/>
        <scheme val="minor"/>
      </rPr>
      <t>"A couple things to keep in mind. First the spray does have a blue color, so spray on paper or cardboard to protect your floor. Second, only spray the back sides of the brake pads, never spray the side that contacts the rotor. Finally, the directions say to let dry 10 minutes before re-assembly, but I would recommend longer so they aren’t tacky"</t>
    </r>
  </si>
  <si>
    <t>liquid in package and spray can available</t>
  </si>
  <si>
    <t>Packaging, Paper, Plastic, Hobby Products</t>
  </si>
  <si>
    <t xml:space="preserve">Inks </t>
  </si>
  <si>
    <t>6840 Ultra Black</t>
  </si>
  <si>
    <t>BJB Enterprises, Inc.</t>
  </si>
  <si>
    <t>30-60%, by weight</t>
  </si>
  <si>
    <t>4 oz, pint, quart, or gallon</t>
  </si>
  <si>
    <t>Manufacturer</t>
  </si>
  <si>
    <t>Compatible with all BJB polyurethanes, foams, and epoxy resin systems.BJB liquid pigments are designed to rapidly disperse into the systems described above. The 6800 pigment series is typically used by adding approximately 1/2% by weight of pigment to the material system. Many materials are naturally dark and hard to color. These materials may require from 1% to 5% of the pigment dispersion to develop the desired color. Liquid pigments can often cause a negative effect on a material’s physical properties if too much pigment is added.</t>
  </si>
  <si>
    <t>other vendor https://www.techsil.co.uk/bjb-6840-urethane-pigment-4oz</t>
  </si>
  <si>
    <t>Industrial Coating</t>
  </si>
  <si>
    <t>Industrial</t>
  </si>
  <si>
    <t>A/D Firefilm III</t>
  </si>
  <si>
    <t>A/D Fire Protection Systems [Canada]</t>
  </si>
  <si>
    <t>0.1-1.0%, unspecified</t>
  </si>
  <si>
    <t>No</t>
  </si>
  <si>
    <t>Industrial use only</t>
  </si>
  <si>
    <t>Carboline Company</t>
  </si>
  <si>
    <t>0.1 - &lt;1.0%, unspecified</t>
  </si>
  <si>
    <t>A/D Firefilm III C</t>
  </si>
  <si>
    <t>Adhesives and Sealant Products</t>
  </si>
  <si>
    <t>Air Bloc 33</t>
  </si>
  <si>
    <t>Henry Company</t>
  </si>
  <si>
    <t>1 – 5%, by weight</t>
  </si>
  <si>
    <t>Liquid (sprayed on)</t>
  </si>
  <si>
    <t>5 gallon</t>
  </si>
  <si>
    <t>Unclear</t>
  </si>
  <si>
    <t>Henry Air Bloc 33MR is a UV and fire-resistant, fluid applied, elastomeric membrane designed to provide a permeable air and water barrier when applied to above-grade wall assemblies. It is single-component, water-based and cures to a tough monolithic rubberlike membrane which resists air leakage, water penetration and long term weathering. For use on a variety of wall substrates requiring long term weather exposure prior to cladding installation or with open-jointed rain screen type claddings. Acceptable substrates are exterior-grade gypsum sheathing, plywood, OSB, precast or cast-in-place concrete, concrete block, primed steel, aluminum mill finish, anodized aluminum, and galvanized metal. May be applied by brush, roller or heavy-duty airless spray</t>
  </si>
  <si>
    <t>No clear industrial use only</t>
  </si>
  <si>
    <t>Laboratory chemical</t>
  </si>
  <si>
    <t>Base/Neutrals Mix 1</t>
  </si>
  <si>
    <t>SPEX CertiPrep, LLC</t>
  </si>
  <si>
    <t>0.2%, unspecified</t>
  </si>
  <si>
    <t>Automotive Paint</t>
  </si>
  <si>
    <t>Black Tire Paint Concentrate</t>
  </si>
  <si>
    <t>Akron Paint and Varnish (dba APV Engineered Coatings)</t>
  </si>
  <si>
    <t>0.70%, by weight</t>
  </si>
  <si>
    <t>Laboratory chemicals</t>
  </si>
  <si>
    <t>Butyl Benzyl Phthalate Standard</t>
  </si>
  <si>
    <t>Phenova</t>
  </si>
  <si>
    <t>0.1%, unspecified</t>
  </si>
  <si>
    <t>Not easily accessible</t>
  </si>
  <si>
    <t>Butylbenzyl phthalate in PE</t>
  </si>
  <si>
    <t>Carbocrylic 3359 DTM</t>
  </si>
  <si>
    <t>1.0 – 2.5%, unspecified</t>
  </si>
  <si>
    <t>Industrial use only; not easily accessible</t>
  </si>
  <si>
    <t>Carbothane 133 HB Part A</t>
  </si>
  <si>
    <t>1.0 - &lt;2.5%, unspecified</t>
  </si>
  <si>
    <t>Custom 8061 Phthalates Mix</t>
  </si>
  <si>
    <t>Professional/industrial use only</t>
  </si>
  <si>
    <t>Custom Low ICAL Mix</t>
  </si>
  <si>
    <t>Double Bubble Urethane High Peel Strength D50 Part A (04022)</t>
  </si>
  <si>
    <t>Royal Adhesives &amp; Sealants</t>
  </si>
  <si>
    <r>
      <t xml:space="preserve">5 – 20%, unspecified
</t>
    </r>
    <r>
      <rPr>
        <sz val="11"/>
        <color rgb="FFC00000"/>
        <rFont val="Calibri"/>
        <family val="2"/>
        <scheme val="minor"/>
      </rPr>
      <t>2024 SDS 10-20%</t>
    </r>
  </si>
  <si>
    <t>Single use packets, poly bottles, 1-gallon cans, 5-gallon pails and 55- gallon drums</t>
  </si>
  <si>
    <t>The Hardman 04022 Beige-dying Urethane D-50 is a semi–rigid, two–component, extra–fast setting (3-5 minute) polyurethane structural adhesive. It displays an excellent combination of shear strength and peel strength, with good impact and fatigue resistance. And reaches handling strength in 60 minutes.
Highly recommended for bonding engineering thermoplastics, SMC, laminated surfaces, repair of reaction injection molded parts and other quick repairs of sporting goods, such as skis, snow boards and golf clubs.</t>
  </si>
  <si>
    <t>2023 SDS WF is 10-20%</t>
  </si>
  <si>
    <t>Driquik 6690 WB Dipping Primer</t>
  </si>
  <si>
    <t>1.0-2.5%, unspecified</t>
  </si>
  <si>
    <t>Not easily accessible. Product not found on manufacturer site.</t>
  </si>
  <si>
    <t>Dymonic FC Anodized Aluminum</t>
  </si>
  <si>
    <t>Tremco Canadian Sealants [Canada]</t>
  </si>
  <si>
    <t>15 – 40%, by weight</t>
  </si>
  <si>
    <r>
      <t xml:space="preserve">Dymonic FC is a durable, flexible, sealant that offers excellent performance in moving joints and exhibits tenacious adhesion once fully cured. Typical applications for Dymonic FC include expansion and control joints, precast concrete panel joints, perimeter caulking (windows, door, panels), EIFS, aluminum, masonry and vinyl siding. </t>
    </r>
    <r>
      <rPr>
        <b/>
        <sz val="11"/>
        <color rgb="FF000000"/>
        <rFont val="Calibri"/>
        <family val="2"/>
        <scheme val="minor"/>
      </rPr>
      <t>Amazon reviews: "I used this to fill in some small cracks &amp; chips in a basement wall". "The adhesion, stretch capabilities and thickness were the perfect match in using as a expansion joint filler." "Perfect for filling control joints and gaps between concrete slabs."</t>
    </r>
  </si>
  <si>
    <t>Dental products</t>
  </si>
  <si>
    <t>Consumer, Commercial</t>
  </si>
  <si>
    <t>ENSURE Sterilization Emulator</t>
  </si>
  <si>
    <t>SciCan Ltd. [Canada]</t>
  </si>
  <si>
    <t>&lt;0.1%, by weight</t>
  </si>
  <si>
    <t>Not easily accessible; No US vendors</t>
  </si>
  <si>
    <t>FLEXER Epoxy Flexibilizer</t>
  </si>
  <si>
    <t>Smooth-On, Inc.</t>
  </si>
  <si>
    <t>&gt;99%, by weight</t>
  </si>
  <si>
    <t>GE7000</t>
  </si>
  <si>
    <t>Momentive Performance Materials</t>
  </si>
  <si>
    <t>5 - &lt;10%, by weight</t>
  </si>
  <si>
    <r>
      <t xml:space="preserve">GE Silicone II Paintable Silicone Caulk offers a combination of silicones superior performance &amp; the paintability of acrylic caulk. Water protection is critical in many caulking applications from windows and doors to kitchens and baths. Many times these jobs require a caulk that is paintable as well as waterproof. Paintable Silicone combines the superior adhesion and durability performance of 100% silicone with the paintability of acrylic. While acrylic may be paintable, it breaks down in water over time and can shrink and crack, leaving gaps for water and air to seep through. Those leaks can lead to water damage, mold growth or higher energy bills. Issues such as these can translate into wasted energy, money, and ultimately time, when the project has to be redone. </t>
    </r>
    <r>
      <rPr>
        <b/>
        <sz val="11"/>
        <color rgb="FF000000"/>
        <rFont val="Calibri"/>
        <family val="2"/>
        <scheme val="minor"/>
      </rPr>
      <t>Reviews: "Was really surprised to read the bad reviews of this product after having used it numerous times myself both at my own home and at the homes of different customers. The clean-up is not easy, but NOT ANY different than any other silicone caulk. So, just like with all other silicone caulking, make sure you have some mineral spirits handy, if you're not very careful or experienced. Over time - this product does seem to hold and resist cracking and peeling better than other popular among contractors indoor/outdoor high grade siliconized latex product. I only apply it on previously primed or even painted surfaces, so it's not hard to clean it up after applying (just don't cut too much off the tip and it will be fine). It should be painted or it will yellow, like most other paintable caulking products. If you don't plan on painting it - get the non-paintable stuff. I've never had any problems with paint not sticking to it, but I also do not use cheap paint either. In my experience paint sticks to it just fine, just make sure you wait at least 30 minutes before painting it. For me and my customers so far - great combination of durability, quality and value. Couple years after use - no signs of cracking or paint peeling. Oh, and even folks servicing Mount Rushmore now switched to silicone caulking to fill cracks in stone - due to it's durability."</t>
    </r>
  </si>
  <si>
    <t>SDS says industrial use only, but not clear so including. Current SDS doesn’t have BBP</t>
  </si>
  <si>
    <t>Handstamp - Blue</t>
  </si>
  <si>
    <t>Identity Group</t>
  </si>
  <si>
    <t>15 – 25%, unspecified</t>
  </si>
  <si>
    <t>Solid</t>
  </si>
  <si>
    <t>Heavier than air</t>
  </si>
  <si>
    <t>1-5/8in stamp pad</t>
  </si>
  <si>
    <t>Office Depot</t>
  </si>
  <si>
    <t>Bring new life to your Trodat self-inking custom daters with this replacement ink pad. The foam pad delivers up to 10,000 consistent impressions. Case is made from plastic for durability. Ink pad is foam to provide consistent impressions. Compatible with Trodat T5546, T5430 and T5030 self-inking custom daters. Delivers up to 10,000 impressions.</t>
  </si>
  <si>
    <t>Multipurpose Caulk</t>
  </si>
  <si>
    <t>Hercules Plumber's Caulk - White/Linen</t>
  </si>
  <si>
    <t>HCC Holdings Inc.</t>
  </si>
  <si>
    <t>5 – 10%, by weight</t>
  </si>
  <si>
    <r>
      <t xml:space="preserve">Hercules Plumbers Caulk is a commercial-grade, easy-to-use, single component, non-sag, siliconized acrylic-latex caulk. It forms a flexible, durable and UV-resistant waterproof seal on interior and exterior surfaces. Behold the power of Hercules, products built to last and trusted by plumbers to withstand even the toughest conditions. </t>
    </r>
    <r>
      <rPr>
        <b/>
        <sz val="11"/>
        <color rgb="FF000000"/>
        <rFont val="Calibri"/>
        <family val="2"/>
        <scheme val="minor"/>
      </rPr>
      <t>Reviews: "The Hercules Plumbers Caulk in bright white is an excellent product at a good price. I have a lot of experience applying caulk both at home and on the job. Over the years I have learned to appreciate the squeeze tube application over the gun. This gives me much better accuracy and control. I applied Hercules to my bathtub and it flowed easily and gave me no problems. When I was done, the cap easily locked-on, eliminating the need to find a screw or nail to plug the hole. A month later I checked and found the caulk was still flowing and hadn't clogged the hole. This is a great all-around product that can meet many needs. I get frustrated standing in the store comparing the 50 different caulks available trying to find the right one for the job. The Hercules Plumbers Caulk is a great grab-n-go product and I'm going to convince my employer this is what he should start providing. Recommended."</t>
    </r>
  </si>
  <si>
    <t>Hydrogel SX</t>
  </si>
  <si>
    <t>Prime Resins Inc.</t>
  </si>
  <si>
    <t>2.5 - &lt;10%, unspecified</t>
  </si>
  <si>
    <t>Paint coatings and primers</t>
  </si>
  <si>
    <t>IC 1-gl 2pk Gray Shop Coat Primer</t>
  </si>
  <si>
    <t>Rust-Oleum Corporation</t>
  </si>
  <si>
    <t>1.5%, by weight</t>
  </si>
  <si>
    <t>Product is discontinued</t>
  </si>
  <si>
    <t>Paints and coatings</t>
  </si>
  <si>
    <t>Klean-Strip Mask &amp; Peel Paint Booth Coating</t>
  </si>
  <si>
    <t>W. M. Barr</t>
  </si>
  <si>
    <t>&lt;2.0%, unspecified</t>
  </si>
  <si>
    <t>The Klean-Strip Mask and Peel Spray Booth Coating keeps your spray booth looking clean and professional. You can apply it easily, and it will protect booth surfaces from over spraying. This spray booth coating dries quickly to begin its action soon after application. Let the coating stand for 30 minutes for it to dry completely. Available in a bright white color, it imparts maximum visibility to your paint booth. When you are cleaning up, you can peel off this coating quickly to keep the booth looking mess-free.</t>
  </si>
  <si>
    <t>Lacquer Touch-up Paint - Clear Topcoat</t>
  </si>
  <si>
    <t>Ford Motor Company</t>
  </si>
  <si>
    <t>5%, unspecified</t>
  </si>
  <si>
    <t>Liquid (rolled or brushed on)</t>
  </si>
  <si>
    <t>.25 fl oz</t>
  </si>
  <si>
    <t>Looking to fix paint chips on your Ford? Featuring an easy application process and an abrasive tip, this touch-up paint will make scratches, dings, and chips completely disappear. This paint is produced by Ford Motorcraft so you can be sure you've got a match for our original factory paint!- Abrasive pen tip to remove any loose paint
- Pen tip applicator with paint reservoir and brush applicator inside
- Clearcoat reservoir
- Foam brush in the base of the bottle
- Genuine Ford Motorcraft lacquer paint
- Includes .25 fl oz of paint and .25 fl oz of clear coat
- Original colors for quick repair of scratches, dings, dents, and chips
- Built-in mechanical agitator to assist in mixing and to assure color match</t>
  </si>
  <si>
    <t>Part A: PMC-724</t>
  </si>
  <si>
    <t>40 – 70%, by weight</t>
  </si>
  <si>
    <t>Part A: Smooth-Cast 325</t>
  </si>
  <si>
    <t>5 – 15%, unspecified</t>
  </si>
  <si>
    <t>&gt;1</t>
  </si>
  <si>
    <t>Travel size, 1, 5, and 55 gal units</t>
  </si>
  <si>
    <t>The Smooth-Cast™ 325, 326 &amp; 327 ColorMatch™ Series plastics are urethane resins that were developed specifically for adding color pigments and fillers to achieve true color representation or filler effect. The ColorMatch™ Series is formulated “color neutral”. Small amounts of pigment will yield accurate, vivid colors from cured castings using So-Strong™ tints, UVO™ pigments or Ignite™ color pigments. The ColorMatch™ Series offers the convenience of a 1A: 1B mix ratio by volume and has a very low viscosity.</t>
  </si>
  <si>
    <t>Industrial use only, but can purchase</t>
  </si>
  <si>
    <t>put hobby products COU. Amazon reviews indicate people cast wide variety of objects. Or would this be other plastic and rubber?</t>
  </si>
  <si>
    <t>Part A: Task 9</t>
  </si>
  <si>
    <t>5 – 15%, by weight</t>
  </si>
  <si>
    <t>PermaMounter</t>
  </si>
  <si>
    <t>Bio SB, Inc.</t>
  </si>
  <si>
    <t>&lt;1%, by weight</t>
  </si>
  <si>
    <t>Permatite Acrylic Sealant</t>
  </si>
  <si>
    <t>Permatite / Division of DSI</t>
  </si>
  <si>
    <t>7 – 13%, unspecified</t>
  </si>
  <si>
    <t>Phthalates in Poly(vinyl chloride)</t>
  </si>
  <si>
    <t>0.3%, unspecified</t>
  </si>
  <si>
    <t>Laboratory use only, not available on amazon</t>
  </si>
  <si>
    <t>Protecto Sealant 25XL</t>
  </si>
  <si>
    <t>Protecto Wrap Company</t>
  </si>
  <si>
    <t>10.0 – 30.0%, by weight</t>
  </si>
  <si>
    <t>Not available</t>
  </si>
  <si>
    <t xml:space="preserve">Protecto Sealant White PS25XL is a high performance, low modulus, one component, moisture curing, polyurethane sealant. It is a durable weatherproof sealant that offers excellent performance for back bedding nail flanges for window and door installation and sealing door thresholds. Protecto Sealant 25XL is used exclusively with the Protecto all Protecto Wrap Window and Door Flashing Systems.
</t>
  </si>
  <si>
    <t>Refinishing Spray</t>
  </si>
  <si>
    <t>Repair and Refinishing Spray</t>
  </si>
  <si>
    <t>Multi-Tech Products Corp.</t>
  </si>
  <si>
    <t>0.1 - &lt;1%, unspecified</t>
  </si>
  <si>
    <t>12 oz</t>
  </si>
  <si>
    <r>
      <t xml:space="preserve">Repairs And Renews Any Metal, Porcelain, Plastic Or Fiberglass Surface; bathtubs, sink, vanities, anything porcelain, anything fiberglass. </t>
    </r>
    <r>
      <rPr>
        <b/>
        <sz val="11"/>
        <color rgb="FF000000"/>
        <rFont val="Calibri"/>
        <family val="2"/>
        <scheme val="minor"/>
      </rPr>
      <t>Amazon reviews: "I had repaired a broken toilet for my RV. After allowing the repair product to properly cure, I spent hours sanding and shaping the one piece design of the toilet. I then applied this finish carefully following the instructions. It did everything it said it would do! It self leveled and filled in small imperfections. So happy I waited for this to be available. I was just a little disappointed in the lack of shine after it had cured. Just not shiny porcelain white. Since the repairs were done on a part of the toilet that does not have water standing in it, I added multiple coats of clear high gloss enamel and achieved the shine I wanted. Still highly recommend!"</t>
    </r>
  </si>
  <si>
    <t>not for walls, for smaller surfaces</t>
  </si>
  <si>
    <t>SK Clear-Seal Satin Sealer 5 Gal</t>
  </si>
  <si>
    <t>0.1 – 1.0%, by weight</t>
  </si>
  <si>
    <t>5 gallon, 1 gallon</t>
  </si>
  <si>
    <t>Make concrete last with this protective sealer. It offers up to 1500 sq. ft. of coverage for brick, stone, pavers or stamped concrete. This ready-to-use sealer delivers a superior finish and resists scratches, stains, water and chemicals.</t>
  </si>
  <si>
    <t>Softeners</t>
  </si>
  <si>
    <t>So-Flex</t>
  </si>
  <si>
    <t>≥99%, unspecified</t>
  </si>
  <si>
    <t>Adhesives and Sealants</t>
  </si>
  <si>
    <t>Spectrem 3 Aluminum Stone - 30 CTG</t>
  </si>
  <si>
    <t>7 – 13%, by weight</t>
  </si>
  <si>
    <t>Spectrem 4</t>
  </si>
  <si>
    <t>Tremco U.S Sealants</t>
  </si>
  <si>
    <t>Industrial/commercial use only</t>
  </si>
  <si>
    <t>Floor coverings</t>
  </si>
  <si>
    <t>Steri-Crete SL Component A</t>
  </si>
  <si>
    <t>Dudick, Inc.</t>
  </si>
  <si>
    <t>20 – 25%, by weight</t>
  </si>
  <si>
    <t>Stonclad UT Resin Polyol</t>
  </si>
  <si>
    <t>Stonhard, Division of StonCor Group, Inc.</t>
  </si>
  <si>
    <t>25 - &lt;50%, unspecified</t>
  </si>
  <si>
    <t>Task 9 and Task 10 Part A</t>
  </si>
  <si>
    <t>10 – 20%, by weight</t>
  </si>
  <si>
    <t>Castings</t>
  </si>
  <si>
    <t>TC-680 Part B</t>
  </si>
  <si>
    <t>60 – 100%, by weight</t>
  </si>
  <si>
    <t>TC-681 Part A</t>
  </si>
  <si>
    <t>TC-681 Part B</t>
  </si>
  <si>
    <t>TC-690 Part B</t>
  </si>
  <si>
    <t>TC-9445 Part B</t>
  </si>
  <si>
    <t>TC-995 Part B</t>
  </si>
  <si>
    <t>Road coating system</t>
  </si>
  <si>
    <t>Vulkem 360 NF</t>
  </si>
  <si>
    <t>10 - &lt;20%, by weight</t>
  </si>
  <si>
    <t>Wilsonart Color Matched Caulk</t>
  </si>
  <si>
    <t>Wilsonart LLC</t>
  </si>
  <si>
    <t>5.5 oz and 10.5 oz</t>
  </si>
  <si>
    <t>Wilsonart Color Matched Caulk is a high-quality sealant that is specifically designed to match Wilsonart High Pressure Decorative Laminate and other laminate manufacturer's colors. Easy to apply and to clean up, this caulk is the right tool for professional and consumer applications. Once dry Wilsonart Color Matched Caulk is water, stain, mold- and mildew-resistant</t>
  </si>
  <si>
    <t>American Accents Craft &amp; Hobby Enamel, Silver</t>
  </si>
  <si>
    <t>Rust-Oleum</t>
  </si>
  <si>
    <t>1-2.5</t>
  </si>
  <si>
    <t>Rust-Oleum American Accents Craft and Hobby Enamel, Silver, is designed to provide long lasting protection and durability. This enamel offers excellent coverage, chip resistance and color retention.
High quality enamel paint perfect for indoor/outdoor use on wood, metal, plaster, masonry, unglazed ceramic and more</t>
  </si>
  <si>
    <t>CPID (whatsinproducts.com)</t>
  </si>
  <si>
    <t>Reference/HERO ID</t>
  </si>
  <si>
    <t>Source</t>
  </si>
  <si>
    <t>Location</t>
  </si>
  <si>
    <t xml:space="preserve">Product/Article </t>
  </si>
  <si>
    <t>Reported Concentration</t>
  </si>
  <si>
    <t>Units</t>
  </si>
  <si>
    <t>WF</t>
  </si>
  <si>
    <t>Stat type</t>
  </si>
  <si>
    <t>Clay</t>
  </si>
  <si>
    <t>x</t>
  </si>
  <si>
    <t>CPSC 2010 cited Stopford, W., J. Turner, D. Cappellini. 2003. Determination of the magnitude of clay to skin and skin to mouth transfer of phthalates associated with the use of polymer clays. Department of Community &amp; Family Medicine, Division of Occupational &amp; Environmental Medicine, Duke University Medical Center. Durham, NC, 2003</t>
  </si>
  <si>
    <t>TLS</t>
  </si>
  <si>
    <t>US</t>
  </si>
  <si>
    <t>Polymer modeling clay</t>
  </si>
  <si>
    <t>ug/g</t>
  </si>
  <si>
    <t>point</t>
  </si>
  <si>
    <t>Duke report submitted to CPSC, not peer reviewed</t>
  </si>
  <si>
    <t>RISKY PLAY WITH BAKING CLAY (publicinterestnetwork.org)</t>
  </si>
  <si>
    <t>Sculpey brand</t>
  </si>
  <si>
    <t>%</t>
  </si>
  <si>
    <t>average</t>
  </si>
  <si>
    <t>gray lit</t>
  </si>
  <si>
    <t>Fimo brand</t>
  </si>
  <si>
    <t>Textiles/Furniture</t>
  </si>
  <si>
    <t>SR</t>
  </si>
  <si>
    <t>pillow protector (Clean Sleep Vinyl Pillow Protectors Extra Heavy 6 Gauge w/ Ultra Fresh Protection)</t>
  </si>
  <si>
    <t>ppm</t>
  </si>
  <si>
    <t>Point</t>
  </si>
  <si>
    <t>Denmark</t>
  </si>
  <si>
    <t>furniture</t>
  </si>
  <si>
    <t>mg/kg</t>
  </si>
  <si>
    <t>Floor Coverings</t>
  </si>
  <si>
    <t>Danish EPA, 2011 (HERO 7265437)</t>
  </si>
  <si>
    <t>Europe</t>
  </si>
  <si>
    <t>Cushioned PVC flooring</t>
  </si>
  <si>
    <t>Heterogeneous PVC flooring</t>
  </si>
  <si>
    <t>PVC with foam Backing flooring</t>
  </si>
  <si>
    <t>vinyl covering</t>
  </si>
  <si>
    <t>Adult toy</t>
  </si>
  <si>
    <t>10.1186/s43591-023-00054-6</t>
  </si>
  <si>
    <t>COU table</t>
  </si>
  <si>
    <t>Auto products, fluid</t>
  </si>
  <si>
    <t>Car interior cleaner (Armor All Original Protectant)</t>
  </si>
  <si>
    <t>Toys</t>
  </si>
  <si>
    <t>no toy data from WA PTD</t>
  </si>
  <si>
    <t>2345985 (Ionas et al., 2014)</t>
  </si>
  <si>
    <t>Belgium</t>
  </si>
  <si>
    <t>median</t>
  </si>
  <si>
    <t>90th percentile</t>
  </si>
  <si>
    <t>max</t>
  </si>
  <si>
    <t>Gloves</t>
  </si>
  <si>
    <t>Wormuth et al, 2006 (HERO 680214)</t>
  </si>
  <si>
    <t>Switzerland</t>
  </si>
  <si>
    <t>gloves</t>
  </si>
  <si>
    <t xml:space="preserve">Min </t>
  </si>
  <si>
    <t>Max</t>
  </si>
  <si>
    <t>Car Mat</t>
  </si>
  <si>
    <t>Car mat</t>
  </si>
  <si>
    <t>Artificial Turf</t>
  </si>
  <si>
    <t>788256 (Johnson et al., 2011)</t>
  </si>
  <si>
    <t>India</t>
  </si>
  <si>
    <t>Toys (unspecified)</t>
  </si>
  <si>
    <t xml:space="preserve"> 0.1–0.2</t>
  </si>
  <si>
    <t>other foreign</t>
  </si>
  <si>
    <t xml:space="preserve"> Cassidy A.  20th Annual Toy Safety Survey, Trouble in Toy Land.  U.S. PIRG, Educational Fund, Washington DC,  Nov 2005</t>
  </si>
  <si>
    <t>Thailand</t>
  </si>
  <si>
    <t>Rubber duck</t>
  </si>
  <si>
    <t>Stringer et 
al., 2000; 
CPSC, 2010</t>
  </si>
  <si>
    <t>Asia</t>
  </si>
  <si>
    <t>Baby toys</t>
  </si>
  <si>
    <t>0.001–0.02</t>
  </si>
  <si>
    <t xml:space="preserve"> Peters RJB Hazardous Chemicals in Consumer Products. TNO Netherlands Organisation for Applied Scientific Research.  September 2003</t>
  </si>
  <si>
    <t>Netherlands</t>
  </si>
  <si>
    <t>Modeling materials</t>
  </si>
  <si>
    <t xml:space="preserve"> gray lit, had not used for DCHP</t>
  </si>
  <si>
    <t>Play putty</t>
  </si>
  <si>
    <t xml:space="preserve">Stringer R, Johnson P, Erry B.  Toxic chemicals in a child's world: an investigation of into PVC plastics products.  Greenpeace Research Laboratories, University of Exeter, Exeter, UK.  June 2001 </t>
  </si>
  <si>
    <t>Australia</t>
  </si>
  <si>
    <t>Swim ring</t>
  </si>
  <si>
    <t>foreign gray lit</t>
  </si>
  <si>
    <t>Sandalls</t>
  </si>
  <si>
    <t>46–79</t>
  </si>
  <si>
    <t>concentrations not verified, BBP in Danish report actually ND</t>
  </si>
  <si>
    <t>CPSC 2015 cited Niino et al 2002 (1325762)</t>
  </si>
  <si>
    <t>Japan</t>
  </si>
  <si>
    <t>39,000 - 119,000</t>
  </si>
  <si>
    <t>concentrations not verified, no BBP reported in Niino et al 2002</t>
  </si>
  <si>
    <r>
      <t>1216</t>
    </r>
    <r>
      <rPr>
        <b/>
        <sz val="10"/>
        <color rgb="FFA0522D"/>
        <rFont val="Arial"/>
        <family val="2"/>
      </rPr>
      <t xml:space="preserve">  Lab Results filtered by</t>
    </r>
    <r>
      <rPr>
        <b/>
        <sz val="10"/>
        <color rgb="FFCD6633"/>
        <rFont val="Arial"/>
        <family val="2"/>
      </rPr>
      <t xml:space="preserve"> </t>
    </r>
    <r>
      <rPr>
        <b/>
        <sz val="10"/>
        <color rgb="FF000000"/>
        <rFont val="Arial"/>
        <family val="2"/>
      </rPr>
      <t>Butyl benzyl phthalate</t>
    </r>
  </si>
  <si>
    <t>Date Searched:</t>
  </si>
  <si>
    <t>Qualifier Definition</t>
  </si>
  <si>
    <r>
      <rPr>
        <b/>
        <sz val="10"/>
        <color rgb="FF000000"/>
        <rFont val="Arial"/>
        <family val="2"/>
      </rPr>
      <t>E</t>
    </r>
    <r>
      <rPr>
        <b/>
        <sz val="10"/>
        <color rgb="FF000000"/>
        <rFont val="Arial"/>
        <family val="2"/>
      </rPr>
      <t xml:space="preserve"> - </t>
    </r>
  </si>
  <si>
    <t>Reported result is an estimate because it exceeded the calibration range.</t>
  </si>
  <si>
    <r>
      <rPr>
        <b/>
        <sz val="10"/>
        <color rgb="FF000000"/>
        <rFont val="Arial"/>
        <family val="2"/>
      </rPr>
      <t>J</t>
    </r>
    <r>
      <rPr>
        <b/>
        <sz val="10"/>
        <color rgb="FF000000"/>
        <rFont val="Arial"/>
        <family val="2"/>
      </rPr>
      <t xml:space="preserve"> - </t>
    </r>
  </si>
  <si>
    <t>Analyte was positively identified. The reported result is an estimate.</t>
  </si>
  <si>
    <r>
      <rPr>
        <b/>
        <sz val="10"/>
        <color rgb="FF000000"/>
        <rFont val="Arial"/>
        <family val="2"/>
      </rPr>
      <t>N</t>
    </r>
    <r>
      <rPr>
        <b/>
        <sz val="10"/>
        <color rgb="FF000000"/>
        <rFont val="Arial"/>
        <family val="2"/>
      </rPr>
      <t xml:space="preserve"> - </t>
    </r>
  </si>
  <si>
    <t>The analyte was tentatively identified in the sample, at the result value reported.</t>
  </si>
  <si>
    <r>
      <rPr>
        <b/>
        <sz val="10"/>
        <color rgb="FF000000"/>
        <rFont val="Arial"/>
        <family val="2"/>
      </rPr>
      <t>NJ</t>
    </r>
    <r>
      <rPr>
        <b/>
        <sz val="10"/>
        <color rgb="FF000000"/>
        <rFont val="Arial"/>
        <family val="2"/>
      </rPr>
      <t xml:space="preserve"> - </t>
    </r>
  </si>
  <si>
    <t>The analyte was tentatively identified in the sample but the result value reported is an estimate.</t>
  </si>
  <si>
    <r>
      <rPr>
        <b/>
        <sz val="10"/>
        <color rgb="FF000000"/>
        <rFont val="Arial"/>
        <family val="2"/>
      </rPr>
      <t>REJ</t>
    </r>
    <r>
      <rPr>
        <b/>
        <sz val="10"/>
        <color rgb="FF000000"/>
        <rFont val="Arial"/>
        <family val="2"/>
      </rPr>
      <t xml:space="preserve"> - </t>
    </r>
  </si>
  <si>
    <t>The sample result was rejected due to serious deficiencies in the ability to analyze the sample, meet quality control criteria or other technical reason. The presence or absence of the analyte cannot be verified.</t>
  </si>
  <si>
    <r>
      <rPr>
        <b/>
        <sz val="10"/>
        <color rgb="FF000000"/>
        <rFont val="Arial"/>
        <family val="2"/>
      </rPr>
      <t>U</t>
    </r>
    <r>
      <rPr>
        <b/>
        <sz val="10"/>
        <color rgb="FF000000"/>
        <rFont val="Arial"/>
        <family val="2"/>
      </rPr>
      <t xml:space="preserve"> - </t>
    </r>
  </si>
  <si>
    <t>Analyte was not detected above the method reporting limit.</t>
  </si>
  <si>
    <r>
      <rPr>
        <b/>
        <sz val="10"/>
        <color rgb="FF000000"/>
        <rFont val="Arial"/>
        <family val="2"/>
      </rPr>
      <t>UJ</t>
    </r>
    <r>
      <rPr>
        <b/>
        <sz val="10"/>
        <color rgb="FF000000"/>
        <rFont val="Arial"/>
        <family val="2"/>
      </rPr>
      <t xml:space="preserve"> - </t>
    </r>
  </si>
  <si>
    <t>Analyte was not detected above the reporting limit.  However, the reporting limit is an estimated value.</t>
  </si>
  <si>
    <t>Detail</t>
  </si>
  <si>
    <t>Chemical</t>
  </si>
  <si>
    <t>Product Description</t>
  </si>
  <si>
    <t>Component Description</t>
  </si>
  <si>
    <t xml:space="preserve">Component Material </t>
  </si>
  <si>
    <t xml:space="preserve">Brand </t>
  </si>
  <si>
    <t xml:space="preserve">Store </t>
  </si>
  <si>
    <t>Analysis Value</t>
  </si>
  <si>
    <t xml:space="preserve">Qualifier </t>
  </si>
  <si>
    <t xml:space="preserve">Analysis Method </t>
  </si>
  <si>
    <t>Lab Pre Treatment Method Code</t>
  </si>
  <si>
    <t>Lab Pre Treatment Method Description</t>
  </si>
  <si>
    <t>Lab Pre Treatment Date</t>
  </si>
  <si>
    <t>Extraction Method</t>
  </si>
  <si>
    <t>Quantitation Limit</t>
  </si>
  <si>
    <t>Summary</t>
  </si>
  <si>
    <t>View</t>
  </si>
  <si>
    <t>Butyl benzyl phthalate</t>
  </si>
  <si>
    <t>85-68-7</t>
  </si>
  <si>
    <t>Old ID: FM023-a00, little people in plastic balls</t>
  </si>
  <si>
    <t>Old ID: FM023-p01, colored plastic package</t>
  </si>
  <si>
    <t>Historical Record - material was not recorded</t>
  </si>
  <si>
    <t>squinkies</t>
  </si>
  <si>
    <t>Fred Meyer</t>
  </si>
  <si>
    <t>CPSC-CH-C1001-09.3</t>
  </si>
  <si>
    <t>8.82</t>
  </si>
  <si>
    <t>mg/Kg</t>
  </si>
  <si>
    <t>Packaging</t>
  </si>
  <si>
    <t>Group</t>
  </si>
  <si>
    <t xml:space="preserve">Min ppm </t>
  </si>
  <si>
    <t xml:space="preserve">averages ppm </t>
  </si>
  <si>
    <t xml:space="preserve">max ppm </t>
  </si>
  <si>
    <t>Old ID: FM031-a00, mini wiffle balls</t>
  </si>
  <si>
    <t>Old ID: FM031-p01, Clear plastic pouch</t>
  </si>
  <si>
    <t>Franklin</t>
  </si>
  <si>
    <t>8.21</t>
  </si>
  <si>
    <t>vinyl liner</t>
  </si>
  <si>
    <t>Old ID: SK005-a00, rawhide dog treats</t>
  </si>
  <si>
    <t>Old ID: SK005-p01, Clear plastic pouch</t>
  </si>
  <si>
    <t>American Kennel Club</t>
  </si>
  <si>
    <t>Shopko</t>
  </si>
  <si>
    <t>10.4</t>
  </si>
  <si>
    <t>clothing (exterior)</t>
  </si>
  <si>
    <t>Old ID: SK006-a00, Disney princess bouncy ball paddle</t>
  </si>
  <si>
    <t>Old ID: SK006-p01, clear front of pouch</t>
  </si>
  <si>
    <t>Disney</t>
  </si>
  <si>
    <t>7.55</t>
  </si>
  <si>
    <t>footwear</t>
  </si>
  <si>
    <t>Old ID: SK012-a00, smoked two tone pork hide knotted bones</t>
  </si>
  <si>
    <t>Old ID: SK012-p01, Clear plastic pouch</t>
  </si>
  <si>
    <t>420</t>
  </si>
  <si>
    <t>packaging</t>
  </si>
  <si>
    <t>Old ID: SK015-a00, Green Apple Body Care Bag, shower gel, body lotion body mist, lufa</t>
  </si>
  <si>
    <t>Old ID: SK015-p01, Plastic zipper bag</t>
  </si>
  <si>
    <t>Synthetic Polymers - Plastic</t>
  </si>
  <si>
    <t>body bath etc</t>
  </si>
  <si>
    <t>6.88</t>
  </si>
  <si>
    <t>Plastic bag/pouch</t>
  </si>
  <si>
    <t>Old ID: SK016-a00, purple makeup bag</t>
  </si>
  <si>
    <t>Old ID: SK016-p01, purple makeup bag side, clear plastic</t>
  </si>
  <si>
    <t xml:space="preserve">modella </t>
  </si>
  <si>
    <t>8.33</t>
  </si>
  <si>
    <t>Old ID: CL002-a00, Princess lip gloss/nail polish</t>
  </si>
  <si>
    <t>Old ID: CL002-b01, pink part of bag</t>
  </si>
  <si>
    <t>Claire's</t>
  </si>
  <si>
    <t>9.62</t>
  </si>
  <si>
    <t>Old ID: CL002-b03, pink plastic edging from bag</t>
  </si>
  <si>
    <t>9.56</t>
  </si>
  <si>
    <t>Old ID: ON003-a00, Baby Sandals</t>
  </si>
  <si>
    <t>Old ID: ON003-c01, Orange bottom of sandal</t>
  </si>
  <si>
    <t>Old Navy</t>
  </si>
  <si>
    <t>9.25</t>
  </si>
  <si>
    <t>Old ID: WM019-a00, squirty bath toys</t>
  </si>
  <si>
    <t>Old ID: WM019-p02, blue structural liner from bottom of bag</t>
  </si>
  <si>
    <t>Garanimals</t>
  </si>
  <si>
    <t>Walmart</t>
  </si>
  <si>
    <t>10.1</t>
  </si>
  <si>
    <t>Green Magic Cover</t>
  </si>
  <si>
    <t>Green Magic Cover- Green material</t>
  </si>
  <si>
    <t>Magic Cover</t>
  </si>
  <si>
    <t>Dollar Tree</t>
  </si>
  <si>
    <t>SW8270D</t>
  </si>
  <si>
    <t>ORIGINAL</t>
  </si>
  <si>
    <t>Sample was not reduced in size.</t>
  </si>
  <si>
    <t>SW3546</t>
  </si>
  <si>
    <t>23</t>
  </si>
  <si>
    <t>Eric Carle Polar Bear Pajamas</t>
  </si>
  <si>
    <t>Eric Carle Polar Bear Pajamas - Print on Shirt</t>
  </si>
  <si>
    <t>Surface coatings (paints, plating, waterproofing etc.)</t>
  </si>
  <si>
    <t>Gymboree</t>
  </si>
  <si>
    <t>NJ</t>
  </si>
  <si>
    <t>4.1</t>
  </si>
  <si>
    <t>Old ID: TG000-a00, 2 pacifier set</t>
  </si>
  <si>
    <t>Old ID: TG000-c01, pink pacifier material</t>
  </si>
  <si>
    <t>Nuk</t>
  </si>
  <si>
    <t>Target</t>
  </si>
  <si>
    <t>U</t>
  </si>
  <si>
    <t>9.65</t>
  </si>
  <si>
    <t>Old ID: TG006-a00, hooded towel</t>
  </si>
  <si>
    <t>Old ID: TG006-p01, Clear plastic pouch</t>
  </si>
  <si>
    <t>Circo</t>
  </si>
  <si>
    <t>9.78</t>
  </si>
  <si>
    <t>Old ID: TG008-a00, easy squeeze spoon</t>
  </si>
  <si>
    <t>Old ID: TG008-c05, flexible blue bottle</t>
  </si>
  <si>
    <t>Munchkin</t>
  </si>
  <si>
    <t>10.3</t>
  </si>
  <si>
    <t>Old ID: TG008-p01, clear blister plastic packaging</t>
  </si>
  <si>
    <t>7.18</t>
  </si>
  <si>
    <t>Old ID: TG009-a00, assorted baby spoons</t>
  </si>
  <si>
    <t>Old ID: TG009-c01, soft scoopy part of spoon</t>
  </si>
  <si>
    <t>tommee tippee/explora</t>
  </si>
  <si>
    <t>8.74</t>
  </si>
  <si>
    <t>Old ID: TG010-a00, 2 pacifier set - Avent</t>
  </si>
  <si>
    <t>Old ID: TG010-c01, green pacifier</t>
  </si>
  <si>
    <t>Avent</t>
  </si>
  <si>
    <t>9.9</t>
  </si>
  <si>
    <t>Old ID: TG012-a00, 2 teething rings</t>
  </si>
  <si>
    <t>Old ID: TG012-c01, yellow teething ring, chopped up and phthalate sample taken</t>
  </si>
  <si>
    <t>7.98</t>
  </si>
  <si>
    <t>Old ID: TG013-a00, contact nipple shield</t>
  </si>
  <si>
    <t>Old ID: TG013-c01, nipple material</t>
  </si>
  <si>
    <t>medela</t>
  </si>
  <si>
    <t>12.2</t>
  </si>
  <si>
    <t>Old ID: TG014-a00, wide base nipples</t>
  </si>
  <si>
    <t>Old ID: TG014-c01, nipple material</t>
  </si>
  <si>
    <t>9.57</t>
  </si>
  <si>
    <t>Old ID: TG016-a00, teething rings</t>
  </si>
  <si>
    <t>Old ID: TG016-c01, red teething ring</t>
  </si>
  <si>
    <t>Bright Starts</t>
  </si>
  <si>
    <t>8.18</t>
  </si>
  <si>
    <t>Old ID: TG017-a00, ernie book</t>
  </si>
  <si>
    <t>Old ID: TG017-c01, book page</t>
  </si>
  <si>
    <t>Sesame Street</t>
  </si>
  <si>
    <t>8</t>
  </si>
  <si>
    <t>Old ID: TG018-a00, 2 pacifier set</t>
  </si>
  <si>
    <t>Old ID: TG018-c01, nipples</t>
  </si>
  <si>
    <t>mam</t>
  </si>
  <si>
    <t>7.99</t>
  </si>
  <si>
    <t>Old ID: TG021-a00, bath book</t>
  </si>
  <si>
    <t>Old ID: TG021-c01, plastic page of book</t>
  </si>
  <si>
    <t>8.84</t>
  </si>
  <si>
    <t>Old ID: TG021-p01, plastic pouch</t>
  </si>
  <si>
    <t>8.38</t>
  </si>
  <si>
    <t>Old ID: TG022-a00, assorted Play-Doh</t>
  </si>
  <si>
    <t>Old ID: TG022-c01, Yellow Dough</t>
  </si>
  <si>
    <t>Play-Doh</t>
  </si>
  <si>
    <t>Old ID: TG022-p01, flexible plastic bag</t>
  </si>
  <si>
    <t>9.08</t>
  </si>
  <si>
    <t>Old ID: TG058-a00, Body mist</t>
  </si>
  <si>
    <t>Old ID: TG058-c01, Body mist</t>
  </si>
  <si>
    <t>Curious Britney Spears</t>
  </si>
  <si>
    <t>93.6</t>
  </si>
  <si>
    <t>Old ID: TG059-a00, detangling spray - double dutch apple</t>
  </si>
  <si>
    <t>Old ID: TG059-c01, detangling spray - double dutch apple</t>
  </si>
  <si>
    <t>Suave Kids</t>
  </si>
  <si>
    <t>7.64</t>
  </si>
  <si>
    <t>Old ID: TG060-a00, Bubble Bath</t>
  </si>
  <si>
    <t>Old ID: TG060-c01, Bubble Bath</t>
  </si>
  <si>
    <t>Mr. Bubble</t>
  </si>
  <si>
    <t>9.46</t>
  </si>
  <si>
    <t>Old ID: TG061-a00, 3 in 1 shampoo conditioner body wash wacky melon</t>
  </si>
  <si>
    <t>Old ID: TG061-c01, 3 in 1 shampoo conditioner body wash wacky melon</t>
  </si>
  <si>
    <t>9.37</t>
  </si>
  <si>
    <t>Old ID: TG062-a00, Body Wash - Vanilla Swirl</t>
  </si>
  <si>
    <t>Old ID: TG062-c01, Body Wash - Vanilla Swirl</t>
  </si>
  <si>
    <t>7.45</t>
  </si>
  <si>
    <t>Old ID: TG063-a00, Bubble Bath Sweet Strawberry</t>
  </si>
  <si>
    <t>Old ID: TG063-c01, Bubble Bath Sweet Strawberry</t>
  </si>
  <si>
    <t>Hello Kitty</t>
  </si>
  <si>
    <t>9.15</t>
  </si>
  <si>
    <t>Old ID: TG064-a00, 2 in 1 conditioning detangler</t>
  </si>
  <si>
    <t>Old ID: TG064-c01, 2 in 1 conditioning detangler</t>
  </si>
  <si>
    <t>Soft and Beautiful Just for Me</t>
  </si>
  <si>
    <t>7.77</t>
  </si>
  <si>
    <t>Old ID: TG065-a00, Most Wanted fragrance body spray</t>
  </si>
  <si>
    <t>Old ID: TG065-c01, Most Wanted fragrance body spray</t>
  </si>
  <si>
    <t>Bod man</t>
  </si>
  <si>
    <t>9.1</t>
  </si>
  <si>
    <t>Old ID: TG066-a00, strawberry body wash</t>
  </si>
  <si>
    <t>Old ID: TG066-c01, strawberry body wash</t>
  </si>
  <si>
    <t>10.5</t>
  </si>
  <si>
    <t>Old ID: TG067-a00, Someday by Justin Bieber eau de parfum spray</t>
  </si>
  <si>
    <t>Old ID: TG067-c01, Someday by Justin Bieber eau de parfum spray</t>
  </si>
  <si>
    <t>Someday by Justin Bieber</t>
  </si>
  <si>
    <t>9.82</t>
  </si>
  <si>
    <t>Old ID: AM000-a00, Natural Rubber Toothing Giraffe</t>
  </si>
  <si>
    <t>Old ID: AM000-c01, Natural Rubber Toothing Giraffe</t>
  </si>
  <si>
    <t>Vulli</t>
  </si>
  <si>
    <t>9.87</t>
  </si>
  <si>
    <t>Old ID: AM003-a00, Soft baby toothbrush teether</t>
  </si>
  <si>
    <t>Old ID: AM003-c01, Soft baby toothbrush teether</t>
  </si>
  <si>
    <t>Live-Right</t>
  </si>
  <si>
    <t>8.37</t>
  </si>
  <si>
    <t>Old ID: AM004-a00, Bumpy raspberry teething pacifier</t>
  </si>
  <si>
    <t>Old ID: AM004-c01, nipple portion</t>
  </si>
  <si>
    <t>Raz Baby</t>
  </si>
  <si>
    <t>8.81</t>
  </si>
  <si>
    <t>Old ID: AM004-c02, shielding portion</t>
  </si>
  <si>
    <t>9.13</t>
  </si>
  <si>
    <t>Old ID: AM005-a00, Baby tooth brush</t>
  </si>
  <si>
    <t>Old ID: AM005-c01, Baby tooth brush</t>
  </si>
  <si>
    <t>Baby Buddy</t>
  </si>
  <si>
    <t>9.03</t>
  </si>
  <si>
    <t>Old ID: AM036-a00, ooey gooey glow-in-dark jellyfish</t>
  </si>
  <si>
    <t>Old ID: AM036-c01, clear flexible plastic body (in plastic bag)</t>
  </si>
  <si>
    <t>Club Earth</t>
  </si>
  <si>
    <t>4.6</t>
  </si>
  <si>
    <t>Old ID: FM000-a00, floating stars teether</t>
  </si>
  <si>
    <t>Old ID: FM000-c01, outer soft clear plastic</t>
  </si>
  <si>
    <t>Learning Curve</t>
  </si>
  <si>
    <t>8.12</t>
  </si>
  <si>
    <t>Old ID: FM001-a00, blue teething ring</t>
  </si>
  <si>
    <t>Old ID: FM001-c01, blue teething ring plastic</t>
  </si>
  <si>
    <t>Comforts</t>
  </si>
  <si>
    <t>9.01</t>
  </si>
  <si>
    <t>Old ID: FM003-a00, scented neon nail polish set</t>
  </si>
  <si>
    <t>Old ID: FM003-c01, mix of nail polishes</t>
  </si>
  <si>
    <t>simple pleasures</t>
  </si>
  <si>
    <t>8.31</t>
  </si>
  <si>
    <t>Old ID: FM010-a00, 2 pacifier set</t>
  </si>
  <si>
    <t>Old ID: FM010-c01, pacifier nipple</t>
  </si>
  <si>
    <t>9.63</t>
  </si>
  <si>
    <t>Old ID: FM012-a00, Ginormous Grow Frog</t>
  </si>
  <si>
    <t>Old ID: FM012-p01, Clear plastic pouch</t>
  </si>
  <si>
    <t>Toysmith</t>
  </si>
  <si>
    <t>10.9</t>
  </si>
  <si>
    <t>Old ID: FM013-a00, 3 wiffle balls</t>
  </si>
  <si>
    <t>Old ID: FM013-p01, Flexible plastic bag</t>
  </si>
  <si>
    <t>10</t>
  </si>
  <si>
    <t>Old ID: FM014-a00, orange glow necklace</t>
  </si>
  <si>
    <t>Old ID: FM014-p01, foil portion of package</t>
  </si>
  <si>
    <t>Imperial</t>
  </si>
  <si>
    <t>8.35</t>
  </si>
  <si>
    <t>Old ID: FM015-a00, 35 toy soldiers</t>
  </si>
  <si>
    <t>Old ID: FM015-p01, Clear plastic pouch</t>
  </si>
  <si>
    <t>Old ID: FM016-a00, Squishy squirty fish</t>
  </si>
  <si>
    <t>Old ID: FM016-c01, green fish</t>
  </si>
  <si>
    <t>Ja-Ru</t>
  </si>
  <si>
    <t>Old ID: FM016-p01, Clear plastic pouch</t>
  </si>
  <si>
    <t>9.6</t>
  </si>
  <si>
    <t>Old ID: FM017-a00, nerf ammunition</t>
  </si>
  <si>
    <t>Old ID: FM017-p01, Clear plastic pouch</t>
  </si>
  <si>
    <t>Nerf</t>
  </si>
  <si>
    <t>9.69</t>
  </si>
  <si>
    <t>Old ID: FM018-a00, paint roller</t>
  </si>
  <si>
    <t>Old ID: FM018-p01, Clear plastic pouch</t>
  </si>
  <si>
    <t>perfect touch</t>
  </si>
  <si>
    <t>8.42</t>
  </si>
  <si>
    <t>Old ID: FM020-a00, Peanut butter tennis balls (2)</t>
  </si>
  <si>
    <t>Old ID: FM020-p01, Clear plastic pouch</t>
  </si>
  <si>
    <t>Petsport USA</t>
  </si>
  <si>
    <t>8.4</t>
  </si>
  <si>
    <t>Old ID: FM024-a00, glow in the dark plastic bugs</t>
  </si>
  <si>
    <t>Old ID: FM024-p01, Clear plastic pouch</t>
  </si>
  <si>
    <t>Old ID: FM025-a00, whoopee cushion</t>
  </si>
  <si>
    <t>Old ID: FM025-p01, Clear plastic pouch</t>
  </si>
  <si>
    <t>Old ID: FM026-a00, waterproof pouches</t>
  </si>
  <si>
    <t>Old ID: FM026-p01, Clear plastic packaging pouch</t>
  </si>
  <si>
    <t>Coleman</t>
  </si>
  <si>
    <t>8.3</t>
  </si>
  <si>
    <t>Old ID: FM026-p02, Opaque plastic waterproof pouch</t>
  </si>
  <si>
    <t>Old ID: FM027-a00, plastic farm animals</t>
  </si>
  <si>
    <t>Old ID: FM027-p01, Clear plastic pouch</t>
  </si>
  <si>
    <t>Old ID: FM028-a00, Play-Doh animal  bag</t>
  </si>
  <si>
    <t>Old ID: FM028-p01, red plastic part of bag</t>
  </si>
  <si>
    <t>8.51</t>
  </si>
  <si>
    <t>Old ID: FM028-p02, yellow plastic part of bag</t>
  </si>
  <si>
    <t>8.46</t>
  </si>
  <si>
    <t>Old ID: FM028-p03, clear plastic part of bag</t>
  </si>
  <si>
    <t>8.59</t>
  </si>
  <si>
    <t>Old ID: FM029-a00, paint roller</t>
  </si>
  <si>
    <t>Old ID: FM029-p01, paint roller</t>
  </si>
  <si>
    <t>8.77</t>
  </si>
  <si>
    <t>Old ID: FM030-a00, Pink plastic recorder</t>
  </si>
  <si>
    <t>Old ID: FM030-p01, Clear plastic pouch</t>
  </si>
  <si>
    <t>8.96</t>
  </si>
  <si>
    <t>Old ID: FM033-a00, nerf gun darts</t>
  </si>
  <si>
    <t>Old ID: FM033-p01, Clear plastic pouch</t>
  </si>
  <si>
    <t>Old ID: FM035-a00, Tablecloth clamps</t>
  </si>
  <si>
    <t>Old ID: FM035-p01, Clear plastic pouch</t>
  </si>
  <si>
    <t>Coghlan's</t>
  </si>
  <si>
    <t>9.34</t>
  </si>
  <si>
    <t>Old ID: FM036-a00, green lantern kite</t>
  </si>
  <si>
    <t>Old ID: FM036-p01, colored plastic package</t>
  </si>
  <si>
    <t>x kites</t>
  </si>
  <si>
    <t>9.48</t>
  </si>
  <si>
    <t>Old ID: FM036-p02, foil portion of package</t>
  </si>
  <si>
    <t>8.09</t>
  </si>
  <si>
    <t>Old ID: FM037-a00, Beach/Sand toys</t>
  </si>
  <si>
    <t>Old ID: FM037-p01, Plastic zipper bag</t>
  </si>
  <si>
    <t>Amloid</t>
  </si>
  <si>
    <t>8.64</t>
  </si>
  <si>
    <t>9.41</t>
  </si>
  <si>
    <t>Old ID: SK001-a00, wow rackets, 2 rackets with ball and birdy</t>
  </si>
  <si>
    <t>Old ID: SK001-p01, plastic bag</t>
  </si>
  <si>
    <t>Alex</t>
  </si>
  <si>
    <t>8.56</t>
  </si>
  <si>
    <t>9.23</t>
  </si>
  <si>
    <t>Old ID: SK002-a00, turquoise teenage curtain</t>
  </si>
  <si>
    <t>Old ID: SK002-p01, Clear plastic pouch</t>
  </si>
  <si>
    <t>studio a</t>
  </si>
  <si>
    <t>9.35</t>
  </si>
  <si>
    <t>Old ID: SK003-a00, khaki curtain</t>
  </si>
  <si>
    <t>Old ID: SK003-p01, Clear plastic pouch</t>
  </si>
  <si>
    <t>north crest home</t>
  </si>
  <si>
    <t>9.4</t>
  </si>
  <si>
    <t xml:space="preserve">Old ID: SK004-a00, white sleep mask </t>
  </si>
  <si>
    <t>Old ID: SK004-p01, Clear plastic pouch</t>
  </si>
  <si>
    <t>elizabeth'spa</t>
  </si>
  <si>
    <t>6.93</t>
  </si>
  <si>
    <t>Old ID: SK006-p02, white back of pouch</t>
  </si>
  <si>
    <t>7.85</t>
  </si>
  <si>
    <t>Old ID: SK007-a00, Twistable crayons, 24</t>
  </si>
  <si>
    <t>Old ID: SK007-p01, Clear plastic pouch</t>
  </si>
  <si>
    <t>Crayola</t>
  </si>
  <si>
    <t>Old ID: SK009-a00, Elmer's washable, no run school glue</t>
  </si>
  <si>
    <t>Old ID: SK009-b01, bottle</t>
  </si>
  <si>
    <t>Elmer's</t>
  </si>
  <si>
    <t>8.63</t>
  </si>
  <si>
    <t>Old ID: SK011-a00, Blobby Robby Junior</t>
  </si>
  <si>
    <t>Old ID: SK011-p01, Clear plastic pouch</t>
  </si>
  <si>
    <t>8.55</t>
  </si>
  <si>
    <t>Old ID: SK013-a00, Pillow protector</t>
  </si>
  <si>
    <t>Old ID: SK013-p01, Clear plastic pouch</t>
  </si>
  <si>
    <t>Old ID: SK014-a00, Pillow protector</t>
  </si>
  <si>
    <t>Old ID: SK014-p01, Plastic clear pouch</t>
  </si>
  <si>
    <t>9.55</t>
  </si>
  <si>
    <t>Old ID: SK015-a00, Green Apple Body Care Bag, shower gel, body lotion body mist, luffa</t>
  </si>
  <si>
    <t>Old ID: SK015-b01, lotion tube</t>
  </si>
  <si>
    <t>8.71</t>
  </si>
  <si>
    <t>8.85</t>
  </si>
  <si>
    <t>Old ID: SK017-a00, pink/purple polka dot bag</t>
  </si>
  <si>
    <t>Old ID: SK017-p01, pink/purple polka dot bag side fabric</t>
  </si>
  <si>
    <t>Old ID: SK019-a00, 12 roll-on lip glosses</t>
  </si>
  <si>
    <t>Old ID: SK019-c01, Gloss Composite</t>
  </si>
  <si>
    <t>Expressions Girl</t>
  </si>
  <si>
    <t>Old ID: SK019-c02, Flexible plastic</t>
  </si>
  <si>
    <t>8.94</t>
  </si>
  <si>
    <t>Old ID: SK019-c03, Zipper pull</t>
  </si>
  <si>
    <t>9.36</t>
  </si>
  <si>
    <t>Old ID: SK021-a00, Elephant Nose</t>
  </si>
  <si>
    <t>Old ID: SK021-c01, Elephant Nose</t>
  </si>
  <si>
    <t>Disguise Nose'n around</t>
  </si>
  <si>
    <t>9.3</t>
  </si>
  <si>
    <t>Old ID: CL002-b02, zipper pull from bag</t>
  </si>
  <si>
    <t>3.55</t>
  </si>
  <si>
    <t>Old ID: CL003-a00, Nerds scented nail polish pack</t>
  </si>
  <si>
    <t>Old ID: CL003-c01, mix of nail polishes</t>
  </si>
  <si>
    <t>Nerds</t>
  </si>
  <si>
    <t>5.83</t>
  </si>
  <si>
    <t>Old ID: CL004-a00, Hello Kitty Nail Polish Pack</t>
  </si>
  <si>
    <t>Old ID: CL004-p01, Vinyl-seeming clear plastic pouch</t>
  </si>
  <si>
    <t>Old ID: CL007-a00, Claire's make up pack</t>
  </si>
  <si>
    <t>Old ID: CL007-b01, zipper pull from box</t>
  </si>
  <si>
    <t>Best Friends</t>
  </si>
  <si>
    <t>Old ID: CL008-a00, Claires Pink Coin Purse</t>
  </si>
  <si>
    <t>Old ID: CL008-b02, pink flexible purse material</t>
  </si>
  <si>
    <t>7.52</t>
  </si>
  <si>
    <t>Old ID: DT000-a00, 3 pack silicone nipples</t>
  </si>
  <si>
    <t>Old ID: DT000-c01, nipple material</t>
  </si>
  <si>
    <t>8.17</t>
  </si>
  <si>
    <t>Old ID: DT002-a00, scrub-bubble bath book</t>
  </si>
  <si>
    <t>Old ID: DT002-c01, plastic page of book</t>
  </si>
  <si>
    <t>Old ID: DT005-a00, disposable baby bibs</t>
  </si>
  <si>
    <t>Old ID: DT005-c01, portion of bib</t>
  </si>
  <si>
    <t>Old ID: DT006-a00, Colored moldable "play" dough</t>
  </si>
  <si>
    <t>Old ID: DT006-c01, Red Dough</t>
  </si>
  <si>
    <t>Dough</t>
  </si>
  <si>
    <t>7.8</t>
  </si>
  <si>
    <t>Old ID: DT006-c02, Yellow Dough</t>
  </si>
  <si>
    <t>Old ID: DT011-a00, body "splash" (body spray)</t>
  </si>
  <si>
    <t>Old ID: DT011-c01, body spray liquid</t>
  </si>
  <si>
    <t>Sweet Berry Kiss</t>
  </si>
  <si>
    <t>8.66</t>
  </si>
  <si>
    <t>Old ID: DT017-a00, 3 pack of bubble solution</t>
  </si>
  <si>
    <t>Old ID: DT017-p01, Clear plastic pouch</t>
  </si>
  <si>
    <t>Bubble Fun</t>
  </si>
  <si>
    <t>11.5</t>
  </si>
  <si>
    <t>Old ID: DT019-a00, mouse traps</t>
  </si>
  <si>
    <t>Old ID: DT019-p01, Clear plastic pouch</t>
  </si>
  <si>
    <t>pic</t>
  </si>
  <si>
    <t>9.73</t>
  </si>
  <si>
    <t>Old ID: DT020-a00, eyeglass cleaning cloth</t>
  </si>
  <si>
    <t>Old ID: DT020-p01, Clear plastic pouch</t>
  </si>
  <si>
    <t>9.47</t>
  </si>
  <si>
    <t>Old ID: DT022-a00, v05 herbal escapes clarifying conditioner</t>
  </si>
  <si>
    <t>Old ID: DT022-p01, bottle</t>
  </si>
  <si>
    <t>v05</t>
  </si>
  <si>
    <t>44.7</t>
  </si>
  <si>
    <t>Old ID: DT024-a00, bungee cords</t>
  </si>
  <si>
    <t>Old ID: DT024-p01, Clear plastic pouch</t>
  </si>
  <si>
    <t>Tool Bench</t>
  </si>
  <si>
    <t>9.8</t>
  </si>
  <si>
    <t>Old ID: DT025-a00, cherry body lotion and scent</t>
  </si>
  <si>
    <t>Old ID: DT025-p01, Clear plastic pouch</t>
  </si>
  <si>
    <t>Old ID: DT026-a00, plastic snakes</t>
  </si>
  <si>
    <t>Old ID: DT026-p01, Clear plastic pouch</t>
  </si>
  <si>
    <t>Favors</t>
  </si>
  <si>
    <t>9.72</t>
  </si>
  <si>
    <t>Old ID: DT028-a00, yellow rubber gloves</t>
  </si>
  <si>
    <t>Old ID: DT028-p01, plastic pouch</t>
  </si>
  <si>
    <t>scrub buddies</t>
  </si>
  <si>
    <t>Old ID: DT029-a00, super molding compound, looks like styrofoam</t>
  </si>
  <si>
    <t>Old ID: DT029-p01, clear plastic cup sides</t>
  </si>
  <si>
    <t>gazz-it</t>
  </si>
  <si>
    <t>8.93</t>
  </si>
  <si>
    <t>Old ID: DT030-a00, Makeup brush</t>
  </si>
  <si>
    <t>Old ID: DT030-p01, Clear plastic pouch</t>
  </si>
  <si>
    <t>Diamond Cosmetics</t>
  </si>
  <si>
    <t>Old ID: DT031-a00, eyebrow razors, 2</t>
  </si>
  <si>
    <t>Old ID: DT031-p01, plastic pouch</t>
  </si>
  <si>
    <t>Donna Michelle Salon Basics</t>
  </si>
  <si>
    <t>Old ID: DT032-a00, angel tip eyeshadow brush</t>
  </si>
  <si>
    <t>Old ID: DT032-p01, Clear plastic pouch</t>
  </si>
  <si>
    <t>studio basics</t>
  </si>
  <si>
    <t>8.43</t>
  </si>
  <si>
    <t>Old ID: DT033-a00, Bedtime Baby Cream</t>
  </si>
  <si>
    <t>Old ID: DT033-b01, tube portion</t>
  </si>
  <si>
    <t>Angel of Mine</t>
  </si>
  <si>
    <t>8.8</t>
  </si>
  <si>
    <t>Old ID: DT034-a00, yellow vinyl basket</t>
  </si>
  <si>
    <t>Old ID: DT034-p01, Yellow vinyl side of basket</t>
  </si>
  <si>
    <t>8.15</t>
  </si>
  <si>
    <t>Old ID: DT035-a00, 20 washable markers</t>
  </si>
  <si>
    <t>Old ID: DT035-p01, Clear plastic pouch</t>
  </si>
  <si>
    <t>Old ID: DT036-a00, Baseball set, bases</t>
  </si>
  <si>
    <t>Old ID: DT036-p01, Clear plastic pouch</t>
  </si>
  <si>
    <t>Old ID: GP000-a00, Baby gap Egyptian turquoise sandals</t>
  </si>
  <si>
    <t>Old ID: GP000-c02, blue plastic sandal</t>
  </si>
  <si>
    <t>baby Gap</t>
  </si>
  <si>
    <t>Gap</t>
  </si>
  <si>
    <t>7.89</t>
  </si>
  <si>
    <t>Old ID: JN000-a00, White Nike Tennis Shoes and bib</t>
  </si>
  <si>
    <t>Old ID: JN000-c01, Outer material of shoe (phthalates)</t>
  </si>
  <si>
    <t>Nike</t>
  </si>
  <si>
    <t>Journeys</t>
  </si>
  <si>
    <t>Old ID: JN000-c03, shoe insert</t>
  </si>
  <si>
    <t>9.7</t>
  </si>
  <si>
    <t>Old ID: JN001-a00, Puma/Ferrari Tennis Shoes</t>
  </si>
  <si>
    <t>Old ID: JN001-c01, outer shoe material</t>
  </si>
  <si>
    <t>puma</t>
  </si>
  <si>
    <t>8.62</t>
  </si>
  <si>
    <t>Old ID: JN001-p01, clear plastic case</t>
  </si>
  <si>
    <t>9.38</t>
  </si>
  <si>
    <t>Old ID: MC001-a00, eau de parfum spray and body lotion</t>
  </si>
  <si>
    <t>Old ID: MC001-c01, eau de parfum sprays</t>
  </si>
  <si>
    <t>Viva La Juicy Juicy Couture</t>
  </si>
  <si>
    <t>Macy's</t>
  </si>
  <si>
    <t>8.58</t>
  </si>
  <si>
    <t>Old ID: MC001-c02, body lotion</t>
  </si>
  <si>
    <t>9.09</t>
  </si>
  <si>
    <t>Old ID: ON003-c02, Thong portion of sandal</t>
  </si>
  <si>
    <t>Old ID: ON004-a00, Yellow baby mud boots</t>
  </si>
  <si>
    <t>Old ID: ON004-c01, yellow side of boot</t>
  </si>
  <si>
    <t>7.57</t>
  </si>
  <si>
    <t>Old ID: ON004-c04, insole</t>
  </si>
  <si>
    <t>Old ID: PF000-a00, Perfume and Body Wash</t>
  </si>
  <si>
    <t>Old ID: PF000-c01, Body Wash</t>
  </si>
  <si>
    <t>Nickelodeon SpongeBob  square pants</t>
  </si>
  <si>
    <t>Perfumania</t>
  </si>
  <si>
    <t>8.44</t>
  </si>
  <si>
    <t>Old ID: PF000-c02, Perfume</t>
  </si>
  <si>
    <t>9.27</t>
  </si>
  <si>
    <t>Old ID: PF001-a00, Eau de toilette</t>
  </si>
  <si>
    <t>Old ID: PF001-c01, Eau de toilette</t>
  </si>
  <si>
    <t>Toy Story 3</t>
  </si>
  <si>
    <t>9.29</t>
  </si>
  <si>
    <t>Old ID: PF002-a00, Eau de toilette and body lotion</t>
  </si>
  <si>
    <t>Old ID: PF002-c01, Eau de toilette</t>
  </si>
  <si>
    <t>Disney Princess</t>
  </si>
  <si>
    <t>Old ID: PF002-c02, Body Lotion</t>
  </si>
  <si>
    <t>8.24</t>
  </si>
  <si>
    <t>Old ID: PF003-a00, Body spray</t>
  </si>
  <si>
    <t>Old ID: PF003-c01, Body spray</t>
  </si>
  <si>
    <t>GI Joe</t>
  </si>
  <si>
    <t>Old ID: PF004-a00, Mickey Eau de Toilette</t>
  </si>
  <si>
    <t>Old ID: PF004-c01, Mickey Eau de Toilette</t>
  </si>
  <si>
    <t>Old ID: PF005-a00, Adorable Eau de Toilette</t>
  </si>
  <si>
    <t>Old ID: PF005-c01, Adorable Eau de Toilette</t>
  </si>
  <si>
    <t>Nickelodeon Dora the Explorer</t>
  </si>
  <si>
    <t>Old ID: RA001-a00, Tinkerbell bubble bath</t>
  </si>
  <si>
    <t>Old ID: RA001-b01, Tinkerbell portion</t>
  </si>
  <si>
    <t>Rite Aid</t>
  </si>
  <si>
    <t>10.6</t>
  </si>
  <si>
    <t>Old ID: RA001-b02, bottom leaves of bottle</t>
  </si>
  <si>
    <t>10.2</t>
  </si>
  <si>
    <t>Old ID: RA004-a00, Crayola Scented Nail Polish</t>
  </si>
  <si>
    <t>Old ID: RA004-c01, Crayola Scented Nail Polish</t>
  </si>
  <si>
    <t>7.86</t>
  </si>
  <si>
    <t>Old ID: SH002-a00, Vampire teeth</t>
  </si>
  <si>
    <t>Old ID: SH002-c01, Vampire teeth</t>
  </si>
  <si>
    <t>Spirit</t>
  </si>
  <si>
    <t>Spirit Halloween</t>
  </si>
  <si>
    <t>9.07</t>
  </si>
  <si>
    <t>Old ID: SH005-a00, Replacement for SH000-a00 but necklace</t>
  </si>
  <si>
    <t>Old ID: SH005-c01, rubber tube</t>
  </si>
  <si>
    <t>9.19</t>
  </si>
  <si>
    <t>Old ID: SP001-a00, Baby Sandals</t>
  </si>
  <si>
    <t>Old ID: SP001-c01, Strap of sandals</t>
  </si>
  <si>
    <t>Spencer's Baby</t>
  </si>
  <si>
    <t>Spencer's</t>
  </si>
  <si>
    <t>Old ID: SP001-c03, Top of Sole</t>
  </si>
  <si>
    <t>9.75</t>
  </si>
  <si>
    <t>Old ID: SP002-a00, Pacifier</t>
  </si>
  <si>
    <t>Old ID: SP002-c01, nipple</t>
  </si>
  <si>
    <t>Billy-Bob Pacifiers</t>
  </si>
  <si>
    <t>8.92</t>
  </si>
  <si>
    <t>Old ID: TR000-a00, silicone nipples</t>
  </si>
  <si>
    <t>Old ID: TR000-c01, nipple material</t>
  </si>
  <si>
    <t>Similac</t>
  </si>
  <si>
    <t>Toys R Us</t>
  </si>
  <si>
    <t>9.12</t>
  </si>
  <si>
    <t>Old ID: TR004-a00, baby spoon and bowl</t>
  </si>
  <si>
    <t>Old ID: TR004-p01, plastic packaging (phthalates?)</t>
  </si>
  <si>
    <t>Babies R Us</t>
  </si>
  <si>
    <t>6.85</t>
  </si>
  <si>
    <t>Old ID: TR005-a00, Pacifier</t>
  </si>
  <si>
    <t>Old ID: TR005-b01, plastic storage box</t>
  </si>
  <si>
    <t>Old ID: TR005-c02, nipple of pacifier (phthalates?)</t>
  </si>
  <si>
    <t>8.97</t>
  </si>
  <si>
    <t>Old ID: TR008-a00, bath fish book</t>
  </si>
  <si>
    <t>Old ID: TR008-c01, plastic page of book</t>
  </si>
  <si>
    <t>Old ID: TR009-a00, pink teething ring</t>
  </si>
  <si>
    <t>Old ID: TR009-c01, pink teething ring</t>
  </si>
  <si>
    <t>Dr. Brown's</t>
  </si>
  <si>
    <t>9.5</t>
  </si>
  <si>
    <t>Old ID: TR009-p01, plastic film packaging</t>
  </si>
  <si>
    <t>Old ID: TR012-a00, dr. suess bib</t>
  </si>
  <si>
    <t>Old ID: TR012-c01, bib fabric, green</t>
  </si>
  <si>
    <t>bumkins</t>
  </si>
  <si>
    <t>8.68</t>
  </si>
  <si>
    <t>Old ID: TR013-a00, rubber duckies</t>
  </si>
  <si>
    <t>Old ID: TR013-c01, rubber ducky</t>
  </si>
  <si>
    <t>7.66</t>
  </si>
  <si>
    <t>Old ID: WM005-a00, small baby bottle</t>
  </si>
  <si>
    <t>Old ID: WM005-c01, nipple portion</t>
  </si>
  <si>
    <t>Parent's Choice</t>
  </si>
  <si>
    <t>Old ID: WM008-a00, squishy book</t>
  </si>
  <si>
    <t>Old ID: WM008-p02, clear plastic pouch</t>
  </si>
  <si>
    <t>Old ID: WM009-a00, basketball pacifiers</t>
  </si>
  <si>
    <t>Old ID: WM009-c01, nipple of pacifier</t>
  </si>
  <si>
    <t>Old ID: WM009-c03, orange basketball pacifier</t>
  </si>
  <si>
    <t>Old ID: WM012-a00, soothie pacifier</t>
  </si>
  <si>
    <t>Old ID: WM012-c01, pacifier material</t>
  </si>
  <si>
    <t>Old ID: WM015-a00, pink bib</t>
  </si>
  <si>
    <t>Old ID: WM015-c01, middle portion of bib</t>
  </si>
  <si>
    <t>8.34</t>
  </si>
  <si>
    <t>Old ID: WM016-a00, striped blue/green bib</t>
  </si>
  <si>
    <t>Old ID: WM016-c02, clear plastic from bib</t>
  </si>
  <si>
    <t>Baby Wonders</t>
  </si>
  <si>
    <t>Old ID: WM017-a00, 3 teething rings</t>
  </si>
  <si>
    <t>Old ID: WM017-c01, red/pink teething ring, chopped up an phthalate sampled</t>
  </si>
  <si>
    <t>8.14</t>
  </si>
  <si>
    <t>Old ID: WM018-a00, 4 baby feeding spoons</t>
  </si>
  <si>
    <t>Old ID: WM018-c01, spoon rubber</t>
  </si>
  <si>
    <t>Old ID: WM019-c01, red crab with no eyes</t>
  </si>
  <si>
    <t>7.91</t>
  </si>
  <si>
    <t>Old ID: WM019-p01, clear plastic case</t>
  </si>
  <si>
    <t>7.93</t>
  </si>
  <si>
    <t>Old ID: WM020-a00, pink baby ballet slippers</t>
  </si>
  <si>
    <t>Old ID: WM020-c01, outer portion of shoe</t>
  </si>
  <si>
    <t>Faded Glory</t>
  </si>
  <si>
    <t>9.88</t>
  </si>
  <si>
    <t>Old ID: WM020-c02, shoe insert</t>
  </si>
  <si>
    <t>9.77</t>
  </si>
  <si>
    <t>Old ID: WM021-a00, assorted baby spoons</t>
  </si>
  <si>
    <t>Old ID: WM021-c01, soft scoopy part of spoon</t>
  </si>
  <si>
    <t>Gerber/Nuk</t>
  </si>
  <si>
    <t>Old ID: WM022-a00, Lip Gloss</t>
  </si>
  <si>
    <t>Old ID: WM022-p01, tube</t>
  </si>
  <si>
    <t>Nivea</t>
  </si>
  <si>
    <t>9.68</t>
  </si>
  <si>
    <t>Old ID: WM023-a00, Diaper sacks</t>
  </si>
  <si>
    <t>Old ID: WM023-p01, Clear plastic bag</t>
  </si>
  <si>
    <t>sassy</t>
  </si>
  <si>
    <t>Old ID: WM024-a00, Bird Toy</t>
  </si>
  <si>
    <t>Old ID: WM024-p01, Clear plastic bag</t>
  </si>
  <si>
    <t>Platinum Tweeter</t>
  </si>
  <si>
    <t>8.69</t>
  </si>
  <si>
    <t>Old ID: WM026-a00, Soothing Breast Wipes</t>
  </si>
  <si>
    <t>Old ID: WM026-p01, Clear Plastic Pouch</t>
  </si>
  <si>
    <t>first years</t>
  </si>
  <si>
    <t>9.45</t>
  </si>
  <si>
    <t>Old ID: WM028-a00, party favors: mini tiaras</t>
  </si>
  <si>
    <t>Old ID: WM028-p01, Clear plastic bag</t>
  </si>
  <si>
    <t>Way to Celebrate!</t>
  </si>
  <si>
    <t>Old ID: WM029-a00, SpongeBob table cloth</t>
  </si>
  <si>
    <t>Old ID: WM029-p01, Clear plastic pouch</t>
  </si>
  <si>
    <t>DesignWare</t>
  </si>
  <si>
    <t>9.31</t>
  </si>
  <si>
    <t>Old ID: WM030-a00, Holographic Classroom Accents, smily faces</t>
  </si>
  <si>
    <t>Old ID: WM030-p01, Clear plastic bag</t>
  </si>
  <si>
    <t>9.49</t>
  </si>
  <si>
    <t>Old ID: WM032-a00, Manicure Set</t>
  </si>
  <si>
    <t>Old ID: WM032-p01, plastic seeming pouch</t>
  </si>
  <si>
    <t>Trim</t>
  </si>
  <si>
    <t>Old ID: WM034-a00, Toilet seat sticker</t>
  </si>
  <si>
    <t>Old ID: WM034-p01, Edge of toilet sticker label</t>
  </si>
  <si>
    <t>Toilet Tattoos</t>
  </si>
  <si>
    <t>7.95</t>
  </si>
  <si>
    <t>Old ID: WM035-a00, snack food container</t>
  </si>
  <si>
    <t>Old ID: WM035-p01, Clear Plastic Pouch</t>
  </si>
  <si>
    <t>pack n'snack</t>
  </si>
  <si>
    <t>Old ID: WM036-a00, Hair Rollers</t>
  </si>
  <si>
    <t>Old ID: WM036-p01, Flexible plastic bag</t>
  </si>
  <si>
    <t>Goody</t>
  </si>
  <si>
    <t>Old ID: WM037-a00, Watermelon lip smackers bath and body collection</t>
  </si>
  <si>
    <t>Old ID: WM037-p01, Watermelon lip smackers bath and body collection</t>
  </si>
  <si>
    <t>Smackers</t>
  </si>
  <si>
    <t>9.44</t>
  </si>
  <si>
    <t>Old ID: WM038-a00, lip balm</t>
  </si>
  <si>
    <t>Old ID: WM038-p01, tube</t>
  </si>
  <si>
    <t>Carmex</t>
  </si>
  <si>
    <t>Old ID: WM039-a00, Pizza Slice Bags</t>
  </si>
  <si>
    <t>Old ID: WM039-p01, outer plastic bag</t>
  </si>
  <si>
    <t>mama fresco's</t>
  </si>
  <si>
    <t>Old ID: WM040-a00, Minnie mouse noise makers</t>
  </si>
  <si>
    <t>Old ID: WM040-p01, Clear plastic bag</t>
  </si>
  <si>
    <t>Disney/Hallmark</t>
  </si>
  <si>
    <t>9.16</t>
  </si>
  <si>
    <t>Old ID: WM041-a00, 30 washable fine point markers</t>
  </si>
  <si>
    <t>Old ID: WM041-p01, Clear Plastic Pouch</t>
  </si>
  <si>
    <t>Cra-Z-art</t>
  </si>
  <si>
    <t>9.74</t>
  </si>
  <si>
    <t>Old ID: WM043-a00, 48 small army soldiers</t>
  </si>
  <si>
    <t>Old ID: WM043-p01, Clear Plastic Pouch</t>
  </si>
  <si>
    <t>Battle Force</t>
  </si>
  <si>
    <t>9.54</t>
  </si>
  <si>
    <t>Old ID: WM044-a00, moist wipes</t>
  </si>
  <si>
    <t>Old ID: WM044-p01, colored plastic package</t>
  </si>
  <si>
    <t>Cottonelle</t>
  </si>
  <si>
    <t>9.58</t>
  </si>
  <si>
    <t>Old ID: WM045-a00, party favors: 4 tractors</t>
  </si>
  <si>
    <t>Old ID: WM045-p01, Clear Plastic Pouch</t>
  </si>
  <si>
    <t>9.2</t>
  </si>
  <si>
    <t>Old ID: WM046-a00, Minnie Mouse Pencil Case</t>
  </si>
  <si>
    <t>Old ID: WM046-b01, Minnie Mouse Pencil Case side panel</t>
  </si>
  <si>
    <t>Old ID: WM047-a00, Fish bath toys</t>
  </si>
  <si>
    <t>Old ID: WM047-b01, Clear plastic front of pouch</t>
  </si>
  <si>
    <t>Old ID: WM047-c01, red fish</t>
  </si>
  <si>
    <t>Old ID: WM047-c02, blue suction cup</t>
  </si>
  <si>
    <t>Old ID: WM048-a00, Aqua Jewels</t>
  </si>
  <si>
    <t>Old ID: WM048-p01, Clear plastic pouch</t>
  </si>
  <si>
    <t>Aqua Cultures</t>
  </si>
  <si>
    <t>45.7</t>
  </si>
  <si>
    <t>Old ID: WM049-a00, Pirate Pencil Case</t>
  </si>
  <si>
    <t>Old ID: WM049-b01, Pencil Case Sides</t>
  </si>
  <si>
    <t>Old ID: WM050-a00, mickey mouse undies</t>
  </si>
  <si>
    <t>Old ID: WM050-p01, Clear plastic bag</t>
  </si>
  <si>
    <t>8.9</t>
  </si>
  <si>
    <t>Old ID: WM051-a00, Pink fitted crib sheet</t>
  </si>
  <si>
    <t>Old ID: WM051-p01, Clear plastic bag</t>
  </si>
  <si>
    <t>Old ID: WM052-a00, 2 wooden whistles</t>
  </si>
  <si>
    <t>Old ID: WM052-p01, Clear plastic bag</t>
  </si>
  <si>
    <t>Wood Whistles</t>
  </si>
  <si>
    <t>9.33</t>
  </si>
  <si>
    <t>Old ID: WM054-a00, yellow plastic recorder</t>
  </si>
  <si>
    <t>Old ID: WM054-p01, Clear plastic pouch</t>
  </si>
  <si>
    <t>Recorder</t>
  </si>
  <si>
    <t>9.18</t>
  </si>
  <si>
    <t>Old ID: WM057-a00, Ghoul costume</t>
  </si>
  <si>
    <t>Old ID: WM057-c01, Rubber mask</t>
  </si>
  <si>
    <t>Fun World</t>
  </si>
  <si>
    <t>8.47</t>
  </si>
  <si>
    <t>Old ID: WM061-a00, Teeth Paint and Mouth Glow</t>
  </si>
  <si>
    <t>Old ID: WM061-c01, Mouth piece</t>
  </si>
  <si>
    <t>Wolf Novelties</t>
  </si>
  <si>
    <t>8.7</t>
  </si>
  <si>
    <t>Old ID: JC000-a00, eau de toilette</t>
  </si>
  <si>
    <t>Perfume</t>
  </si>
  <si>
    <t>Homogenous Mixtures (gels, creams, powders, liquids, adhesives, synthetic fragrances)</t>
  </si>
  <si>
    <t>Pink Sugar</t>
  </si>
  <si>
    <t>JC Penney</t>
  </si>
  <si>
    <t>515</t>
  </si>
  <si>
    <t>Long Sleeve Racoon Shirt</t>
  </si>
  <si>
    <t>Long Sleeve Racoon Shirt - Glitter</t>
  </si>
  <si>
    <t>25</t>
  </si>
  <si>
    <t>Bedtime Rocks Pajama Set</t>
  </si>
  <si>
    <t>Bedtime Rocks Pajama Set - Painted Dinosaur on Shirt</t>
  </si>
  <si>
    <t>Despicable Me 2 T Shirt</t>
  </si>
  <si>
    <t>Despicable Me 2 T Shirt - White Print</t>
  </si>
  <si>
    <t>Despicable Me 2</t>
  </si>
  <si>
    <t>24</t>
  </si>
  <si>
    <t>Hello Kitty Rainbow Purse</t>
  </si>
  <si>
    <t>Hello Kitty Rainbow Purse - Rainbow Plastic Front</t>
  </si>
  <si>
    <t>Kohl's</t>
  </si>
  <si>
    <t>Glow in the Dark Skull Hooded Sweatshirt</t>
  </si>
  <si>
    <t>Glow in the Dark Skull Hooded Sweatshirt - White Paint on Front</t>
  </si>
  <si>
    <t>Hawk</t>
  </si>
  <si>
    <t>Tricolored OshKosh Jacket</t>
  </si>
  <si>
    <t>Tricolored OshKosh Jacket - Royal Blue Outer Fabric</t>
  </si>
  <si>
    <t>Textiles (synthetic fibers and blends)</t>
  </si>
  <si>
    <t>OshKosh</t>
  </si>
  <si>
    <t>5.0</t>
  </si>
  <si>
    <t>Red and White Striped Infant Holiday Sleepwear</t>
  </si>
  <si>
    <t>Red and White Striped Infant Holiday Sleepwear - Silver Glitter Print</t>
  </si>
  <si>
    <t>Carter's</t>
  </si>
  <si>
    <t>4.3</t>
  </si>
  <si>
    <t>Despicable Me Slippers</t>
  </si>
  <si>
    <t>Despicable Me Slippers - Eyes</t>
  </si>
  <si>
    <t>Despicable Me</t>
  </si>
  <si>
    <t>Pastel Glitter Twist Bracelets - 3 Pack</t>
  </si>
  <si>
    <t>Pastel Glitter Twist Bracelets - 3 Pack - Pink and Yellow</t>
  </si>
  <si>
    <t>Girls Accessories</t>
  </si>
  <si>
    <t>My Way All Day Nike T Shirt</t>
  </si>
  <si>
    <t>My Way All Day Nike T Shirt - Blue Print</t>
  </si>
  <si>
    <t>18</t>
  </si>
  <si>
    <t>Clear Princess Slippers</t>
  </si>
  <si>
    <t>Clear Princess Slippers - Clear Shoe Fabric</t>
  </si>
  <si>
    <t>Glitter Bracelet 4 Pack</t>
  </si>
  <si>
    <t>Glitter Bracelet 4 Pack - Pink</t>
  </si>
  <si>
    <t>Target Brands</t>
  </si>
  <si>
    <t>Ninja Turtle Wallet</t>
  </si>
  <si>
    <t>Ninja Turtle Wallet - Turtle Fabric</t>
  </si>
  <si>
    <t>Nickelodeon</t>
  </si>
  <si>
    <t>Pink Sparkle Hello Kitty Rainboots</t>
  </si>
  <si>
    <t>Pink Sparkle Hello Kitty Rainboots - Pink Sparkle Boot Material</t>
  </si>
  <si>
    <t>Girls Red Heart Handbag</t>
  </si>
  <si>
    <t>Girls Red Heart Handbag - Red Material</t>
  </si>
  <si>
    <t>Dog Purse</t>
  </si>
  <si>
    <t>Dog Purse - Pink Sholder Strap</t>
  </si>
  <si>
    <t>Poochie &amp; Co.</t>
  </si>
  <si>
    <t>Girls Long Sleeve Heart Shirt</t>
  </si>
  <si>
    <t>Girls Long Sleeve Heart Shirt - Heart Print</t>
  </si>
  <si>
    <t>Cherokee</t>
  </si>
  <si>
    <t>22</t>
  </si>
  <si>
    <t>Disney Frozen Olaf Blue T Shirt</t>
  </si>
  <si>
    <t>Disney Frozen Olaf Blue T Shirt - White Print</t>
  </si>
  <si>
    <t>Circo Love Heart Decal T Shirt</t>
  </si>
  <si>
    <t>Circo Love Heart Decal T Shirt - Peach Heart Print</t>
  </si>
  <si>
    <t>Girls T-shirt with print of woman walking big cat</t>
  </si>
  <si>
    <t>Girls T-shirt with print of woman walking big cat -Pink Print</t>
  </si>
  <si>
    <t>Girls T-shirt with dog wearing headphones print</t>
  </si>
  <si>
    <t>Girls T-shirt with dog wearing headphones print - Black Print</t>
  </si>
  <si>
    <t>Boys T-shirt with Hot-dog Roadster Print</t>
  </si>
  <si>
    <t>Boys T-shirt with Hot-dog Roadster Print - Brown Print</t>
  </si>
  <si>
    <t>21</t>
  </si>
  <si>
    <t>Rainbow Sequined Unicorn Backpack</t>
  </si>
  <si>
    <t>Rainbow Sequence Unicorn Backpack - Unicorn</t>
  </si>
  <si>
    <t>Claire's Club</t>
  </si>
  <si>
    <t>Zippered Teal Purse with Cats</t>
  </si>
  <si>
    <t>Zippered Teal Purse with Cats - Strap</t>
  </si>
  <si>
    <t>Blue and Purple Flip Flop Shoes</t>
  </si>
  <si>
    <t>Blue and Purple Flip Flop Shoes - Purple Upper</t>
  </si>
  <si>
    <t>Justice</t>
  </si>
  <si>
    <t>Girls T-shirt Penguin Photo Bomb Print</t>
  </si>
  <si>
    <t>Girls T-shirt Penguin Photo Bomb Print - White Print</t>
  </si>
  <si>
    <t>Girl's White and Grey Long Sleeve Shirt with Rainbow Heart</t>
  </si>
  <si>
    <t>Girl's White and Grey Long Sleeve Shirt with Rainbow Heart - Purple Glitter Print</t>
  </si>
  <si>
    <t>The Children's Place</t>
  </si>
  <si>
    <t>Children's Place</t>
  </si>
  <si>
    <t>Red Despicable Me Shirt</t>
  </si>
  <si>
    <t>Red Despicable Me Shirt - Yellow Print</t>
  </si>
  <si>
    <t>Despicable Me Minion Made</t>
  </si>
  <si>
    <t>Red Winter Coat with Faux Fur on Hood</t>
  </si>
  <si>
    <t>Red Winter Coat with Faux Fur on Hood - Faux Fur</t>
  </si>
  <si>
    <t>Girls Old Navy Gold Striped Pants</t>
  </si>
  <si>
    <t>Girls Old Navy Gold Striped Pants - Gold Stripe</t>
  </si>
  <si>
    <t>Girls Beige Boots Faux Fur Lined with Gold Sparkles</t>
  </si>
  <si>
    <t>Girls Beige Boots Faux Fur Lined with Gold Sparkles - Outer Sole</t>
  </si>
  <si>
    <t>Yellow Flip Flops</t>
  </si>
  <si>
    <t>Yellow Flip Flops - Toe Strap</t>
  </si>
  <si>
    <t>Black Long Sleeve with Silver Train Graphic</t>
  </si>
  <si>
    <t>Black Long Sleeve with Silver Train Graphic - Silver Graphic</t>
  </si>
  <si>
    <t>4.7</t>
  </si>
  <si>
    <t>Grey Long Sleeve with Red Race Car</t>
  </si>
  <si>
    <t>Grey Long Sleeve with Red Race Car - Red Car</t>
  </si>
  <si>
    <t>Old Navy Collectabilitees</t>
  </si>
  <si>
    <t>Grey Long Sleeve with Minnie Mouse</t>
  </si>
  <si>
    <t>Grey Long Sleeve with Minnie Mouse - White Print</t>
  </si>
  <si>
    <t>Grey Shirt with Ninja Turtle</t>
  </si>
  <si>
    <t>Grey Shirt with Ninja Turtle - Green Print</t>
  </si>
  <si>
    <t>Old Navy Collectabilitees Totally Classic!</t>
  </si>
  <si>
    <t>Grey Long Sleeve with Penguins</t>
  </si>
  <si>
    <t>Grey Long Sleeve with Penguins- White Paint</t>
  </si>
  <si>
    <t>Twisty Glitter Bracelet</t>
  </si>
  <si>
    <t>Twisty Glitter Bracelet- Pink and Blue Liquid Filled Band</t>
  </si>
  <si>
    <t>Rainbow Belt with Hearts</t>
  </si>
  <si>
    <t>Rainbow Belt with Hearts- Rainbow Print</t>
  </si>
  <si>
    <t>Curfew Girl</t>
  </si>
  <si>
    <t>Blue Slippers with "Frozen" Characters</t>
  </si>
  <si>
    <t>Blue Slippers with "Frozen" Characters - Plastic Frozen Characters</t>
  </si>
  <si>
    <t>4 Piece Pajama Set- Camo Set and Orange Shirt with Bears</t>
  </si>
  <si>
    <t>4 Piece Pajama Set- Camo Set and Orange Shirt with Bears - Brown Print</t>
  </si>
  <si>
    <t>Blue Raincoat with Yellow Lining</t>
  </si>
  <si>
    <t>Blue Raincoat with Yellow Lining - Blue Plastic</t>
  </si>
  <si>
    <t>Wippette</t>
  </si>
  <si>
    <t>Curfew Girl Multi-colored Bracelets</t>
  </si>
  <si>
    <t>Curfew Girl Multi-colored Bracelets- Orange Bracelet</t>
  </si>
  <si>
    <t>Boys T-shirt with Dogs and Popcorn Print</t>
  </si>
  <si>
    <t>Boys T-shirt with Dogs and Popcorn Print - Grey and Brown Print</t>
  </si>
  <si>
    <t>Black Long Sleeve with Star Wars Graphic- Glow in the Dark</t>
  </si>
  <si>
    <t>Black Long Sleeve with Star Wars Graphic- Glow in the Dark - composite of all print material</t>
  </si>
  <si>
    <t>Star Wars</t>
  </si>
  <si>
    <t>Boys Tom and Jerry T Shirt</t>
  </si>
  <si>
    <t>Boys Tom and Jerry T Shirt - peach print</t>
  </si>
  <si>
    <t>Tom and Jerry</t>
  </si>
  <si>
    <t>Black and Pink Winter Boots</t>
  </si>
  <si>
    <t>Black and Pink Winter Boots- Black Textured Material on Tongue</t>
  </si>
  <si>
    <t>totes</t>
  </si>
  <si>
    <t>Lip Gloss and Nail Polish Set</t>
  </si>
  <si>
    <t>Lip Gloss and Nail Polish Set - Red Glitter Bag</t>
  </si>
  <si>
    <t>Hand Sanitizer and Reusable Holder</t>
  </si>
  <si>
    <t>Hand Sanitizer and Reusable Holder - Sparkle Holder</t>
  </si>
  <si>
    <t>20</t>
  </si>
  <si>
    <t>Hand Sanitizer and Reusable Holder - Pink Tree on Holder</t>
  </si>
  <si>
    <t>Vanilla Lip Gloss with Reindeer Belt Clip</t>
  </si>
  <si>
    <t>Vanilla Lip Gloss with Reindeer Belt Clip - Black Back of Reindeer</t>
  </si>
  <si>
    <t>Polar Bear Coin Purse</t>
  </si>
  <si>
    <t>Polar Bear Coin Purse - Purse Material</t>
  </si>
  <si>
    <t>Bath &amp; Body Works</t>
  </si>
  <si>
    <t>Red, Green, and White Rubberbands Bracelet Kit</t>
  </si>
  <si>
    <t>Red, Green, and White Rubberbands - Red Bands</t>
  </si>
  <si>
    <t>Synthetic Polymers - Other</t>
  </si>
  <si>
    <t>Fun Weevz</t>
  </si>
  <si>
    <t>Generic Christmas Duck</t>
  </si>
  <si>
    <t>Generic Christmas Duck - Yellow</t>
  </si>
  <si>
    <t>Gift 2 Give</t>
  </si>
  <si>
    <t>Gelarti Christmas Pack</t>
  </si>
  <si>
    <t>Gelarti Christmas Pack - Composite of Paint</t>
  </si>
  <si>
    <t>Gelarti</t>
  </si>
  <si>
    <t>Gelarti Christmas Pack - Clear Packaging Paint Tube</t>
  </si>
  <si>
    <t>Reusable Holiday Spiderman Bag</t>
  </si>
  <si>
    <t>Reusable Holiday Spiderman Bag - Red Material</t>
  </si>
  <si>
    <t>Marvel</t>
  </si>
  <si>
    <t>Hello Kitty Cotton Candy Bath Products</t>
  </si>
  <si>
    <t>Hello Kitty Cotton Candy Bath Products - Blue Hand Lotion Bottle</t>
  </si>
  <si>
    <t>Hello Kitty Cotton Candy Bath Products - Hand Wash Bottle</t>
  </si>
  <si>
    <t>Sno-Art Kit</t>
  </si>
  <si>
    <t>Sno-Art Kit - Plastic Mixing Bottle</t>
  </si>
  <si>
    <t>Ideal</t>
  </si>
  <si>
    <t>Standing Mutant Ninja Turtle Stocking</t>
  </si>
  <si>
    <t>Standing Mutant Ninja Turtle Stocking - Back Applique</t>
  </si>
  <si>
    <t>Standing Disney Christmas Stocking</t>
  </si>
  <si>
    <t>Standing Disney Christmas Stocking - Plastic Applique on Purple Stocking</t>
  </si>
  <si>
    <t>Standing Mutant Ninja Turtle Stocking - Front Applique on Green Stocking</t>
  </si>
  <si>
    <t>Star Wars Shave Set</t>
  </si>
  <si>
    <t>Star Wars Shave Set - Clear Bottle from Hair Gel</t>
  </si>
  <si>
    <t>Santa's Sleigh Team with Music Set</t>
  </si>
  <si>
    <t>Santa's Sleigh Team with Music Set- Soft Purple Plastic Harness</t>
  </si>
  <si>
    <t>Forever Fun</t>
  </si>
  <si>
    <t>Holiday Baker Doll "2014 Doll of the Year"</t>
  </si>
  <si>
    <t>Holiday Baker Doll "2014 Doll of the Year" - Pink Shoe</t>
  </si>
  <si>
    <t>My Life as</t>
  </si>
  <si>
    <t>Holiday Baker Doll "2014 Doll of the Year" - Head</t>
  </si>
  <si>
    <t>2014 Holiday Barbie</t>
  </si>
  <si>
    <t>2014 Holiday Barbie - Head</t>
  </si>
  <si>
    <t>Mattel</t>
  </si>
  <si>
    <t>Skittles in Plastic Candy Cane</t>
  </si>
  <si>
    <t>Skittles in Plastic Candy Cane - Red Plastic Cap</t>
  </si>
  <si>
    <t>Skittles</t>
  </si>
  <si>
    <t>Santa Eraser</t>
  </si>
  <si>
    <t>Santa Eraser- White Back</t>
  </si>
  <si>
    <t>Christmas House</t>
  </si>
  <si>
    <t>Holiday DVD</t>
  </si>
  <si>
    <t>Holiday DVD - Outer Cover</t>
  </si>
  <si>
    <t>Cartoon Network</t>
  </si>
  <si>
    <t>Holiday DVD - Inner Cover</t>
  </si>
  <si>
    <t>Candy Cane and Ornament Gel Clings</t>
  </si>
  <si>
    <t>Candy Cane and Ornament Gel Clings - All Colors Combined</t>
  </si>
  <si>
    <t>Holiday Time</t>
  </si>
  <si>
    <t>Red Cup with Polar Bear on Sleigh</t>
  </si>
  <si>
    <t>Red Cup with Polar Bear on Sleigh - Styrofoam side and Red Plastic</t>
  </si>
  <si>
    <t>North pole Est. 1820</t>
  </si>
  <si>
    <t>Santa and Friends Magic Fun Dough</t>
  </si>
  <si>
    <t>Santa and Friends Magic Fun Dough - White, Green and Red Dough</t>
  </si>
  <si>
    <t>Mega Brands Inc.</t>
  </si>
  <si>
    <t>Tie-Dye Winter Coat with Faux Fur</t>
  </si>
  <si>
    <t>Tie-Dye Winter Coat with Faux Fur - Fur Trim</t>
  </si>
  <si>
    <t>ZeroXPosur Boarding Co.</t>
  </si>
  <si>
    <t>Pink and Grey Onesie, Pants, and Shoes</t>
  </si>
  <si>
    <t>Pink and Grey Onesie, Pants, and Shoes - Sole</t>
  </si>
  <si>
    <t>baby gear</t>
  </si>
  <si>
    <t>Play Pack with Crayons, Stickers and Coloring Book</t>
  </si>
  <si>
    <t>Play Pack with Crayons, Stickers and Coloring Book - Blue, Yellow, Green Crayon combined</t>
  </si>
  <si>
    <t>Rudolph the Red-Nose Reindeer</t>
  </si>
  <si>
    <t>Christmas Cupcakes- Window Cling</t>
  </si>
  <si>
    <t>Christmas Cupcakes- Window Cling- All colors of Cupcake Cling</t>
  </si>
  <si>
    <t>Create Your Own Sand Art</t>
  </si>
  <si>
    <t>Create Your Own Sand Art - Empty Clear Plastic Bracelets</t>
  </si>
  <si>
    <t>Horizon Group USA</t>
  </si>
  <si>
    <t>Light-Up Squishy Bear</t>
  </si>
  <si>
    <t>Light-Up Squishy Bear - Yellow Bear</t>
  </si>
  <si>
    <t>6 Fun Dough - Party Favor</t>
  </si>
  <si>
    <t>6-FunDough - Party Favor - Composite of green, red, pink and blue dough</t>
  </si>
  <si>
    <t>Owl &amp; Fox Bendable Figures</t>
  </si>
  <si>
    <t>Owl &amp; Fox Bendable Figures - Owl red plastic body</t>
  </si>
  <si>
    <t>Pink Heart Light Up Bracelet</t>
  </si>
  <si>
    <t>Pink Heart Light Up Bracelet - Pink wrist strap</t>
  </si>
  <si>
    <t>Purple Headband Boppers</t>
  </si>
  <si>
    <t>Purple Headband Boppers - Headband</t>
  </si>
  <si>
    <t>Frog Sippy Cup</t>
  </si>
  <si>
    <t>Frog Sippy Cup - Green flexible straw</t>
  </si>
  <si>
    <t>Dinosaur Erasers</t>
  </si>
  <si>
    <t>Dinosaur Erasers - Orange dinosaurs</t>
  </si>
  <si>
    <t>Light Up Baton with Hearts</t>
  </si>
  <si>
    <t>Light Up Baton with Hearts- Soft Plastic Red Heart</t>
  </si>
  <si>
    <t>Coolights</t>
  </si>
  <si>
    <t>Spritz Color-In Window Clings</t>
  </si>
  <si>
    <t>Spritz Color-In Window Clings - Clings</t>
  </si>
  <si>
    <t>Target Corp.</t>
  </si>
  <si>
    <t>Spritz Gel Window Clings</t>
  </si>
  <si>
    <t>Spritz Gel Window Clings - Red and pink hearts</t>
  </si>
  <si>
    <t>Stickety-Doo-Da Foamy Heart Stickers</t>
  </si>
  <si>
    <t>Stickety-Doo-Da Foamy Heart Stickers - Multicolored foam heart sticker</t>
  </si>
  <si>
    <t>American Greetings</t>
  </si>
  <si>
    <t>Bejeweled Lip Gloss and Eyeshadow Makeup Kit with Zipper Case</t>
  </si>
  <si>
    <t>Bejeweled Lip Gloss and Eyeshadow Makeup Kit with zipper case - Clear plastic lip gloss tube with Claire's print</t>
  </si>
  <si>
    <t>Fox/Frog/Bear and Heart Earrings</t>
  </si>
  <si>
    <t>Fox/Frog/Bear and Heart Earrings - Plastic clear back</t>
  </si>
  <si>
    <t>Create Your Own Shrink Art</t>
  </si>
  <si>
    <t>Create Your Own Shrink Art -  Charms Material - Clear Plastic Sheets</t>
  </si>
  <si>
    <t>12 Bubbles- Party Favors</t>
  </si>
  <si>
    <t>12 Bubbles- Party Favors - Green bottle</t>
  </si>
  <si>
    <t>All Better Bath Play Set</t>
  </si>
  <si>
    <t>All Better Bath Play Set - Band-Aid wrist snap bracelet without inner metal</t>
  </si>
  <si>
    <t>Disney Junior</t>
  </si>
  <si>
    <t>All Better Bath Play Set - Pink lamb sponge</t>
  </si>
  <si>
    <t>Synthetic Polymers - Foam</t>
  </si>
  <si>
    <t>All Better Bath Play Set - Lamb front of sponge</t>
  </si>
  <si>
    <t>All Better Bath Play Set - Pink soft plastic hypodermic</t>
  </si>
  <si>
    <t>All Better Bath Play Set - Purple soft plastic tubing on stethoscope</t>
  </si>
  <si>
    <t>Mini Ducks Kids Party Favors</t>
  </si>
  <si>
    <t>Mini Ducks Kids Party Favors - Red ducks</t>
  </si>
  <si>
    <t>Michaels Stores, Inc.</t>
  </si>
  <si>
    <t>Michaels</t>
  </si>
  <si>
    <t>Angry Birds 17 Lenticular Valentines</t>
  </si>
  <si>
    <t>Angry Birds 17 Lenticular Valentines - Composite sample of holographic cards</t>
  </si>
  <si>
    <t>Angry Birds</t>
  </si>
  <si>
    <t>Creepy Bugs 16 Valentines with 16 Sticky Hands</t>
  </si>
  <si>
    <t>Creepy Bugs 16 Valentines with 16 Sticky Hands - Sticky blue hands</t>
  </si>
  <si>
    <t>Studio 2/14</t>
  </si>
  <si>
    <t>Beanie Boos Sweetikins Bear</t>
  </si>
  <si>
    <t>Beanie Boos Sweetikins Bear - Plastic bead stuffing</t>
  </si>
  <si>
    <t>Ty Inc.</t>
  </si>
  <si>
    <t>Green Frog I Love You Mylar Balloon</t>
  </si>
  <si>
    <t>Green Frog I Love You Mylar Balloon - Composite of greens on mylar</t>
  </si>
  <si>
    <t>Minishapes</t>
  </si>
  <si>
    <t>Justice Press-On Heart Nails</t>
  </si>
  <si>
    <t>Justice Press-On Heart Nails - Composite of all colors without rhinestones</t>
  </si>
  <si>
    <t>Stretchy plastic bracelets</t>
  </si>
  <si>
    <t>Stretchy plastic bracelets- Composite of 3 bracelets (red, purple, and pink)</t>
  </si>
  <si>
    <t>Spritz Sticker Kit of Hearts</t>
  </si>
  <si>
    <t>Spritz Sticker Kit of Hearts - Composite of red, pink, white, glitter &amp; hologram hearts without white backing paper</t>
  </si>
  <si>
    <t>Metallic Glittery Soft Stickers</t>
  </si>
  <si>
    <t>Metallic Glittery Soft Stickers - Composite of multiple stickers</t>
  </si>
  <si>
    <t>Easter Light Up Chick</t>
  </si>
  <si>
    <t>Easter Light Up Chick - Purple Rubber</t>
  </si>
  <si>
    <t>Celebrate It</t>
  </si>
  <si>
    <t>SW8270C</t>
  </si>
  <si>
    <t>Easter Chicken and Egg Basket Stuffer</t>
  </si>
  <si>
    <t>Easter Chicken and Egg Basket Stuffer - Yellow Rubber</t>
  </si>
  <si>
    <t>Fishing Game</t>
  </si>
  <si>
    <t>Fishing Game- Soft Blue Plastic Fish</t>
  </si>
  <si>
    <t>Fling Shot</t>
  </si>
  <si>
    <t>Fling Shot - Yellow Hands</t>
  </si>
  <si>
    <t>Fling Shot - Purple Ball</t>
  </si>
  <si>
    <t>Wall Tumbler</t>
  </si>
  <si>
    <t>Wall Tumbler- Soft Blue Plastic</t>
  </si>
  <si>
    <t>Racquet Set</t>
  </si>
  <si>
    <t>Racquet Set- Plastic Birdie</t>
  </si>
  <si>
    <t>Easter Grass</t>
  </si>
  <si>
    <t>Easter Grass - Grass</t>
  </si>
  <si>
    <t>Green Edition</t>
  </si>
  <si>
    <t>Safeway</t>
  </si>
  <si>
    <t>Spiderman Eggs and Basket</t>
  </si>
  <si>
    <t>Spiderman Eggs and Basket- Red Plastic Basket</t>
  </si>
  <si>
    <t>Pink Easter Basket</t>
  </si>
  <si>
    <t>Pink Easter Basket- Pink Plastic</t>
  </si>
  <si>
    <t>SPR!TZ</t>
  </si>
  <si>
    <t>Flashing Duck with Bunny Ears</t>
  </si>
  <si>
    <t>Flashing Duck with Bunny Ears - Pink Rubber</t>
  </si>
  <si>
    <t>Walgreens</t>
  </si>
  <si>
    <t>Flashing Ring</t>
  </si>
  <si>
    <t>Flashing Ring - Pink Rubber</t>
  </si>
  <si>
    <t>Barbie Easter Basket</t>
  </si>
  <si>
    <t>Barbie Easter Basket- Plastic Pom Pom Fringe</t>
  </si>
  <si>
    <t>Easter Basket</t>
  </si>
  <si>
    <t>Baden Rubber Ball</t>
  </si>
  <si>
    <t>Baden Rubber Ball - Green Painted Rubber</t>
  </si>
  <si>
    <t>Baden</t>
  </si>
  <si>
    <t>Lip Smacker Collection</t>
  </si>
  <si>
    <t>Lip Smacker Collection- Clear Plastic on Bag</t>
  </si>
  <si>
    <t>Lip Smacker</t>
  </si>
  <si>
    <t>Pencils - Easter Design</t>
  </si>
  <si>
    <t>Pencils - Plastic coating on outside of pencils composite</t>
  </si>
  <si>
    <t>Ninja Wall Crawlers</t>
  </si>
  <si>
    <t>Ninja Wall Crawlers- Soft orange and blue plastic ball - composite</t>
  </si>
  <si>
    <t>Glitter Putty Eggs</t>
  </si>
  <si>
    <t>Glitter Putty Eggs - Composite of Blue and Pink Glitter Puttys</t>
  </si>
  <si>
    <t>Raspberry Antibacterial Hand Sanitizer</t>
  </si>
  <si>
    <t>Antibacterial Hand Sanitizer - Soft plastic bunny carrying case</t>
  </si>
  <si>
    <t>Tutu and Bunny Mask</t>
  </si>
  <si>
    <t>Tutu and Bunny Mask- White Sequins</t>
  </si>
  <si>
    <t>Yellow Duck Toe Separator</t>
  </si>
  <si>
    <t>Yellow Duck Toe Separator - Yellow of toe separator</t>
  </si>
  <si>
    <t>Easter Bunny Bottle with Straw</t>
  </si>
  <si>
    <t>Easter Bunny Bottle with Straw- Composite of 2 parts of plastic straw inside</t>
  </si>
  <si>
    <t>Fresh Decor</t>
  </si>
  <si>
    <t>Barbie Easter Basket- Barbie Leg</t>
  </si>
  <si>
    <t>Treat Bags with Twist Ties</t>
  </si>
  <si>
    <t>Treat Bags with Twist Ties -Composite of entire plastic bag</t>
  </si>
  <si>
    <t>Inflatable Character Egg</t>
  </si>
  <si>
    <t>Inflatable Character Egg - Composite of all plastic colors</t>
  </si>
  <si>
    <t>Paas Color Cups</t>
  </si>
  <si>
    <t>Paas Color Cups - Composite of blue, pink, yellow, orange and green cups</t>
  </si>
  <si>
    <t>Signature</t>
  </si>
  <si>
    <t>Easter Gel Clings</t>
  </si>
  <si>
    <t>Easter Gel Clings- Composite of all color clear gel clings and white cling</t>
  </si>
  <si>
    <t>No Spill Egg Coloring Kit</t>
  </si>
  <si>
    <t>No Spill Egg Coloring Kit- Composite yellow, pink, blue, purple and green plastic bases</t>
  </si>
  <si>
    <t>Easter Unlimited Inc.</t>
  </si>
  <si>
    <t>Dudley's 2 Bendable Bunnies</t>
  </si>
  <si>
    <t>Dudley's 2 Bendable Bunnies - Composite of blue and white on bunny without internal wire</t>
  </si>
  <si>
    <t>Dudley's</t>
  </si>
  <si>
    <t>Pink Tumbler Cup</t>
  </si>
  <si>
    <t>Pink Tumbler Cup - Composite of cup with print on pink plastic</t>
  </si>
  <si>
    <t>Jump Rope 14 feet</t>
  </si>
  <si>
    <t>Jump Rope 14 feet - Red cord</t>
  </si>
  <si>
    <t>Swim Arm Bands</t>
  </si>
  <si>
    <t>Swim Arm Bands - Blue plastic</t>
  </si>
  <si>
    <t>Splash-N-Swim</t>
  </si>
  <si>
    <t>Swim Arm Bands - Fill Tube</t>
  </si>
  <si>
    <t>Play Glow Necklaces with Connectors</t>
  </si>
  <si>
    <t>Play Glow Necklaces with Connectors - Liquid</t>
  </si>
  <si>
    <t>Play Glow</t>
  </si>
  <si>
    <t>Striped Beach Ball</t>
  </si>
  <si>
    <t>Striped Beach Ball- Green Print</t>
  </si>
  <si>
    <t>Blue Shirt with Baseball</t>
  </si>
  <si>
    <t>Blue Shirt with Baseball- White Print</t>
  </si>
  <si>
    <t>Fruit Scented Bubbles</t>
  </si>
  <si>
    <t>Fruit Scented Bubbles - Clear bottle</t>
  </si>
  <si>
    <t>Bubbles</t>
  </si>
  <si>
    <t>Hello Kitty Velvet Poster Set</t>
  </si>
  <si>
    <t>Hello Kitty Velvet Poster Set - Clear Pen Pouch</t>
  </si>
  <si>
    <t>Blue Glow Sword</t>
  </si>
  <si>
    <t>Blue Glow Sword - Glow stick liquid with out glow compound</t>
  </si>
  <si>
    <t>Glow in the Dark Spiders</t>
  </si>
  <si>
    <t>Glow in the Dark Spiders - Spider material</t>
  </si>
  <si>
    <t>Creatures</t>
  </si>
  <si>
    <t>Baby Splash Mat</t>
  </si>
  <si>
    <t>Baby Splash Mat- Green Plastic Circle</t>
  </si>
  <si>
    <t>Aqua Leisure</t>
  </si>
  <si>
    <t>Wave Dazzler Jump Rope</t>
  </si>
  <si>
    <t>Wave Dazzler Jump Rope- Plastic Rope</t>
  </si>
  <si>
    <t>Maui Toys</t>
  </si>
  <si>
    <t>Lil' Octopus Arm Bands</t>
  </si>
  <si>
    <t>Lil' Octopus Arm Bands- Plastic Plug</t>
  </si>
  <si>
    <t>Intex</t>
  </si>
  <si>
    <t>Orange Swim Goggles</t>
  </si>
  <si>
    <t>Orange Swim Goggles- Soft Orange Plastic</t>
  </si>
  <si>
    <t>Aqua</t>
  </si>
  <si>
    <t>Animal Split Ring</t>
  </si>
  <si>
    <t>Animal Split Ring- Teal Plastic</t>
  </si>
  <si>
    <t>Colored Ball</t>
  </si>
  <si>
    <t>Colored Ball - White Plastic</t>
  </si>
  <si>
    <t>Duck Baby Pool with Canopy</t>
  </si>
  <si>
    <t>Duck Baby Pool with Canopy - Orange bill</t>
  </si>
  <si>
    <t>Sizzlin' Cool</t>
  </si>
  <si>
    <t>Dr. Seuss Bath Squirt Toys</t>
  </si>
  <si>
    <t>Dr. Seuss Bath Squirt Toys - Blue Fish</t>
  </si>
  <si>
    <t>Dr. Seuss</t>
  </si>
  <si>
    <t>Beach Ball with Stars</t>
  </si>
  <si>
    <t>Beach Ball with Stars - Red and white</t>
  </si>
  <si>
    <t>Colored Ball - Blow up spout</t>
  </si>
  <si>
    <t>Beach Ball with Stars - Blow spout</t>
  </si>
  <si>
    <t>Niteglow Critters</t>
  </si>
  <si>
    <t>Niteglow Critters - Orange</t>
  </si>
  <si>
    <t>Yellow Bendy Man</t>
  </si>
  <si>
    <t>Yellow Bendy Man - Yellow Plastic</t>
  </si>
  <si>
    <t>World Market</t>
  </si>
  <si>
    <t>Gumby and Pokey</t>
  </si>
  <si>
    <t>Gumby and Pokey - Green Plastic</t>
  </si>
  <si>
    <t>NJ Croce</t>
  </si>
  <si>
    <t>Spider Putty</t>
  </si>
  <si>
    <t>Spider Putty - Yellow Putty</t>
  </si>
  <si>
    <t>Spider Putty - Plastic Spider</t>
  </si>
  <si>
    <t>Rainbow Hand Sanitizer</t>
  </si>
  <si>
    <t>Rainbow Hand Sanitizer - White cloud decal</t>
  </si>
  <si>
    <t>Flashing Princess Wand</t>
  </si>
  <si>
    <t>Flashing Princess Wand -  Flasher in Purple Soft Plastic Top</t>
  </si>
  <si>
    <t>Toyi</t>
  </si>
  <si>
    <t>Cupcake Wand</t>
  </si>
  <si>
    <t>Cupcake Wand - Silver material in handle</t>
  </si>
  <si>
    <t>Rainbow Hand Sanitizer - Rainbow cloud decal</t>
  </si>
  <si>
    <t>Pink Plastic Pencil Case</t>
  </si>
  <si>
    <t>Pink Plastic Pencil Case- Pink case material</t>
  </si>
  <si>
    <t>Jot</t>
  </si>
  <si>
    <t>Floral and Pink Pencil Case 2 Pack</t>
  </si>
  <si>
    <t>Floral and Pink Pencil Case 2 Pack- Pink case pink material</t>
  </si>
  <si>
    <t>Clear and Green Trim Pencil Pouch</t>
  </si>
  <si>
    <t>Clear and Green Trim Pencil Pouch- Clear plastic</t>
  </si>
  <si>
    <t>Spider-Man Pencil Pouch</t>
  </si>
  <si>
    <t>Spider-Man Pencil Pouch- Red plastic</t>
  </si>
  <si>
    <t>Multicolored Pencil 12 Pack</t>
  </si>
  <si>
    <t>Multicolored Pencil 12 Pack- Green</t>
  </si>
  <si>
    <t>5</t>
  </si>
  <si>
    <t>Purple and Teal Backpack with Fairies</t>
  </si>
  <si>
    <t>Purple and Teal Backpack with Fairies- Purple Plastic</t>
  </si>
  <si>
    <t>Avery Dual Color Binder</t>
  </si>
  <si>
    <t>Avery Dual Color Binder- Green material</t>
  </si>
  <si>
    <t>Avery</t>
  </si>
  <si>
    <t>Avery Dual Color Binder- Yellow material</t>
  </si>
  <si>
    <t>French Manicure Kit</t>
  </si>
  <si>
    <t>French Manicure Kit- French white tip polish</t>
  </si>
  <si>
    <t>Sally Hansen</t>
  </si>
  <si>
    <t>Super School Kit</t>
  </si>
  <si>
    <t>Super School Kit- Clear packaging</t>
  </si>
  <si>
    <t>Helix</t>
  </si>
  <si>
    <t>Journal</t>
  </si>
  <si>
    <t>Journal- Blue material</t>
  </si>
  <si>
    <t>Frozen Watch</t>
  </si>
  <si>
    <t>Frozen Watch- Wrist band</t>
  </si>
  <si>
    <t>Puffs Tissues</t>
  </si>
  <si>
    <t>Puffs Tissues- Tissue</t>
  </si>
  <si>
    <t>Bio-based Materials (Animal or Plant based) ex. leather, horn, silk, wool</t>
  </si>
  <si>
    <t>Puffs</t>
  </si>
  <si>
    <t>Bug Eyes Pencil Pouch</t>
  </si>
  <si>
    <t>Bug Eyes Pencil Pouch- Purple face</t>
  </si>
  <si>
    <t>Inkology</t>
  </si>
  <si>
    <t>Rechargeable PowerPack</t>
  </si>
  <si>
    <t>Rechargeable PowerPack- Grey Cord</t>
  </si>
  <si>
    <t>PNY</t>
  </si>
  <si>
    <t>Magic Rub Eraser</t>
  </si>
  <si>
    <t>Magic Rub Eraser - Grey Eraser</t>
  </si>
  <si>
    <t>Paper Mate</t>
  </si>
  <si>
    <t>Staples</t>
  </si>
  <si>
    <t>Silly Putty</t>
  </si>
  <si>
    <t>Silly Putty- Putty</t>
  </si>
  <si>
    <t>Silly Putty The Original</t>
  </si>
  <si>
    <t>Dog Planner</t>
  </si>
  <si>
    <t>Dog Planner- Planner covering</t>
  </si>
  <si>
    <t>Brown Trout Publishers, Inc.</t>
  </si>
  <si>
    <t>3-Hole Pencil Pouch</t>
  </si>
  <si>
    <t>3-Hole Pencil Pouch- Clear casing</t>
  </si>
  <si>
    <t>Zombie Bride Costume</t>
  </si>
  <si>
    <t>Zombie Bride Costume- Headband</t>
  </si>
  <si>
    <t>Stealth Ninja Costume</t>
  </si>
  <si>
    <t>Stealth Ninja Costume- Ninja toy black</t>
  </si>
  <si>
    <t>Family Value Makeup Kit</t>
  </si>
  <si>
    <t>Family Value Makeup Kit- White paint tray</t>
  </si>
  <si>
    <t>Family Value Makeup Kit- White detail brush handle</t>
  </si>
  <si>
    <t>Suspenders</t>
  </si>
  <si>
    <t>Suspenders- Pink smiley button</t>
  </si>
  <si>
    <t>Metals (Including alloys)</t>
  </si>
  <si>
    <t>5.1</t>
  </si>
  <si>
    <t>Devil Zipper FX Makeup Kit</t>
  </si>
  <si>
    <t>Devil Zipper FX Makeup Kit- Horn yellow/white</t>
  </si>
  <si>
    <t>Mason Jar Cyclops Kids Craft</t>
  </si>
  <si>
    <t>Mason Jar Cyclops Kids Craft- Mason jar</t>
  </si>
  <si>
    <t>Creatology</t>
  </si>
  <si>
    <t>Doc McStuffins Doctor Outfit</t>
  </si>
  <si>
    <t>Doc McStuffins Doctor Outfit- Hard headband material</t>
  </si>
  <si>
    <t>Costco</t>
  </si>
  <si>
    <t>Doctor Costume</t>
  </si>
  <si>
    <t>Doctor Costume- Clear tubbing on stethoscope</t>
  </si>
  <si>
    <t>Melissa &amp; Doug</t>
  </si>
  <si>
    <t>Joann's Fabrics</t>
  </si>
  <si>
    <t>Doctor Costume- Clear plastic of pockets on jacket</t>
  </si>
  <si>
    <t>Flashing Necklace</t>
  </si>
  <si>
    <t>Flashing Necklace- Insulated Electrical Wire</t>
  </si>
  <si>
    <t>Reusable Dressing Up for Halloween Tote</t>
  </si>
  <si>
    <t>Reusable Dressing Up for Halloween Tote- Orange handle material</t>
  </si>
  <si>
    <t>Superman Cape</t>
  </si>
  <si>
    <t>Superman Cape- Clear packaging for cape</t>
  </si>
  <si>
    <t>DC Comics</t>
  </si>
  <si>
    <t>Party City</t>
  </si>
  <si>
    <t>Monster High Makeup Kit</t>
  </si>
  <si>
    <t>Monster High Makeup Kit- Black makeup tray</t>
  </si>
  <si>
    <t>Monster High</t>
  </si>
  <si>
    <t>Black Grease Makeup</t>
  </si>
  <si>
    <t>Black Grease Makeup - Black plastic case</t>
  </si>
  <si>
    <t>Alterego</t>
  </si>
  <si>
    <t>Value Village</t>
  </si>
  <si>
    <t>Tiger Nose</t>
  </si>
  <si>
    <t>Tiger Nose - Yellow plastic mask</t>
  </si>
  <si>
    <t>Children's Pirate Teeth</t>
  </si>
  <si>
    <t>Children's Pirate Teeth - Pink gum</t>
  </si>
  <si>
    <t>Seasons</t>
  </si>
  <si>
    <t>Stealth Ninja Costume- Clear plastic costume packaging</t>
  </si>
  <si>
    <t>Classic Yoga Mat</t>
  </si>
  <si>
    <t>Classic Yoga Mat - Dark purple material</t>
  </si>
  <si>
    <t>Gaiam</t>
  </si>
  <si>
    <t>TMNT Tattoos</t>
  </si>
  <si>
    <t>TMNT Tattoos- Clear plastic cover on tattoos</t>
  </si>
  <si>
    <t>Red Reindeer Baby Pajamas</t>
  </si>
  <si>
    <t>Red Reindeer Baby Pajamas - Skid resistant sole</t>
  </si>
  <si>
    <t>Lotsa Lites Flashing Holiday Necklace</t>
  </si>
  <si>
    <t>Lotsa Lites Flashing Holiday Necklace- Black colored cord with wiring inside</t>
  </si>
  <si>
    <t>Lotsa Lites</t>
  </si>
  <si>
    <t>Hobby Lobby</t>
  </si>
  <si>
    <t>Small Kitty Vinyl Bag</t>
  </si>
  <si>
    <t>Small Kitty Vinyl Bag - White vinyl</t>
  </si>
  <si>
    <t>Catseye London</t>
  </si>
  <si>
    <t>Nordstrom</t>
  </si>
  <si>
    <t>Selfie Elfie</t>
  </si>
  <si>
    <t>Selfie Elfie- Light brown face plastic</t>
  </si>
  <si>
    <t>Silvestri! by Demdaco</t>
  </si>
  <si>
    <t>Ninja Turtles Tub Time Friends</t>
  </si>
  <si>
    <t>Ninja Turtles Tub Time Friends- Dark green turtle head plastic</t>
  </si>
  <si>
    <t>Very Vanilla Shower Gel</t>
  </si>
  <si>
    <t>Very Vanilla Shower Gel- Clear plastic of gel pouch</t>
  </si>
  <si>
    <t>Squeeze Me Brown Bear</t>
  </si>
  <si>
    <t>Squeeze Me Brown Bear- Light brown material</t>
  </si>
  <si>
    <t>GO! GAMES</t>
  </si>
  <si>
    <t>Go! Games</t>
  </si>
  <si>
    <t>Little Baby Doll</t>
  </si>
  <si>
    <t>Little Baby Doll - Head</t>
  </si>
  <si>
    <t>Santa Selfies Slippers</t>
  </si>
  <si>
    <t>Santa Selfies Slippers- Red grippers on bottom of slipper</t>
  </si>
  <si>
    <t>Mega Spa Kit</t>
  </si>
  <si>
    <t>Mega Spa Kit - Clear Plastic of Bag</t>
  </si>
  <si>
    <t>50</t>
  </si>
  <si>
    <t>Mom's Nice List Onesie</t>
  </si>
  <si>
    <t>Mom's Nice List Onesie- Foot grippers</t>
  </si>
  <si>
    <t>Inflatable Gingerbread Character</t>
  </si>
  <si>
    <t>Inflatable Gingerbread Character- Plastic inflatable nozzle</t>
  </si>
  <si>
    <t>Glitter Mermaid Bracelets and Necklace</t>
  </si>
  <si>
    <t>Glitter Mermaid Bracelets and Necklace- Green necklace</t>
  </si>
  <si>
    <t>Glitter</t>
  </si>
  <si>
    <t>Christmas Bath Duck</t>
  </si>
  <si>
    <t>Christmas Bath Duck- Yellow</t>
  </si>
  <si>
    <t>Baby on the go- baby doll with carrier and walker</t>
  </si>
  <si>
    <t>Baby on the go- Doll head</t>
  </si>
  <si>
    <t>Lovee Doll and Toy Co., Inc.</t>
  </si>
  <si>
    <t>Ross</t>
  </si>
  <si>
    <t>Frozen Antiseptic Hand Gel</t>
  </si>
  <si>
    <t>Frozen Antiseptic Hand Gel- Berry scented gel</t>
  </si>
  <si>
    <t>Batman Stocking</t>
  </si>
  <si>
    <t>Batman Stocking - Blue Decal</t>
  </si>
  <si>
    <t>Simple Pleasures Mini Nail Kit</t>
  </si>
  <si>
    <t>Simple Pleasures Mini Nail Kit - Reusable bag</t>
  </si>
  <si>
    <t>Dream Princess</t>
  </si>
  <si>
    <t>Dream Princess - Clear toe strap</t>
  </si>
  <si>
    <t>Girls Out Loud</t>
  </si>
  <si>
    <t>Ninja Turtle Hero Head Jump-Up</t>
  </si>
  <si>
    <t>Ninja Turtle Hero Head Jump-Up - Clear Base</t>
  </si>
  <si>
    <t>Claire's Tattoo Party</t>
  </si>
  <si>
    <t>Claire's Tattoo Party- Black stencil tattoo material</t>
  </si>
  <si>
    <t>Transformers Hopper Sauteur</t>
  </si>
  <si>
    <t>Transformers Hopper Sauteur - Plug</t>
  </si>
  <si>
    <t>Transformers</t>
  </si>
  <si>
    <t>Hello Kitty Glitter Tote Bag</t>
  </si>
  <si>
    <t>Hello Kitty Glitter Tote Bag - Green on Heart Keychain</t>
  </si>
  <si>
    <t>Frozen Elsa &amp; Anna Perfumes</t>
  </si>
  <si>
    <t>Frozen Elsa &amp; Anna Perfumes - Blue Perfume Neck</t>
  </si>
  <si>
    <t>Poochie Dance Dress Up</t>
  </si>
  <si>
    <t>Poochie Dance Dress Up - Carrying Case Handle</t>
  </si>
  <si>
    <t>49</t>
  </si>
  <si>
    <t>My Dream Doll Luvable Baby</t>
  </si>
  <si>
    <t>My Dream Doll Luvable Baby - Carrying Case Clear Lid</t>
  </si>
  <si>
    <t>My Dream Doll</t>
  </si>
  <si>
    <t>My Dream Doll Luvable Baby - Doll Body</t>
  </si>
  <si>
    <t>ABC's &amp; 123's Foam Puzzle</t>
  </si>
  <si>
    <t>ABC's &amp; 123's Foam Puzzle - Clear Carrying Case</t>
  </si>
  <si>
    <t>Verdes Toys Corp.</t>
  </si>
  <si>
    <t>Fancy Nail Patch Kit</t>
  </si>
  <si>
    <t>Fancy Nail Patch Kit - Pink Nail File Surface</t>
  </si>
  <si>
    <t>Glass, Ceramic and Siliceous material</t>
  </si>
  <si>
    <t>Hot Focus</t>
  </si>
  <si>
    <t>Silly Straw</t>
  </si>
  <si>
    <t>Silly Straw - Tube - soft</t>
  </si>
  <si>
    <t>Westminster</t>
  </si>
  <si>
    <t>Boys' Shark T Shirt and Shorts</t>
  </si>
  <si>
    <t>Boys' Shark T Shirt and Shorts - Light Blue Print on Shirt</t>
  </si>
  <si>
    <t>Koala baby</t>
  </si>
  <si>
    <t>24.6</t>
  </si>
  <si>
    <t>Active Muscle Tank</t>
  </si>
  <si>
    <t>Active Muscle Tank - Dark Blue Print on Shirt</t>
  </si>
  <si>
    <t>Jumping Bean</t>
  </si>
  <si>
    <t>23.6</t>
  </si>
  <si>
    <t>Minnie Mouse Dress</t>
  </si>
  <si>
    <t>Minnie Mouse Dress - Rainbow Print</t>
  </si>
  <si>
    <t>24.2</t>
  </si>
  <si>
    <t>Boys' Mountain Stamp T-Shirt</t>
  </si>
  <si>
    <t>Boys' Mountain Stamp T-Shirt - Orange Print</t>
  </si>
  <si>
    <t>REI Co-op</t>
  </si>
  <si>
    <t>REI</t>
  </si>
  <si>
    <t>24.3</t>
  </si>
  <si>
    <t>Boys' Sahara Convertible Pants</t>
  </si>
  <si>
    <t>Boys' Sahara Convertible Pants - Waist Button</t>
  </si>
  <si>
    <t>DC Superhero Girls Purse</t>
  </si>
  <si>
    <t>DC Superhero Girls Purse - Red Shiny Fabric</t>
  </si>
  <si>
    <t>DC Superhero Girls</t>
  </si>
  <si>
    <t>22.2</t>
  </si>
  <si>
    <t>DC Superhero Girls Purse - Front Wonder Woman Decal</t>
  </si>
  <si>
    <t>22.7</t>
  </si>
  <si>
    <t>Burger Hat</t>
  </si>
  <si>
    <t>Burger Hat - Clear Portion of the Plastic Eye</t>
  </si>
  <si>
    <t>Cat &amp; Jack</t>
  </si>
  <si>
    <t>22.5</t>
  </si>
  <si>
    <t>Burger Hat - Hat Fastener</t>
  </si>
  <si>
    <t>Star Wars Tri-Fold Wallet</t>
  </si>
  <si>
    <t>Star Wars Tri-Fold Wallet - Outer Hologram Plastic</t>
  </si>
  <si>
    <t>24.5</t>
  </si>
  <si>
    <t>Non-Skid Triple Cuff Sock</t>
  </si>
  <si>
    <t>Non-Skid Triple Cuff Sock - White Grip Print</t>
  </si>
  <si>
    <t>Koala kids</t>
  </si>
  <si>
    <t>Black Swim Sandal</t>
  </si>
  <si>
    <t>Black Swim Sandal - Black Sole Foam Upper</t>
  </si>
  <si>
    <t>23.5</t>
  </si>
  <si>
    <t>Girls' Pink Heart with Bird Two-piece Sleepwear</t>
  </si>
  <si>
    <t>Girls' Pink Heart with Bird Two-piece Sleepwear - Shirt Decal</t>
  </si>
  <si>
    <t>Peas &amp; Carrots</t>
  </si>
  <si>
    <t>21.3</t>
  </si>
  <si>
    <t>Bronto-S'more-us T-shirt</t>
  </si>
  <si>
    <t>Bronto-S'more-us T-shirt - Green Decal</t>
  </si>
  <si>
    <t>okie dokie</t>
  </si>
  <si>
    <t>24.4</t>
  </si>
  <si>
    <t>Surf Boards Flip-Flops</t>
  </si>
  <si>
    <t>Surf Boards Flip-Flops - Surface Paint</t>
  </si>
  <si>
    <t>21.7</t>
  </si>
  <si>
    <t>Surf Boards Flip-Flops - Orange Plastic</t>
  </si>
  <si>
    <t>21.4</t>
  </si>
  <si>
    <t>Multi Sequin Slippers</t>
  </si>
  <si>
    <t>Multi Sequin Slippers - Brown Sole Fabric</t>
  </si>
  <si>
    <t>Total Girl</t>
  </si>
  <si>
    <t>Rubber Shark Boot</t>
  </si>
  <si>
    <t>Rubber Shark Boot - Red/White Shark Teeth</t>
  </si>
  <si>
    <t>Rubber Shark Boot - Rubber Loops</t>
  </si>
  <si>
    <t>Pink Shoe</t>
  </si>
  <si>
    <t>Pink Shoe - White Foam</t>
  </si>
  <si>
    <t>24.9</t>
  </si>
  <si>
    <t>Pink Flip-Flop</t>
  </si>
  <si>
    <t>Pink Flip-Flop - Green Plastic</t>
  </si>
  <si>
    <t>Burger Hat - White Portion of the Plastic Eye</t>
  </si>
  <si>
    <t>Despicable Me 2 Shoes</t>
  </si>
  <si>
    <t>Despicable Me 2 Shoes - Side Minion Decoration</t>
  </si>
  <si>
    <t>Zulily</t>
  </si>
  <si>
    <t>Despicable Me Slippers - Plastic Eyes - Clear and White Combined</t>
  </si>
  <si>
    <t>Minion Made</t>
  </si>
  <si>
    <t>23.9</t>
  </si>
  <si>
    <t>Girls' Long Sleeve Owl Pajama</t>
  </si>
  <si>
    <t>Girls' Long Sleeve Owl Pajama - Pink Heart Decoration</t>
  </si>
  <si>
    <t>Komar Kids</t>
  </si>
  <si>
    <t>23.3</t>
  </si>
  <si>
    <t>Pool to Playground Sneaker Sandal</t>
  </si>
  <si>
    <t>Pool to Playground Sneaker Sandal - Blue Sole Foam</t>
  </si>
  <si>
    <t>London Fog</t>
  </si>
  <si>
    <t>Fleece Critters Monkey Hat and Mitten Set</t>
  </si>
  <si>
    <t>Fleece Critters Monkey Hat and Mitten Set - Black Plastic Eyes</t>
  </si>
  <si>
    <t>Accessories 22</t>
  </si>
  <si>
    <t>DC Superhero Girls Nightshirt</t>
  </si>
  <si>
    <t>DC Superhero Girls Nightshirt - Yellow Decal</t>
  </si>
  <si>
    <t>Despicable Me Slippers - Mouth</t>
  </si>
  <si>
    <t>24.8</t>
  </si>
  <si>
    <t>Foogo Vacuum Insulated Stainless Steel Straw Bottle</t>
  </si>
  <si>
    <t>Foogo Vacuum Insulated Stainless Steel Straw Bottle - External Drink Tube</t>
  </si>
  <si>
    <t>Foogo</t>
  </si>
  <si>
    <t>SW8270E</t>
  </si>
  <si>
    <t>AS RECEIVED</t>
  </si>
  <si>
    <t>Sample was processed as received.</t>
  </si>
  <si>
    <t>The Honest Company Baby Diaper</t>
  </si>
  <si>
    <t>The Honest Company Baby Diaper - Absorbing Pad Material</t>
  </si>
  <si>
    <t>The Honest Co.</t>
  </si>
  <si>
    <t>The Honest Company Baby Wipes</t>
  </si>
  <si>
    <t>The Honest Company Baby Wipes - Cleansing Cloth Wipes</t>
  </si>
  <si>
    <t>17.9</t>
  </si>
  <si>
    <t>Infantino Squeeze and Teethe Cow</t>
  </si>
  <si>
    <t>Infantino Squeeze and Teethe Cow - Teething Cow Pink  Mouth</t>
  </si>
  <si>
    <t>Infantino</t>
  </si>
  <si>
    <t>21.9</t>
  </si>
  <si>
    <t>Tommee Tippee Advanced Anti-Colic Bottle</t>
  </si>
  <si>
    <t>Tommee Tippee Advanced Anti-Colic Bottle - Star Valve</t>
  </si>
  <si>
    <t>Tommee Tippee</t>
  </si>
  <si>
    <t>20.2</t>
  </si>
  <si>
    <t>Tommee Tippee Insulated Straw Tumbler</t>
  </si>
  <si>
    <t>Tommee Tippee Insulated Straw Tumbler - Inner Drink Straw</t>
  </si>
  <si>
    <t>19.1</t>
  </si>
  <si>
    <t>Tommee Tippee Insulated Straw Tumbler - Inner Tube</t>
  </si>
  <si>
    <t>21.2</t>
  </si>
  <si>
    <t>Tommee Tippee  Naturally Orthodontic Pacifier</t>
  </si>
  <si>
    <t>Tommee Tippee  Naturally Orthodontic Pacifier - Pacifier Nipple</t>
  </si>
  <si>
    <t>Tommee Tippee Night Time Orthodontic Pacifiers</t>
  </si>
  <si>
    <t>Tommee Tippee Night Time Orthodontic Pacifiers - Nipple</t>
  </si>
  <si>
    <t>Tommee Tippee Cereal Added  Baby Bottle</t>
  </si>
  <si>
    <t>Tommee Tippee Cereal Added  Baby Bottle - Bottle</t>
  </si>
  <si>
    <t>Infantino Tub O' Toys</t>
  </si>
  <si>
    <t>Infantino Tub O' Toys - Green Ball</t>
  </si>
  <si>
    <t>22.4</t>
  </si>
  <si>
    <t>Infantino Tag Along Chime</t>
  </si>
  <si>
    <t>Infantino Tag Along Chime - Teether</t>
  </si>
  <si>
    <t>109</t>
  </si>
  <si>
    <t>Earth Mama Calming Lavender Baby Lotion</t>
  </si>
  <si>
    <t>Earth Mama Calming Lavender Baby Lotion - Lotion</t>
  </si>
  <si>
    <t>Earth Mama</t>
  </si>
  <si>
    <t>SW3580A</t>
  </si>
  <si>
    <t>21.6</t>
  </si>
  <si>
    <t>Laser Pegs Green Monster Rally Truck</t>
  </si>
  <si>
    <t>Laser Pegs Green Monster Rally Truck - Black Tire</t>
  </si>
  <si>
    <t>Laser Pegs</t>
  </si>
  <si>
    <t>20.7</t>
  </si>
  <si>
    <t>Bright Starts Stay Cool Teethers Gel-filled</t>
  </si>
  <si>
    <t>Bright Starts Stay Cool Teethers Gel-filled - Green Teether</t>
  </si>
  <si>
    <t>Parent's Choice Milk Storage Containers</t>
  </si>
  <si>
    <t>Parent's Choice Milk Storage Containers - Bottle Cap Insert</t>
  </si>
  <si>
    <t>Parent's Choice Single Wall Stainless Steel Feeding Bottle</t>
  </si>
  <si>
    <t>Parent's Choice Single Wall Stainless Steel Feeding Bottle - Clear Nipple</t>
  </si>
  <si>
    <t>20.1</t>
  </si>
  <si>
    <t>Bright Starts John Deere On the Cob Teether</t>
  </si>
  <si>
    <t>Bright Starts John Deere On the Cob Teether - Yellow Corn Teether</t>
  </si>
  <si>
    <t>22.9</t>
  </si>
  <si>
    <t>Fisher-Price Rock-a-Stack</t>
  </si>
  <si>
    <t>Fisher-Price Rock-a-Stack - Orange Ring</t>
  </si>
  <si>
    <t>Fisher-Price</t>
  </si>
  <si>
    <t>23.8</t>
  </si>
  <si>
    <t>Bright Starts Oball Rattle</t>
  </si>
  <si>
    <t>Bright Starts Oball Rattle - Pink Ball portion of Rattle</t>
  </si>
  <si>
    <t>Melissa &amp; Doug Pet Vet Playset</t>
  </si>
  <si>
    <t>Melissa &amp; Doug Pet Vet Playset - White Soft Tubing on Stethoscope</t>
  </si>
  <si>
    <t>Melissa &amp; Doug Pull-Back Town Vehicles Variety Pack</t>
  </si>
  <si>
    <t>Melissa &amp; Doug Pull-Back Town Vehicles Variety Pack - Clear Packaging Bag</t>
  </si>
  <si>
    <t>14.8</t>
  </si>
  <si>
    <t>Savvi Dino Mite Tattoos</t>
  </si>
  <si>
    <t>Savvi Dino Mite Tattoos - Blue Bird  and Emoji Tattoos</t>
  </si>
  <si>
    <t>Savvi</t>
  </si>
  <si>
    <t>18.3</t>
  </si>
  <si>
    <t>Disney Baby Mickey Mouse Pacifier (2 sets)</t>
  </si>
  <si>
    <t>Disney Baby Mickey Mouse Pacifier (2 sets) - Nipple</t>
  </si>
  <si>
    <t>Disney baby</t>
  </si>
  <si>
    <t>18.5</t>
  </si>
  <si>
    <t>Sesame Beginnings Cookie Monster Bath Squirter</t>
  </si>
  <si>
    <t>Sesame Beginnings Cookie Monster Bath Squirter - White Diaper on Blue Cookie Monster</t>
  </si>
  <si>
    <t>Sesame Beginnings</t>
  </si>
  <si>
    <t>Sesame Beginnings Cookie Monster Water Filled Teether</t>
  </si>
  <si>
    <t>Sesame Beginnings Cookie Monster Water Filled Teether - Blue Teether</t>
  </si>
  <si>
    <t>20.9</t>
  </si>
  <si>
    <t>Baby King Green Nurser Bottle</t>
  </si>
  <si>
    <t>Baby King Green Nurser Bottle - Green Bottle</t>
  </si>
  <si>
    <t>Baby King</t>
  </si>
  <si>
    <t>Baby King Clear Nurser Bottle</t>
  </si>
  <si>
    <t>Baby King Clear Nurser Bottle - Nipple</t>
  </si>
  <si>
    <t>20.6</t>
  </si>
  <si>
    <t>Melissa &amp; Doug On the Farm Puffy Sticker Play Set</t>
  </si>
  <si>
    <t>Melissa &amp; Doug On the Farm Puffy Sticker Play Set - Brown Horse - Puffy Stickers</t>
  </si>
  <si>
    <t>20.4</t>
  </si>
  <si>
    <t>Little People Zoo Animal Friends</t>
  </si>
  <si>
    <t>Little People Zoo Animal Friends - Tiger</t>
  </si>
  <si>
    <t>Little People</t>
  </si>
  <si>
    <t>18.6</t>
  </si>
  <si>
    <t>Happy Easter Jump Rope Basket</t>
  </si>
  <si>
    <t>Happy Easter Jump Rope Basket - Pink Jump Rope</t>
  </si>
  <si>
    <t>Happy Easter!</t>
  </si>
  <si>
    <t>Happy Easter Jump Rope Basket - White Badminton Shuttlecock</t>
  </si>
  <si>
    <t>22.8</t>
  </si>
  <si>
    <t>Happy Easter Little Princess Basket</t>
  </si>
  <si>
    <t>Happy Easter Little Princess Basket - Clear Blue Plastic Strip On Shoe</t>
  </si>
  <si>
    <t>Sassy My First Rattles</t>
  </si>
  <si>
    <t>Sassy My First Rattles - White Mesh on Circle Rattle</t>
  </si>
  <si>
    <t>Sassy</t>
  </si>
  <si>
    <t>107</t>
  </si>
  <si>
    <t>Sassy My First Rattles - Green Handle of Circle Rattle</t>
  </si>
  <si>
    <t>L.O.L Surprise Fanny Pack</t>
  </si>
  <si>
    <t>L.O.L Surprise Fanny Pack - Front Character</t>
  </si>
  <si>
    <t>L.O.L. Surprise!</t>
  </si>
  <si>
    <t>JoJo Siwa Shoe Design Handbag</t>
  </si>
  <si>
    <t>JoJo Siwa Shoe Design Handbag - Silver Colored Bottom of Shoe</t>
  </si>
  <si>
    <t>JoJo Siwa</t>
  </si>
  <si>
    <t>Easter Bunny Krazy Straws</t>
  </si>
  <si>
    <t>Easter Bunny Krazy Straws - Yellow Straw</t>
  </si>
  <si>
    <t>Krazy Straw</t>
  </si>
  <si>
    <t>Krazy Straws</t>
  </si>
  <si>
    <t>Smith &amp; Vandiver Dino-Bubbles Jungle Grape</t>
  </si>
  <si>
    <t>Smith &amp; Vandiver Dino-Bubbles Jungle Grape - Natural Safe Bath Time Suds</t>
  </si>
  <si>
    <t>Smith &amp; Vandiver Corp.</t>
  </si>
  <si>
    <t>Smith &amp; Vandiver</t>
  </si>
  <si>
    <t>19.5</t>
  </si>
  <si>
    <t>Breyer My Dream Horse Paint On Canvas</t>
  </si>
  <si>
    <t>Breyer My Dream Horse Paint On Canvas - Pink Paint</t>
  </si>
  <si>
    <t>Breyer</t>
  </si>
  <si>
    <t>Breyer Horses</t>
  </si>
  <si>
    <t>19.4</t>
  </si>
  <si>
    <t>Essential Home ABC Rug</t>
  </si>
  <si>
    <t>Essential Home ABC Rug - Non Slip Backing</t>
  </si>
  <si>
    <t>Essential Home</t>
  </si>
  <si>
    <t>Spin Master Paw Patrol Insulated Lunch Kit</t>
  </si>
  <si>
    <t>Spin Master Paw Patrol Insulated Lunch Kit - Front Paw Patrol Printed Material</t>
  </si>
  <si>
    <t>Spin Master</t>
  </si>
  <si>
    <t>23.4</t>
  </si>
  <si>
    <t>My Princess Academy Princess Shoe Set</t>
  </si>
  <si>
    <t>My Princess Academy Princess Shoe Set - Clear Front Strap on Pink-Bow Sandal</t>
  </si>
  <si>
    <t>My Princess Academy</t>
  </si>
  <si>
    <t>22.6</t>
  </si>
  <si>
    <t>My Princess Academy Princess Shoe Set - Pink Bow Sandal-Clear Heel Insert</t>
  </si>
  <si>
    <t>19.7</t>
  </si>
  <si>
    <t>Tri Coastal Designs Water Bottle with Flip-Up Straw</t>
  </si>
  <si>
    <t>Tri Coastal Designs Water Bottle with Flip-Up Straw - Inner Bottle Straw</t>
  </si>
  <si>
    <t>Tri Coastal Designs</t>
  </si>
  <si>
    <t>Breyer Paint Spirit &amp; Stable</t>
  </si>
  <si>
    <t>Breyer Paint Spirit &amp; Stable - Green Paint</t>
  </si>
  <si>
    <t>Breyer Luna Magical Color Change Bath Unicorn</t>
  </si>
  <si>
    <t>Breyer Luna Magical Color Change Bath Unicorn - Atomizer Spray Bottle</t>
  </si>
  <si>
    <t>Breyer Luna Magical Color Change Bath Unicorn - Unicorn Mane and Tail Hair</t>
  </si>
  <si>
    <t>Amazon Essentials Fresh Scent Baby Wipes</t>
  </si>
  <si>
    <t>Amazon Essentials Fresh Scent Baby Wipes - Wipes</t>
  </si>
  <si>
    <t>Amazon Essentials</t>
  </si>
  <si>
    <t>Mr. Bubble Body Lotion</t>
  </si>
  <si>
    <t>Mr. Bubble Body Lotion - Lotion</t>
  </si>
  <si>
    <t>Elf on the Shelf Dress-Up Set</t>
  </si>
  <si>
    <t>Elf on the Shelf Dress-Up Set - Snow Tube</t>
  </si>
  <si>
    <t>Elf on the Shelf</t>
  </si>
  <si>
    <t>22.3</t>
  </si>
  <si>
    <t>PackIt Spaceman Freezable Classic Lunch Box</t>
  </si>
  <si>
    <t>PackIt Spaceman Freezable Classic Lunch Box - White Inner Liner</t>
  </si>
  <si>
    <t>PackIt</t>
  </si>
  <si>
    <t>Elf on the Shelf Dress-Up Set - Snow Tube Air Intake Spout</t>
  </si>
  <si>
    <t>My Princess Academy Princess Shoe Set - Carrying Bag Clear Plastic - Back</t>
  </si>
  <si>
    <t>Strawberry Shortcake Berry Bitty Friends Mini Dolls Set</t>
  </si>
  <si>
    <t>Strawberry Shortcake Berry Bitty Friends Mini Dolls Set - Yellow Dress</t>
  </si>
  <si>
    <t>Strawberry Shortcake</t>
  </si>
  <si>
    <t>Strawberry Shortcake Berry Best Friend Orange Blossom Doll</t>
  </si>
  <si>
    <t>Strawberry Shortcake Berry Best Friend Orange Blossom Doll - Scented Doll Arms</t>
  </si>
  <si>
    <t>Smith &amp; Vandiver Green Dino-Fizz - Bath - Tyrannosaurus</t>
  </si>
  <si>
    <t>Smith &amp; Vandiver Green Dino-Fizz - Bath - Tyrannosaurus - Dinosaur Toy</t>
  </si>
  <si>
    <t>Strawberry Shortcake Classic Doll</t>
  </si>
  <si>
    <t>Strawberry Shortcake Classic Doll - Doll Face</t>
  </si>
  <si>
    <t>20.8</t>
  </si>
  <si>
    <t>Sassy My First Rattles - Clear Plastic Coating on Rattle Toy</t>
  </si>
  <si>
    <t>Strawberry Shortcake Classic Doll - Doll Face 2</t>
  </si>
  <si>
    <t>Unscented Extra Hold Hairspray</t>
  </si>
  <si>
    <t>Unscented Extra Hold Hairspray - Styling Spray</t>
  </si>
  <si>
    <t>White Rain</t>
  </si>
  <si>
    <t>Color Icon Nail Polish (1115473)</t>
  </si>
  <si>
    <t>Color Icon Nail Polish (1115473) - Nail Polish</t>
  </si>
  <si>
    <t>Wet n Wild</t>
  </si>
  <si>
    <t>Nail Art Pens (Blueberry Scented)</t>
  </si>
  <si>
    <t>Nail Art Pens (Blueberry Scented) - Nail Polish</t>
  </si>
  <si>
    <t>Onyx Professional Value</t>
  </si>
  <si>
    <t>Nail Treatment (Base/Top Coat)</t>
  </si>
  <si>
    <t>Nail Treatment (Base/Top Coat) - Nail Polish</t>
  </si>
  <si>
    <t>L.A. Colors</t>
  </si>
  <si>
    <t>Fast Gel Nail Lacquer (145 Red Punch)</t>
  </si>
  <si>
    <t>Fast Gel Nail Lacquer (145 Red Punch) - Nail Polish</t>
  </si>
  <si>
    <t>Maybelline</t>
  </si>
  <si>
    <t>18.8</t>
  </si>
  <si>
    <t>Nail Polish (902)</t>
  </si>
  <si>
    <t>Nail Polish (902) - Nail Polish</t>
  </si>
  <si>
    <t>Nucolor</t>
  </si>
  <si>
    <t>Color Craze Nail Polish (Bling Babe)</t>
  </si>
  <si>
    <t>Color Craze Nail Polish (Bling Babe) - Nail Polish</t>
  </si>
  <si>
    <t>Dye and Scent Free Feminine Cleansing Wash</t>
  </si>
  <si>
    <t>Dye and Scent Free Feminine Cleansing Wash - Cleansing Wash</t>
  </si>
  <si>
    <t>Equate</t>
  </si>
  <si>
    <t>16.3</t>
  </si>
  <si>
    <t>Mermaid Magic Nail Polish (CNL72 Sea Life)</t>
  </si>
  <si>
    <t>Mermaid Magic Nail Polish (CNL72 Sea Life) - Nail Polish</t>
  </si>
  <si>
    <t>Just Add Sun Color Changing Nail Polish</t>
  </si>
  <si>
    <t>Just Add Sun Color Changing Nail Polish - Nail Polish</t>
  </si>
  <si>
    <t>Beyond</t>
  </si>
  <si>
    <t>21.1</t>
  </si>
  <si>
    <t>Professional Nail Lacquer (346 Shimmer Down)</t>
  </si>
  <si>
    <t>Professional Nail Lacquer (346 Shimmer Down) - Nail Polish</t>
  </si>
  <si>
    <t>Salon Perfect</t>
  </si>
  <si>
    <t>Daily Care Foam Wash</t>
  </si>
  <si>
    <t>Daily Care Foam Wash - Wash</t>
  </si>
  <si>
    <t>L.</t>
  </si>
  <si>
    <t>Unscented Max Hold Hairspray</t>
  </si>
  <si>
    <t>Unscented Max Hold Hairspray - Styling Spray</t>
  </si>
  <si>
    <t>Suave</t>
  </si>
  <si>
    <t>Tresemme</t>
  </si>
  <si>
    <t>Unscented 4X Mega Hold Hairspray</t>
  </si>
  <si>
    <t>Unscented 4X Mega Hold Hairspray - Styling Spray</t>
  </si>
  <si>
    <t>Rave</t>
  </si>
  <si>
    <t>19</t>
  </si>
  <si>
    <t>Cleanse Fragrance Free Sensitive Wash</t>
  </si>
  <si>
    <t>Cleanse Fragrance Free Sensitive Wash - Wash</t>
  </si>
  <si>
    <t>Always</t>
  </si>
  <si>
    <t>18.2</t>
  </si>
  <si>
    <t>Fragrance Free Daily Gentle Wash</t>
  </si>
  <si>
    <t>Fragrance Free Daily Gentle Wash - Wash</t>
  </si>
  <si>
    <t>Summer's Eve</t>
  </si>
  <si>
    <t>Hard as Nails, Nail Polish (460 Garnet Attention)</t>
  </si>
  <si>
    <t>Hard as Nails, Nail Polish (460 Garnet Attention) - Nail Polish</t>
  </si>
  <si>
    <t>23.1</t>
  </si>
  <si>
    <t>Derma Care Soothing Wash</t>
  </si>
  <si>
    <t>Derma Care Soothing Wash - Wash</t>
  </si>
  <si>
    <t>Dove Baby</t>
  </si>
  <si>
    <t>16.8</t>
  </si>
  <si>
    <t>Fragrance Free Foaming Shampoo &amp; Body Wash</t>
  </si>
  <si>
    <t>Fragrance Free Foaming Shampoo &amp; Body Wash - Wash</t>
  </si>
  <si>
    <t>babyganics</t>
  </si>
  <si>
    <t>Feminine Cleanser with Boric Acid</t>
  </si>
  <si>
    <t>Feminine Cleanser with Boric Acid - Wash</t>
  </si>
  <si>
    <t>Monistat</t>
  </si>
  <si>
    <t>Fragrance Free Cleansing Wash</t>
  </si>
  <si>
    <t>Fragrance Free Cleansing Wash - Wash</t>
  </si>
  <si>
    <t>up &amp; up</t>
  </si>
  <si>
    <t>Elite Nail Polish (Paradise Isle)</t>
  </si>
  <si>
    <t>Elite Nail Polish (Paradise Isle) - Nail Polish</t>
  </si>
  <si>
    <t>ella + mila</t>
  </si>
  <si>
    <t>Nail Polish (Hibiscus)</t>
  </si>
  <si>
    <t>Nail Polish (Hibiscus) - Nail Polish</t>
  </si>
  <si>
    <t>Olive &amp; June</t>
  </si>
  <si>
    <t>Scented Nail Polish (Bubble Gum Bash)</t>
  </si>
  <si>
    <t>Scented Nail Polish (Bubble Gum Bash) - Nail Polish</t>
  </si>
  <si>
    <t>Piggy Paint</t>
  </si>
  <si>
    <t>15.8</t>
  </si>
  <si>
    <t>Coco For Real Chocolate Scented Nail Polish (Rock It Chocolate)</t>
  </si>
  <si>
    <t>Coco For Real Chocolate Scented Nail Polish (Rock It Chocolate) - Nail Polish</t>
  </si>
  <si>
    <t>Nails Inc.</t>
  </si>
  <si>
    <t>Nail Lacquer (490 not red-y for bed)</t>
  </si>
  <si>
    <t>Nail Lacquer (490 not red-y for bed) - Nail Polish</t>
  </si>
  <si>
    <t>essie</t>
  </si>
  <si>
    <t>Fragrance Free Baby Body Wash &amp; Shampoo</t>
  </si>
  <si>
    <t>Fragrance Free Baby Body Wash &amp; Shampoo - Wash</t>
  </si>
  <si>
    <t>Arm &amp; Hammer</t>
  </si>
  <si>
    <t>Wildshine Nail Color (487E Grape Minds Think Alike)</t>
  </si>
  <si>
    <t>Wildshine Nail Color (487E Grape Minds Think Alike) - Nail Polish</t>
  </si>
  <si>
    <t>Colorstay Gel Envy Longwear Nail Enamel (600 Queen of Hearts)</t>
  </si>
  <si>
    <t>Colorstay Gel Envy Longwear Nail Enamel (600 Queen of Hearts) - Nail Polish</t>
  </si>
  <si>
    <t>Revlon</t>
  </si>
  <si>
    <t>Unscented Hair Spray</t>
  </si>
  <si>
    <t>Unscented Hair Spray - Styling Spray</t>
  </si>
  <si>
    <t>Alberto V05</t>
  </si>
  <si>
    <t>Complete Nail Set</t>
  </si>
  <si>
    <t>Complete Nail Set - Opaque Nail Polish (Pink)</t>
  </si>
  <si>
    <t>24.7</t>
  </si>
  <si>
    <t>Unscented Professional Shaping Hair Spray</t>
  </si>
  <si>
    <t>Unscented Professional Shaping Hair Spray - Styling Spray</t>
  </si>
  <si>
    <t>Salon Grafix</t>
  </si>
  <si>
    <t>Fragrance Free pH Balancing Cleanser</t>
  </si>
  <si>
    <t>Fragrance Free pH Balancing Cleanser - Wash</t>
  </si>
  <si>
    <t>Love Wellness</t>
  </si>
  <si>
    <t>19.6</t>
  </si>
  <si>
    <t>Fragrance Free Skin Relief Body Wash</t>
  </si>
  <si>
    <t>Fragrance Free Skin Relief Body Wash - Wash</t>
  </si>
  <si>
    <t>Aveeno</t>
  </si>
  <si>
    <t>Fragrance Free Premium Baby Shampoo &amp; Wash</t>
  </si>
  <si>
    <t>Fragrance Free Premium Baby Shampoo &amp; Wash - Wash</t>
  </si>
  <si>
    <t>Hello Bello</t>
  </si>
  <si>
    <t>Unscented Max Hold Hairspray (Non-Aerosol)</t>
  </si>
  <si>
    <t>Unscented Max Hold Hairspray (Non-Aerosol) - Styling Spray</t>
  </si>
  <si>
    <t>20.5</t>
  </si>
  <si>
    <t>Nail Lacquer (NLH08 - I'm Not Really a Waitress)</t>
  </si>
  <si>
    <t>Nail Lacquer (NLH08 - I'm Not Really a Waitress) - Nail Polish</t>
  </si>
  <si>
    <t>OPI</t>
  </si>
  <si>
    <t>Unscented Sensitive Skin Body Wash</t>
  </si>
  <si>
    <t>Unscented Sensitive Skin Body Wash - Wash</t>
  </si>
  <si>
    <t>Oil of Life</t>
  </si>
  <si>
    <t>15.7</t>
  </si>
  <si>
    <t>Nail Polish with Hardeners (CV010 A Little Drama)</t>
  </si>
  <si>
    <t>Nail Polish with Hardeners (CV010 A Little Drama) - Nail Polish</t>
  </si>
  <si>
    <t>Color Vibe</t>
  </si>
  <si>
    <t>Old ID: TG086-a00, Disney Pixar Brave, transforming triplets</t>
  </si>
  <si>
    <t>Old ID: TG086-c01, black flexible plastic bears</t>
  </si>
  <si>
    <t>Disney Pixar</t>
  </si>
  <si>
    <t>UJ</t>
  </si>
  <si>
    <t>34</t>
  </si>
  <si>
    <t>Old ID: AM034-a00, Slimy Slugs</t>
  </si>
  <si>
    <t>Old ID: AM034-c01, yellow slime (in plastic bag)</t>
  </si>
  <si>
    <t>Horrible Science</t>
  </si>
  <si>
    <t>2.5</t>
  </si>
  <si>
    <t>Old ID: AM040-a00, Frog Splat Ball</t>
  </si>
  <si>
    <t>Old ID: AM040-c01, green flexible plastic outer body without inner liquid (in plastic bag)</t>
  </si>
  <si>
    <t>440</t>
  </si>
  <si>
    <t>Old ID: AM044-a00, Bendable Zoo Animals</t>
  </si>
  <si>
    <t>Old ID: AM044-x01, composite of c01 - c04</t>
  </si>
  <si>
    <t>Old ID: AM051-a00, Squigglets Bracelet</t>
  </si>
  <si>
    <t>Old ID: AM051-c01, orange soft plastic stringy bracelet</t>
  </si>
  <si>
    <t>Old ID: BL014-a00, Spider-Man Swim Gear (mask and flippers)</t>
  </si>
  <si>
    <t>Old ID: BL014-c01, red soft plastic hand flipper</t>
  </si>
  <si>
    <t>Big Time</t>
  </si>
  <si>
    <t>Big Lots</t>
  </si>
  <si>
    <t>47</t>
  </si>
  <si>
    <t>Old ID: BL028-a00, Model Magic Presto Dots, Phony Phoods Mini</t>
  </si>
  <si>
    <t>Old ID: BL028-c06, purple shimmer modelling material</t>
  </si>
  <si>
    <t>4</t>
  </si>
  <si>
    <t>Old ID: FM051-a00, Egg Splat</t>
  </si>
  <si>
    <t>Old ID: FM051-c01, clear soft plastic egg case (on plastic bag)</t>
  </si>
  <si>
    <t>380</t>
  </si>
  <si>
    <t>Old ID: FM052-a00, Sticky Icky Creatures</t>
  </si>
  <si>
    <t>Old ID: FM052-c01, green soft plastic animal (on plastic bag)</t>
  </si>
  <si>
    <t>410</t>
  </si>
  <si>
    <t>Old ID: FM058-a00, Silly Sludge, Dr. Wacko's Mad Lab</t>
  </si>
  <si>
    <t>Old ID: FM058-c01, black sludge (in plastic bag)</t>
  </si>
  <si>
    <t>3.8</t>
  </si>
  <si>
    <t>Old ID: DT046-a00, Gel Stickers, summer collection</t>
  </si>
  <si>
    <t>Old ID: DT046-x01, composite of c01-c09</t>
  </si>
  <si>
    <t>The Home Store</t>
  </si>
  <si>
    <t>400</t>
  </si>
  <si>
    <t>Old ID: TR037-a00, Angry Birds Star Wars Pencil Case</t>
  </si>
  <si>
    <t>Old ID: TR037-c02, plastic case material</t>
  </si>
  <si>
    <t>48</t>
  </si>
  <si>
    <t>Old ID: TR038-a00, Gak Splat One-Eyed Ed squish toy</t>
  </si>
  <si>
    <t>Old ID: TR038-c02, green gak filling in plastic storage bag</t>
  </si>
  <si>
    <t>3.9</t>
  </si>
  <si>
    <t>Old ID: TR041-a00, Light-up Googly Wacky Worm Stretchy Funky friend</t>
  </si>
  <si>
    <t>Old ID: TR041-c01, soft plastic worm body</t>
  </si>
  <si>
    <t>470</t>
  </si>
  <si>
    <t>Old ID: TR059-a00, Soft Plastic Black Fly</t>
  </si>
  <si>
    <t>Old ID: TR059-c01, flexible plastic filled with beads</t>
  </si>
  <si>
    <t>Animal Planet</t>
  </si>
  <si>
    <t>39</t>
  </si>
  <si>
    <t>Old ID: TR069-a00, Stretchy Sticky Bugs</t>
  </si>
  <si>
    <t>Old ID: TR069-x01, c01 orange bug</t>
  </si>
  <si>
    <t>What Kids Want</t>
  </si>
  <si>
    <t>Old ID: TR070-a00, Bendy Man</t>
  </si>
  <si>
    <t>Old ID: TR070-c01, Bendy Man</t>
  </si>
  <si>
    <t>41</t>
  </si>
  <si>
    <t>Old ID: TR080-a00, Blobby Robby Junior</t>
  </si>
  <si>
    <t>Old ID: TR080-c01, red plastic body (in plastic bag) with most of foam squeezed out</t>
  </si>
  <si>
    <t>490</t>
  </si>
  <si>
    <t>Old ID: WM089-a00, Real Skin Dinosaur Tuojiangosaurus</t>
  </si>
  <si>
    <t>Old ID: WM089-c01, soft plastic skin</t>
  </si>
  <si>
    <t>Life-Like</t>
  </si>
  <si>
    <t>Old ID: WM092-a00, Tonka Chuck Digger the Dozer</t>
  </si>
  <si>
    <t>Old ID: WM092-c01, softer plastic body</t>
  </si>
  <si>
    <t>Hasbro</t>
  </si>
  <si>
    <t>31</t>
  </si>
  <si>
    <t>Old ID: WM093-a00, Cosmic Orb with LED lights</t>
  </si>
  <si>
    <t>Old ID: WM093-c01, neon yellow soft plastic exterior</t>
  </si>
  <si>
    <t>Old ID: OT001-a00, Glow-in-the-Dark Putty</t>
  </si>
  <si>
    <t>Old ID: OT001-x01, c01 orange putty</t>
  </si>
  <si>
    <t>Oriental Trading</t>
  </si>
  <si>
    <t>4.0</t>
  </si>
  <si>
    <t>Old ID: OT002-a00, Neon Sticky Eyeballs</t>
  </si>
  <si>
    <t>Old ID: OT002-x01, composite of c02-c05</t>
  </si>
  <si>
    <t>Old ID: OT008-a00, Glitter Putty Eggs</t>
  </si>
  <si>
    <t>Old ID: OT008-x01, composite of c02-c05</t>
  </si>
  <si>
    <t>3.7</t>
  </si>
  <si>
    <t>Old ID: OT009-a00, 100 assorted sticky items</t>
  </si>
  <si>
    <t>Old ID: OT009-c08, translucent red glittery plastic</t>
  </si>
  <si>
    <t>450</t>
  </si>
  <si>
    <t>Old ID: SD004-a00, Aurora Slime</t>
  </si>
  <si>
    <t>Old ID: SD004-x01, composite of SD004-c01 and SD004-c02</t>
  </si>
  <si>
    <t>Geddes</t>
  </si>
  <si>
    <t>School Daze</t>
  </si>
  <si>
    <t>Old ID: WO010-a00, Tub Time Light-up Duck</t>
  </si>
  <si>
    <t>Old ID: WO010-c01, yellow body</t>
  </si>
  <si>
    <t>Old ID: WO019-a00, Flashing Neutron Ball</t>
  </si>
  <si>
    <t>Old ID: WO019-x01, composite of c01 - c06</t>
  </si>
  <si>
    <t>Old ID: WU002-a00, the original Rubber Duck</t>
  </si>
  <si>
    <t>Old ID: WU002-c01, yellow body</t>
  </si>
  <si>
    <t>Rich Frog</t>
  </si>
  <si>
    <t>Wind Up Here</t>
  </si>
  <si>
    <t>Old ID: WU005-a00, Gumby</t>
  </si>
  <si>
    <t>Old ID: WU005-c01, green flexible plastic character</t>
  </si>
  <si>
    <t>43</t>
  </si>
  <si>
    <t>Old ID: WU015-a00, Flying Rubber Chicken</t>
  </si>
  <si>
    <t>Old ID: WU015-c01, orange soft plastic chicken</t>
  </si>
  <si>
    <t>Old ID: AM041-a00, Alien Putty</t>
  </si>
  <si>
    <t>Component of red, blue, green, and orange aliens</t>
  </si>
  <si>
    <t>Rock Island Novelty</t>
  </si>
  <si>
    <t>Old ID: BL019-a00, Aqua Dive Sea Pals</t>
  </si>
  <si>
    <t>Composite of pink and yellow plastic heads</t>
  </si>
  <si>
    <t>Banzai</t>
  </si>
  <si>
    <t>Old ID: TR033-a00, Disney Junior Minnie Mouse Purse</t>
  </si>
  <si>
    <t>Composite of front and back purse material</t>
  </si>
  <si>
    <t>46</t>
  </si>
  <si>
    <t>Old ID: DT047-a00, Erasers</t>
  </si>
  <si>
    <t>Composite of erasers</t>
  </si>
  <si>
    <t>45</t>
  </si>
  <si>
    <t>Old ID: FM053-a00, Funny Teeth (2 pack)</t>
  </si>
  <si>
    <t>Composite of funny teeth</t>
  </si>
  <si>
    <t>Old ID: OT007-a00, Marbled Poppers</t>
  </si>
  <si>
    <t>Composite of marble poppers</t>
  </si>
  <si>
    <t>4.5</t>
  </si>
  <si>
    <t>Old ID: TG081-a00, Princess Shoe Boutique, 4 pairs of plastic shoes</t>
  </si>
  <si>
    <t>Composite of slipper straps</t>
  </si>
  <si>
    <t>27</t>
  </si>
  <si>
    <t>Old ID: TG088-a00, Circo Squirter, jungle collection</t>
  </si>
  <si>
    <t>Composite of jungle squirters</t>
  </si>
  <si>
    <t>44</t>
  </si>
  <si>
    <t>DUNS Number</t>
  </si>
  <si>
    <t>Company</t>
  </si>
  <si>
    <t>Product Segment</t>
  </si>
  <si>
    <t>Product Family</t>
  </si>
  <si>
    <t>Product Class</t>
  </si>
  <si>
    <t>Product Brick</t>
  </si>
  <si>
    <t>Component</t>
  </si>
  <si>
    <t>Target Age</t>
  </si>
  <si>
    <t>CASRN</t>
  </si>
  <si>
    <t>Concentration Category</t>
  </si>
  <si>
    <t>Chemical Function</t>
  </si>
  <si>
    <t>States</t>
  </si>
  <si>
    <t>Period</t>
  </si>
  <si>
    <t>Bricks Sold in Oregon</t>
  </si>
  <si>
    <t>Bricks Offered for Sale in Oregon</t>
  </si>
  <si>
    <t>Report Submitted Date</t>
  </si>
  <si>
    <t>Contact Name</t>
  </si>
  <si>
    <t>Job Title</t>
  </si>
  <si>
    <t>Mailing Address</t>
  </si>
  <si>
    <t>Email</t>
  </si>
  <si>
    <t>Phone Number</t>
  </si>
  <si>
    <t># of Attachments</t>
  </si>
  <si>
    <t>Greenbrier International, Inc.</t>
  </si>
  <si>
    <t>Personal Accessories</t>
  </si>
  <si>
    <t>Jewelry</t>
  </si>
  <si>
    <t>Bracelets [10001084]</t>
  </si>
  <si>
    <t>Synthetic Polymers (synthetic rubber, plastics, foams etc.)</t>
  </si>
  <si>
    <t>Ages 3-12</t>
  </si>
  <si>
    <t>Butyl benzyl phthalate (BBP) [85-68-7]</t>
  </si>
  <si>
    <t>PQL to less than 100 ppm</t>
  </si>
  <si>
    <t>No function - Contaminant</t>
  </si>
  <si>
    <t>OR</t>
  </si>
  <si>
    <t>2024</t>
  </si>
  <si>
    <t>Debbie Smith</t>
  </si>
  <si>
    <t>Supervisor, Regulatory Compliance</t>
  </si>
  <si>
    <t>500 Volvo Parkway  Chesapeake, VA 23320 US</t>
  </si>
  <si>
    <t>dsmith@dollartree.com</t>
  </si>
  <si>
    <t>[US] 757-321-5085</t>
  </si>
  <si>
    <t>0</t>
  </si>
  <si>
    <t>Michaels Stores Inc.</t>
  </si>
  <si>
    <t>Toys/Games</t>
  </si>
  <si>
    <t>Developmental/Educational Toys</t>
  </si>
  <si>
    <t>Scientific Toys (Powered) [10005164]</t>
  </si>
  <si>
    <t>Component of plastic resin or polymer process</t>
  </si>
  <si>
    <t>Ryan McCain</t>
  </si>
  <si>
    <t>Regulatory Compliance Specialist</t>
  </si>
  <si>
    <t>8000 Bent Branch Drive  Irving, TX 75063 US</t>
  </si>
  <si>
    <t>mccainr1@michaels.com</t>
  </si>
  <si>
    <t xml:space="preserve">[US] 972-409-7445 </t>
  </si>
  <si>
    <t>Arts/Crafts/Needlework</t>
  </si>
  <si>
    <t>Arts/Crafts/Needlework Supplies</t>
  </si>
  <si>
    <t>Jewelry Craft Supplies</t>
  </si>
  <si>
    <t>Jewelry Craft Accessories [10001718]</t>
  </si>
  <si>
    <t>185448420</t>
  </si>
  <si>
    <t>Romeo &amp; Juliette DBA Bearpaw</t>
  </si>
  <si>
    <t>Footwear</t>
  </si>
  <si>
    <t>General Purpose Footwear</t>
  </si>
  <si>
    <t>Shoes - General Purpose [10001077]</t>
  </si>
  <si>
    <t>Binding agent</t>
  </si>
  <si>
    <t>Hillary Lucchesi</t>
  </si>
  <si>
    <t>Sales Specialist</t>
  </si>
  <si>
    <t>7524 Old Auburn Rd  Citrus Heights, California 95610 US</t>
  </si>
  <si>
    <t>hlucchesi@bearpawshoes.com</t>
  </si>
  <si>
    <t>[US] 2096030838</t>
  </si>
  <si>
    <t>1</t>
  </si>
  <si>
    <t>Excelligence Learning Corp</t>
  </si>
  <si>
    <t>Dolls/Puppets/Action Figures/Soft Toys</t>
  </si>
  <si>
    <t>Puppets [10005145]</t>
  </si>
  <si>
    <t>Suniti Gill</t>
  </si>
  <si>
    <t>VP of Quality Assurance</t>
  </si>
  <si>
    <t>20 Ryan Ranch Road # 200 Monterey, CA 93940 US</t>
  </si>
  <si>
    <t>sgill@excelligence.com</t>
  </si>
  <si>
    <t>[US] (415) 606-0616</t>
  </si>
  <si>
    <t>Developmental/Educational Toys Other [10005159]</t>
  </si>
  <si>
    <t>Birth-12</t>
  </si>
  <si>
    <t>Fancy Dress Costumes/Accessories</t>
  </si>
  <si>
    <t>Fancy Dress Costumes [10005172]</t>
  </si>
  <si>
    <t>Water Proofing</t>
  </si>
  <si>
    <t>Fancy Dress Costumes/Accessories Variety Packs [10005174]</t>
  </si>
  <si>
    <t>Toys/Games - Other</t>
  </si>
  <si>
    <t>Toys/Games - Other [10006899]</t>
  </si>
  <si>
    <t>Stabilizers</t>
  </si>
  <si>
    <t>Paper/Card Making Craft Supplies</t>
  </si>
  <si>
    <t>Paper Craft/Card Making Supplies Other [10001730]</t>
  </si>
  <si>
    <t>Plasticizer /Softener</t>
  </si>
  <si>
    <t>WA</t>
  </si>
  <si>
    <t>2022</t>
  </si>
  <si>
    <t>2023</t>
  </si>
  <si>
    <t>2</t>
  </si>
  <si>
    <t>Claire's Inc.</t>
  </si>
  <si>
    <t>Beauty/Personal Care/Hygiene</t>
  </si>
  <si>
    <t>Skin Products</t>
  </si>
  <si>
    <t>Skin Care</t>
  </si>
  <si>
    <t>Lip Balms [10005727]</t>
  </si>
  <si>
    <t>Rob Yates</t>
  </si>
  <si>
    <t>Global QA Chemical Manager</t>
  </si>
  <si>
    <t>CBI Distributing Corp 2400 W Central Rd, Hoffman Estates. Chicago, IL  US</t>
  </si>
  <si>
    <t>rob.yates@claires.com</t>
  </si>
  <si>
    <t>[non-US] +441212508957</t>
  </si>
  <si>
    <t>Cosmetics/Fragrances</t>
  </si>
  <si>
    <t>Cosmetic Products</t>
  </si>
  <si>
    <t>Cosmetics - Eyes [10000533]</t>
  </si>
  <si>
    <t>Cosmetics - Lips [10000534]</t>
  </si>
  <si>
    <t>Cosmetic Paints/Shimmers/Glitters [10000761]</t>
  </si>
  <si>
    <t>Nail Cosmetic/Care Products</t>
  </si>
  <si>
    <t>Nails - False [10000359]</t>
  </si>
  <si>
    <t>Cosmetics - Nails [10000360]</t>
  </si>
  <si>
    <t>Fragrances</t>
  </si>
  <si>
    <t>Fragrances [10000365]</t>
  </si>
  <si>
    <t>Brooches [10001085]</t>
  </si>
  <si>
    <t>Necklaces/Necklets [10001090]</t>
  </si>
  <si>
    <t>Rings [10001092]</t>
  </si>
  <si>
    <t>Jewelry Other [10001387]</t>
  </si>
  <si>
    <t>Watches</t>
  </si>
  <si>
    <t>Watches [10001105]</t>
  </si>
  <si>
    <t>Clothing</t>
  </si>
  <si>
    <t>Clothing Accessories</t>
  </si>
  <si>
    <t>Handwear [10001328]</t>
  </si>
  <si>
    <t>Headwear [10001329]</t>
  </si>
  <si>
    <t>Clothing Adornment/Floral Accessories/Badges/Buckles [10001331]</t>
  </si>
  <si>
    <t>Household/Office Furniture/Furnishings</t>
  </si>
  <si>
    <t>Fabric/Textile Furnishings</t>
  </si>
  <si>
    <t>Household/Office Fabric/Textile Furnishings</t>
  </si>
  <si>
    <t>Cushions [10002217]</t>
  </si>
  <si>
    <t>Fancy Dress Accessories (Non Powered) [10005175]</t>
  </si>
  <si>
    <t>Personal Carriers/Accessories</t>
  </si>
  <si>
    <t>Rucksacks/Backpacks/Holdalls [10001100]</t>
  </si>
  <si>
    <t>Under 3</t>
  </si>
  <si>
    <t>Dolls/Puppets/Action Figures/Soft Toys Accessories</t>
  </si>
  <si>
    <t>Dolls/Puppets/Soft Toys Accessories Variety Packs [10005151]</t>
  </si>
  <si>
    <t>Baby/Infant Stimulation Toys (Non Powered) [10005153]</t>
  </si>
  <si>
    <t>Musical Toys</t>
  </si>
  <si>
    <t>Musical Toys Other [10005179]</t>
  </si>
  <si>
    <t>Role Play Toys</t>
  </si>
  <si>
    <t>Role Play - Housekeeping/Gardening/DIY Toys [10005684]</t>
  </si>
  <si>
    <t>Artists Painting/Drawing Supplies</t>
  </si>
  <si>
    <t>Artists Accessories [10001682]</t>
  </si>
  <si>
    <t>Toy Vehicles - Non-ride</t>
  </si>
  <si>
    <t>Car/Train Sets (Non Powered) [10005190]</t>
  </si>
  <si>
    <t>Equal to or greater than 100 but less than 500 ppm</t>
  </si>
  <si>
    <t>Dolls/Soft Toys (Non Powered) [10005142]</t>
  </si>
  <si>
    <t>Dolls/Puppets/Soft Toys Other [10005144]</t>
  </si>
  <si>
    <t>Fancy Dress Costumes/Accessories Other [10005173]</t>
  </si>
  <si>
    <t>Paper/Card Making Craft Accessories [10001727]</t>
  </si>
  <si>
    <t>Toys/Games Variety Packs</t>
  </si>
  <si>
    <t>Toys/Games Variety Packs [10005186]</t>
  </si>
  <si>
    <t>Toy Vehicles - Non-ride Other [10005195]</t>
  </si>
  <si>
    <t>Unique Industries</t>
  </si>
  <si>
    <t>Tattoos/Stencils/Stick-on Jewelry - Temporary [10000763]</t>
  </si>
  <si>
    <t>Other</t>
  </si>
  <si>
    <t>Soni Laseau</t>
  </si>
  <si>
    <t>QA Coordinator</t>
  </si>
  <si>
    <t>4750 League Island Blvd  Philadelphia, PA 19112 US</t>
  </si>
  <si>
    <t>alaseau@favors.com</t>
  </si>
  <si>
    <t>[US] 2153364300</t>
  </si>
  <si>
    <t>The Pokémon Company International</t>
  </si>
  <si>
    <t>Brent Waldher</t>
  </si>
  <si>
    <t>Product Safety Manager</t>
  </si>
  <si>
    <t>10400 NE 4th Street  Suite 2800 Bellevue, WA 98004 US</t>
  </si>
  <si>
    <t>b.waldher@pokemon.com</t>
  </si>
  <si>
    <t>[US] 4252187331</t>
  </si>
  <si>
    <t>Home Depot USA, Inc.</t>
  </si>
  <si>
    <t>Bedding</t>
  </si>
  <si>
    <t>Bedding Variety Packs [10002229]</t>
  </si>
  <si>
    <t>Schalida Turner</t>
  </si>
  <si>
    <t>Manager, Regulatory Law</t>
  </si>
  <si>
    <t>2455 Paces Ferry Rd.  Atlanta, GA 30339 US</t>
  </si>
  <si>
    <t>Schalida_Turner@homedepot.com</t>
  </si>
  <si>
    <t>[US] 770.384.2464</t>
  </si>
  <si>
    <t>Artists Painting/Drawing Supplies Other [10001685]</t>
  </si>
  <si>
    <t>Equal to or greater than 500 but less than 1,000 ppm</t>
  </si>
  <si>
    <t>Texture</t>
  </si>
  <si>
    <t>Needlework/Toy Making Craft Supplies</t>
  </si>
  <si>
    <t>Foam Craft Materials [10005713]</t>
  </si>
  <si>
    <t>Kaspien, Inc.</t>
  </si>
  <si>
    <t>Camping</t>
  </si>
  <si>
    <t>Camping Furniture/Furnishings</t>
  </si>
  <si>
    <t>Camping Beds/Sleeping Mats [10002079]</t>
  </si>
  <si>
    <t>Protective coating</t>
  </si>
  <si>
    <t>Emily Hardesty</t>
  </si>
  <si>
    <t>2818 N. Sullivan Rd Suite 130 Spokane Valley, WA 99216 US</t>
  </si>
  <si>
    <t>emily@wildkin.com</t>
  </si>
  <si>
    <t>[US] 615-283-0789</t>
  </si>
  <si>
    <t>Peachtree Playthings (HK) Ltd.</t>
  </si>
  <si>
    <t>Equal to or greater than 1,000 but less than 5,000 ppm</t>
  </si>
  <si>
    <t>Jeff Chan</t>
  </si>
  <si>
    <t>QA Manager</t>
  </si>
  <si>
    <t>2808-15, 28/F, Peninsula Tower, 538 Castle Peak Road, Cheung Sha Wan Kowloon,   HK</t>
  </si>
  <si>
    <t>jeff@ptpasia.com.hk</t>
  </si>
  <si>
    <t>[non-US] 852-23754880</t>
  </si>
  <si>
    <t>COU Category</t>
  </si>
  <si>
    <t>COU Subcategory</t>
  </si>
  <si>
    <t>Use Scenario Name for Modeling</t>
  </si>
  <si>
    <t>Exposures Modeled</t>
  </si>
  <si>
    <t>CEM ENV</t>
  </si>
  <si>
    <t xml:space="preserve">Country </t>
  </si>
  <si>
    <t>Product/Article</t>
  </si>
  <si>
    <r>
      <t xml:space="preserve">Form 
</t>
    </r>
    <r>
      <rPr>
        <sz val="11"/>
        <rFont val="Calibri"/>
        <family val="2"/>
        <scheme val="minor"/>
      </rPr>
      <t>Dropdown selection
-Liquid (added to water) for small amount of product diluted with water
-Liquid (poured) for adding product to another vessel</t>
    </r>
  </si>
  <si>
    <t>Use Environment (Dropdown selection)</t>
  </si>
  <si>
    <t>Liquid Product Modeling Inputs</t>
  </si>
  <si>
    <t>Solid Article Modeling Inputs</t>
  </si>
  <si>
    <t>Adhesives for Small Projects</t>
  </si>
  <si>
    <t>Dermal</t>
  </si>
  <si>
    <t>SDS</t>
  </si>
  <si>
    <t>Elmer's Model + Hobby Cement
Model &amp; Hobby Cement, Convenient &amp; Fast Drying, Water Resistant, Adheres To Polystyrene &amp; Other Plastics, No Shrink, Indoor, Low Odor, Paintable, 30 Seconds Set Time, 24 Hours Cure Time, Dries Clear.</t>
  </si>
  <si>
    <r>
      <t xml:space="preserve">OZ, Model &amp; Hobby Cement, Convenient &amp; Fast Drying, Water Resistant, Adheres To Polystyrene &amp; Other Plastics, No Shrink, Indoor, Low Odor, Paintable, 30 Seconds Set Time, 24 Hours Cure Time, Dries Clear. For more than 65 years, Elmer's Products, has been providing creative adhesive solutions that support success and turn ideas into reality. </t>
    </r>
    <r>
      <rPr>
        <b/>
        <sz val="11"/>
        <color rgb="FF000000"/>
        <rFont val="Calibri"/>
        <family val="2"/>
        <scheme val="minor"/>
      </rPr>
      <t>Amazon reviews: "I have looked everywhere for a readily available glue that will glue polystyrene to itself, and this glue does a PERFECT job. It allows me to glue very thin edges together in a bond that I know will not come apart. Just be careful not to apply too much, as this glue "melts" the plastic together, and try not to let it drip on other surfaces of your styrene either.
But my search for polystyrene glue is over, and I recommend that anyone that works with styrene should try this glue - it's 3 bucks, just try it."</t>
    </r>
  </si>
  <si>
    <t>Double Bubble Urethane High Peel Strength D50 Part A (04022)
The Hardman 04022 Beige-dying Urethane D-50 is a semi–rigid, two–component, extra–fast setting (3-5 minute).</t>
  </si>
  <si>
    <t>5 – 20%, unspecified
2024 SDS 10-20%</t>
  </si>
  <si>
    <t>3.5g Single use packets available on Amazon</t>
  </si>
  <si>
    <t>WF max</t>
  </si>
  <si>
    <t>Caulking Products</t>
  </si>
  <si>
    <t>Inhalation, Dermal</t>
  </si>
  <si>
    <t>Bathroom</t>
  </si>
  <si>
    <t xml:space="preserve">Protecto Sealant 25XL
It is a durable weatherproof sealant that offers excellent performance for back bedding nail flanges for window and door installation and sealing door thresholds. </t>
  </si>
  <si>
    <t>WF avg</t>
  </si>
  <si>
    <t>Dymonic FC Anodized Aluminum
Typical applications for Dymonic FC include expansion and control joints, precast concrete panel joints, perimeter caulking (windows, door, panels), EIFS, aluminum, masonry and vinyl siding</t>
  </si>
  <si>
    <t>WF min</t>
  </si>
  <si>
    <t xml:space="preserve">GE7000
For use on window, door, trim, attic, siding. 30-minute rain-ready - 100% waterproof. 30-minute paint-ready (spray paint immediately). </t>
  </si>
  <si>
    <t>Exposure Routes</t>
  </si>
  <si>
    <t xml:space="preserve">Hercules Plumber's Caulk - White/Linen
It forms a flexible, durable, mildew and UV-resistant waterproof seal on interior and exterior surfaces. </t>
  </si>
  <si>
    <t>n/a</t>
  </si>
  <si>
    <t>Wilsonart Color Matched Caulk
Wilsonart® Color Matched Caulk is a high-quality sealant formulated to match the color of Wilsonart® Laminate and Wilsonart® Solid Surface. Our sealant is designed to provide a flexible, mildew-resistant, stain-resistant, and crack-resistant solution that can be applied with high adhesion to countertops, cabinets, built-ins, flooring, and more.</t>
  </si>
  <si>
    <t>Mass high</t>
  </si>
  <si>
    <t>Patching and Repair Products for Exterior Surfaces</t>
  </si>
  <si>
    <t>Outside</t>
  </si>
  <si>
    <t>Sakrete Blacktop Repair Tube 
A sanded acrylic formula that fills and seals cracks in blacktop surfaces. Weather-resistant formula remains flexible and adheres to both asphalt and concrete -Amazon reviews: "Makes quick driveway repairs."</t>
  </si>
  <si>
    <r>
      <t>A sanded acrylic formula that fills and seals cracks in blacktop surfaces
Color and texture blends with the surrounding blacktop
Weather-resistant formula remains flexible and adheres to both asphalt and concrete -</t>
    </r>
    <r>
      <rPr>
        <b/>
        <sz val="11"/>
        <color rgb="FF000000"/>
        <rFont val="Calibri"/>
        <family val="2"/>
        <scheme val="minor"/>
      </rPr>
      <t>Amazon reviews: "Makes quick driveway repairs."</t>
    </r>
  </si>
  <si>
    <t>Mass Mid</t>
  </si>
  <si>
    <t>Volume Conversions</t>
  </si>
  <si>
    <t>Concrete Patching Compound 
The weather resistant formula dries to a durable and flexible finish that blends with the texture and color of the surrounding surface
*Quikrete ready-to-use concrete patch is a pre-mixed sanded acrylic compound - Amazon reviews: "This is great for patching divots in cement on a garage floor" "Good for patching chipped sand cracking concrete."</t>
  </si>
  <si>
    <t>Mass Low</t>
  </si>
  <si>
    <t>gal -&gt; cm3</t>
  </si>
  <si>
    <t>Mortar Repair Sealant
Mortar Repair Tube has a sanded texture which matches very well to an existing masonry surface. Reviews: "I have used this product for years. It WAS excellent. Quikrete has drastically changed the formula, but kept the same product code. Vendors have not updated pictures. If you used and liked this product before, you will NOT like the new 'stuff'. It has a light whitish color and barely any texture. Feels slimy compared to the old version which felt like real mortar. Attached picture has both cartridges. The new version has ACRYLIC above the product name and has a white band at the top. Beware" "I bought this to do a trim like effect on some stone panels i just installed</t>
  </si>
  <si>
    <r>
      <rPr>
        <sz val="11"/>
        <color rgb="FF000000"/>
        <rFont val="Calibri"/>
        <family val="2"/>
        <scheme val="minor"/>
      </rPr>
      <t xml:space="preserve">Quikrete 10 oz. Mortar Repair Tube features an acrylic formula used for sealing joints in concrete, brick and block surfaces. The tube features a square applicator that provides a smooth seal for mortar joints and makes it especially easy to use for tuck pointing. Quikrete 10 oz. Mortar Repair Tube has a sanded texture which matches very well to an existing masonry surface. </t>
    </r>
    <r>
      <rPr>
        <b/>
        <sz val="11"/>
        <color rgb="FF000000"/>
        <rFont val="Calibri"/>
        <family val="2"/>
        <scheme val="minor"/>
      </rPr>
      <t>Reviews: "I have used this product for years. It WAS excellent. Quikrete has drastically changed the formula, but kept the same product code. Vendors have not updated pictures. If you used and liked this product before, you will NOT like the new 'stuff'. It has a light whitish color and barely any texture. Feels slimy compared to the old version which felt like real mortar. Attached picture has both cartridges. The new version has ACRYLIC above the product name and has a white band at the top. Beware" "I bought this to do a trim like effect on some stone panels i just installed with bagged mortar. When it dried, it wasn’t the grey that it was and was indeed white. Now it looks weird and i have to find a way to cover it. Tip: going over it with bag mortar doesn’t cover it. Very disappointed."</t>
    </r>
  </si>
  <si>
    <t>oz -&gt; cm3</t>
  </si>
  <si>
    <t>Pre-Mixed Stucco Patch
Repairs cracks, holes or other minor defects up to 1/4 in. thick in stucco surfaces
Formula designed to blend with the texture of stucco surfaces
Dries to a durable and flexible finish</t>
  </si>
  <si>
    <t xml:space="preserve">DAP Roof &amp; Flashing Sealant, Polyurethane
A one-part, moisture-curing, commercial grade sealant. Specially formulated to provide a permanent, waterproof seal when filling exterior gaps, joints and cracks. This high performance sealant offers superior adhesion to a variety of substrates and remains permanently flexible. Ideal for use on doors, windows, sidings, ducts and vents Amazon reviews: indicate it's been used it for caulking around windows and doors as well as areas where concrete butts up against wood ( sidewalk and patio areas). </t>
  </si>
  <si>
    <r>
      <t xml:space="preserve">A one-part, moisture-curing, commercial grade sealant. Specially formulated to provide a permanent, waterproof seal when filling exterior gaps, joints and cracks. This high performance sealant offers superior adhesion to a variety of substrates and remains permanently flexible. Ideal for use on doors, windows, sidings, ducts and vents </t>
    </r>
    <r>
      <rPr>
        <b/>
        <sz val="11"/>
        <color rgb="FF000000"/>
        <rFont val="Calibri"/>
        <family val="2"/>
        <scheme val="minor"/>
      </rPr>
      <t xml:space="preserve">Amazon reviews: indicate it's been used it for caulking around windows and doors as well as areas where concrete butts up against wood ( sidewalk and patio areas). 
</t>
    </r>
  </si>
  <si>
    <t>Touch up auto paint</t>
  </si>
  <si>
    <t>Qualitative, No significant potential for Exposure</t>
  </si>
  <si>
    <t>garage</t>
  </si>
  <si>
    <t xml:space="preserve">Lacquer Touch-up Paint - Clear Topcoat
Product looks like a paint pen or marker. Liquid applied via a felt tip or very small brush (similar to a nail polish brush) that is built in. </t>
  </si>
  <si>
    <t>Peel Off Protective Coating</t>
  </si>
  <si>
    <t>Qualitative, Not likely to be purchased by consumers</t>
  </si>
  <si>
    <t>Whole House</t>
  </si>
  <si>
    <t xml:space="preserve">Klean-Strip Mask &amp; Peel Paint Booth Coating
Applied as a protective coating in spray paint booths but may be used by consumers to protect doors and window during painting. . Peeled off after use. </t>
  </si>
  <si>
    <t>Sealing and Refinishing Sprays (Indoor Use)</t>
  </si>
  <si>
    <t xml:space="preserve">Repair and Refinishing Spray
Refinishing spray used to repair and refinish bathroom surfaces. Consumer reviews on Amazon indicate that the product is used for small to medium sized DIY projects. </t>
  </si>
  <si>
    <r>
      <t xml:space="preserve">Repairs And Renews Any Metal, Porcelain, Plastic Or Fiberglass Surface; bathtubs, sink, vanities, anything porcelin, anything fiberglass. </t>
    </r>
    <r>
      <rPr>
        <b/>
        <sz val="11"/>
        <color rgb="FF000000"/>
        <rFont val="Calibri"/>
        <family val="2"/>
        <scheme val="minor"/>
      </rPr>
      <t>Amazon reviews: "I had repaired a broken toilet for my RV. After allowing the repair product to properly cure, I spent hours sanding and shaping the one piece design of the toilet. I then applied this finish carefully following the instructions. It did everything it said it would do! It self leveled and filled in small imperfections. Since the repairs were done on a part of the toilet that does not have water standing in it, I added multiple coats of clear high gloss enamel and achieved the shine I wanted.Still highly recommend!"</t>
    </r>
  </si>
  <si>
    <t>SK Clear-Seal Satin Sealer 5 Gal
Concrete sealant product. Can be rolled or sprayed on. Consumer reviews report a variety of indoor and outdoor uses. Indoor uses mentioned include countertop refinishing, stone fireplace coating, and floor finishing.</t>
  </si>
  <si>
    <t>Sealing and Refinishing Sprays (Outdoor Use)</t>
  </si>
  <si>
    <t xml:space="preserve">Air Bloc 33
UV and waterproof coating applied to exterior building surfaces. Uses include application under roofing materials and brick facades. </t>
  </si>
  <si>
    <t>Furniture (Synthetic Leather)</t>
  </si>
  <si>
    <t>inhalation, dermal, dust ingestion, Mouthing</t>
  </si>
  <si>
    <t>Living Room</t>
  </si>
  <si>
    <t>Synthetic Leather furniture</t>
  </si>
  <si>
    <t>NR</t>
  </si>
  <si>
    <t>Clothing (Synthetic Leather)</t>
  </si>
  <si>
    <t>dermal</t>
  </si>
  <si>
    <t xml:space="preserve">Adult clothing (using synthethic leather data) </t>
  </si>
  <si>
    <t>inhalation, dermal, dust ingestion</t>
  </si>
  <si>
    <t>1062241, 7265437</t>
  </si>
  <si>
    <t>vinyl floor coverings</t>
  </si>
  <si>
    <t>Automotive lubricants</t>
  </si>
  <si>
    <t>Garage</t>
  </si>
  <si>
    <t>STP 17925 Power Steering Fluid &amp; Stop Leak
Poured into power steering reservoir</t>
  </si>
  <si>
    <t>126VR Disc Brake Quiet 0.25 Fl. Oz Pouch 
Sold in pouches or spray can. Used in very small quantities very infrequently.</t>
  </si>
  <si>
    <t>Interior car care</t>
  </si>
  <si>
    <t>Car interior cleaner (Armor All Original Protectant)
Can be used on dashboards, vinyl seats, door panels, consoles, tires/trim and even on bumpers. Apply liberally to a clean cloth and spread evenly, or spray directly onto surface.</t>
  </si>
  <si>
    <t>Armor All</t>
  </si>
  <si>
    <t>various</t>
  </si>
  <si>
    <t>indoor/outdoor</t>
  </si>
  <si>
    <t>can be used on dashboards, vinyl seats, door panels, consoles, tires/trim and even on bumpers. Apply liberally to a clean cloth and spread evenly, or spray directly onto surface.</t>
  </si>
  <si>
    <t>Inhalation, dermal, dust Ingestion</t>
  </si>
  <si>
    <t>Auto</t>
  </si>
  <si>
    <t>car mat</t>
  </si>
  <si>
    <t>Novelty Products</t>
  </si>
  <si>
    <t>Adult Toys</t>
  </si>
  <si>
    <t>Mouthing, Dermal</t>
  </si>
  <si>
    <t>Crafting Resin (Cured)</t>
  </si>
  <si>
    <t>Kitchen</t>
  </si>
  <si>
    <t>1 gallon and 1 pint containers</t>
  </si>
  <si>
    <t>Inks and Dyes</t>
  </si>
  <si>
    <t>NA</t>
  </si>
  <si>
    <t xml:space="preserve">6840 Ultra Black
Pigment designed to add to resin during casting. Used in small quantities but may get on hands when adding to resin. </t>
  </si>
  <si>
    <t>30-60%, by weight
Per website this product is added to resin at 1-5% w/w. Max weight fraction after dilution is 3% (0.03)</t>
  </si>
  <si>
    <t xml:space="preserve">Handstamp - Blue
Handstamps can be used for dates, names, and can be printed with custom text. </t>
  </si>
  <si>
    <t>Children's Toys (Legacy)</t>
  </si>
  <si>
    <t>inhalation, dermal, dust ingestion, mouthing</t>
  </si>
  <si>
    <t>Bedroom</t>
  </si>
  <si>
    <t>HPCDS</t>
  </si>
  <si>
    <t>Children's Toys (new/compliant)</t>
  </si>
  <si>
    <t>Children's toys</t>
  </si>
  <si>
    <t>Miscellaneous</t>
  </si>
  <si>
    <t>Children's Toys (New)</t>
  </si>
  <si>
    <t>Regulation</t>
  </si>
  <si>
    <t>Small articles with the potetial for semi-routine contact</t>
  </si>
  <si>
    <t>WA PTD</t>
  </si>
  <si>
    <t xml:space="preserve"> </t>
  </si>
  <si>
    <t>- Arts, crafts, and hobby materials
- Toys, playground, and sporting equipment
- Ink, toner, and colorant products</t>
  </si>
  <si>
    <t>Stopford et al, 2003</t>
  </si>
  <si>
    <t xml:space="preserve">Polymer modeling clay </t>
  </si>
  <si>
    <t>Plastic and rubber products not covered elsewhere </t>
  </si>
  <si>
    <t>Plastic and rubber products not covered elsewhere</t>
  </si>
  <si>
    <t>footwear (exterior)</t>
  </si>
  <si>
    <t>Product or Article</t>
  </si>
  <si>
    <t>Acute Freq</t>
  </si>
  <si>
    <t>Chronic Freq</t>
  </si>
  <si>
    <t>COU</t>
  </si>
  <si>
    <t>subCOU</t>
  </si>
  <si>
    <t>Tire Crumbs</t>
  </si>
  <si>
    <t>Calculations for non-CEM defaults, including:</t>
  </si>
  <si>
    <t>CEM Input: Mouthing Duration</t>
  </si>
  <si>
    <t>CEM Input: Area of Article Mouthed</t>
  </si>
  <si>
    <t>CEM Input: Chemical Migration Rate</t>
  </si>
  <si>
    <t>CEM Input: Density of Product</t>
  </si>
  <si>
    <t>CEM Input: Surface Area of Articles</t>
  </si>
  <si>
    <r>
      <t xml:space="preserve">CEM Input: </t>
    </r>
    <r>
      <rPr>
        <sz val="14"/>
        <color theme="1"/>
        <rFont val="Calibri"/>
        <family val="2"/>
        <scheme val="minor"/>
      </rPr>
      <t>Mouthing Duration</t>
    </r>
  </si>
  <si>
    <t>Article</t>
  </si>
  <si>
    <t>Exposure Scenario</t>
  </si>
  <si>
    <t>Mouthing Duration (min/day)</t>
  </si>
  <si>
    <t>Mouthing Duration (min/hr)</t>
  </si>
  <si>
    <t>&lt;1 yr</t>
  </si>
  <si>
    <t>1-2 yr</t>
  </si>
  <si>
    <t>3-5 yr</t>
  </si>
  <si>
    <t>16+ yr</t>
  </si>
  <si>
    <t>High</t>
  </si>
  <si>
    <t>--</t>
  </si>
  <si>
    <t>Professional Judgement</t>
  </si>
  <si>
    <t>Med</t>
  </si>
  <si>
    <t>Low</t>
  </si>
  <si>
    <t>Childrens Toy (new)</t>
  </si>
  <si>
    <t>Exposure Factors Handbook Chapter 4 Table 4-23 (Toy). See calculations below. Maximum, average, and minimum values used for High, Med, and Low Scenarios, respectively.</t>
  </si>
  <si>
    <t>Childrens Toy (legacy)</t>
  </si>
  <si>
    <t>Synthetic Leather Furniture</t>
  </si>
  <si>
    <t>Estimated Mean Daily Mouthing Duration Values from Table 4-23 in Exposure Factors Handbook (Source: Smith and Norris (2003))</t>
  </si>
  <si>
    <t>Calculation of Daily Mouthing Durations for Age Groups Applicable to CEM</t>
  </si>
  <si>
    <t>Item Mouthed</t>
  </si>
  <si>
    <t>Duration Mouthed Units</t>
  </si>
  <si>
    <t>Reported Age Group</t>
  </si>
  <si>
    <t>CEM Age Group: Infants &lt;1 year</t>
  </si>
  <si>
    <t>1 to 3 mo</t>
  </si>
  <si>
    <t>3 to 6 mo</t>
  </si>
  <si>
    <t>6 to 9 mo</t>
  </si>
  <si>
    <t>9 to 12 mo</t>
  </si>
  <si>
    <t>Maximum</t>
  </si>
  <si>
    <t>Average</t>
  </si>
  <si>
    <t>Minimum</t>
  </si>
  <si>
    <t>Toy</t>
  </si>
  <si>
    <t>min/day</t>
  </si>
  <si>
    <t>Other Object</t>
  </si>
  <si>
    <t>CEM Age Group: Infants 1-2 years</t>
  </si>
  <si>
    <t>12-15 mo</t>
  </si>
  <si>
    <t>15-18 mo</t>
  </si>
  <si>
    <t>18-21 mo</t>
  </si>
  <si>
    <t>21-24 mo</t>
  </si>
  <si>
    <t>CEM Age Group: Small Child 3-5 years</t>
  </si>
  <si>
    <t>2 yr</t>
  </si>
  <si>
    <t>3 yr</t>
  </si>
  <si>
    <t>4 yr</t>
  </si>
  <si>
    <t>5 yr</t>
  </si>
  <si>
    <r>
      <t>Mouthing area (cm</t>
    </r>
    <r>
      <rPr>
        <b/>
        <vertAlign val="superscript"/>
        <sz val="10"/>
        <color theme="1"/>
        <rFont val="Calibri"/>
        <family val="2"/>
        <scheme val="minor"/>
      </rPr>
      <t>2</t>
    </r>
    <r>
      <rPr>
        <b/>
        <sz val="10"/>
        <color theme="1"/>
        <rFont val="Calibri"/>
        <family val="2"/>
        <scheme val="minor"/>
      </rPr>
      <t>)</t>
    </r>
  </si>
  <si>
    <t>High CEM Default</t>
  </si>
  <si>
    <t>Med CEM Default. Commonly accepted surface area for mouthing activities.</t>
  </si>
  <si>
    <r>
      <t xml:space="preserve">CEM Input: </t>
    </r>
    <r>
      <rPr>
        <sz val="14"/>
        <color theme="1"/>
        <rFont val="Calibri"/>
        <family val="2"/>
        <scheme val="minor"/>
      </rPr>
      <t>Chemical Migration Rate</t>
    </r>
  </si>
  <si>
    <t>Exposure Level</t>
  </si>
  <si>
    <t>Summary of DINP Chemical Migration Rates Obtained from Literature as Reported in Tables 17, 18, and 19 of Danish Environmental Protection Agency (2016) report "Determination of Migration Rates for Certain Phthalates"</t>
  </si>
  <si>
    <t>Children's Toys (Legacy/Non-compliant)</t>
  </si>
  <si>
    <t>Children's Toys (New/Compliant)</t>
  </si>
  <si>
    <t>Analytical Method</t>
  </si>
  <si>
    <r>
      <t>Migration Rate (</t>
    </r>
    <r>
      <rPr>
        <b/>
        <sz val="10"/>
        <color theme="1"/>
        <rFont val="Calibri"/>
        <family val="2"/>
        <scheme val="minor"/>
      </rPr>
      <t>µg/cm</t>
    </r>
    <r>
      <rPr>
        <b/>
        <vertAlign val="superscript"/>
        <sz val="10"/>
        <color theme="1"/>
        <rFont val="Calibri"/>
        <family val="2"/>
        <scheme val="minor"/>
      </rPr>
      <t>2</t>
    </r>
    <r>
      <rPr>
        <b/>
        <sz val="10"/>
        <color theme="1"/>
        <rFont val="Calibri"/>
        <family val="2"/>
        <scheme val="minor"/>
      </rPr>
      <t>/hr</t>
    </r>
    <r>
      <rPr>
        <b/>
        <sz val="10"/>
        <color rgb="FF000000"/>
        <rFont val="Calibri"/>
        <family val="2"/>
        <scheme val="minor"/>
      </rPr>
      <t>)</t>
    </r>
  </si>
  <si>
    <t>Min</t>
  </si>
  <si>
    <t>Mean (Selected</t>
  </si>
  <si>
    <t>Standard Deviation</t>
  </si>
  <si>
    <t>Harsh</t>
  </si>
  <si>
    <t>Medium</t>
  </si>
  <si>
    <t>Mild</t>
  </si>
  <si>
    <t xml:space="preserve">No data was available for medium assay condition, so midpoint between mean values for high and low assay conditions will be used. </t>
  </si>
  <si>
    <t>WF (g/g)</t>
  </si>
  <si>
    <t>Rmgr - Chemical Migration Rate (µg/10cm2/min),</t>
  </si>
  <si>
    <r>
      <t xml:space="preserve">CEM Input: </t>
    </r>
    <r>
      <rPr>
        <sz val="14"/>
        <color theme="1"/>
        <rFont val="Calibri"/>
        <family val="2"/>
        <scheme val="minor"/>
      </rPr>
      <t>Density of Product</t>
    </r>
  </si>
  <si>
    <t>Product Density Calculations for Plastic Articles</t>
  </si>
  <si>
    <t>Reference</t>
  </si>
  <si>
    <t>Link</t>
  </si>
  <si>
    <t>Min Density</t>
  </si>
  <si>
    <t>Max Density</t>
  </si>
  <si>
    <t>Average Density</t>
  </si>
  <si>
    <t>Ansys (2021)</t>
  </si>
  <si>
    <t>material-property-data-for-eng-materials-BOKENGEN21.pdf (ansys.com)</t>
  </si>
  <si>
    <t>Polyvinylchloride (tpPVC)</t>
  </si>
  <si>
    <t>Aurisano (2020)</t>
  </si>
  <si>
    <t>Estimating mouthing exposure to chemicals in children’s products | Journal of Exposure Science &amp; Environmental Epidemiology (nature.com)</t>
  </si>
  <si>
    <t>PVC toy with phthalates</t>
  </si>
  <si>
    <t>iPolymer.com</t>
  </si>
  <si>
    <t>PVC.pdf (ipolymer.com)</t>
  </si>
  <si>
    <t>Li, et. al (2018)</t>
  </si>
  <si>
    <t>Insulated Cable Temperature Calculation and Numerical Simulation (matec-conferences.org)</t>
  </si>
  <si>
    <t>PVC insulation layer of non-sheathed copper 
Polyvinyl chloride cable</t>
  </si>
  <si>
    <t>Overall</t>
  </si>
  <si>
    <t>Foam</t>
  </si>
  <si>
    <t>https://plastics-rubber.basf.com/global/en/performance_polymers/locations/great-britain/insulation.html</t>
  </si>
  <si>
    <r>
      <t xml:space="preserve">CEM Input: </t>
    </r>
    <r>
      <rPr>
        <sz val="14"/>
        <color theme="1"/>
        <rFont val="Calibri"/>
        <family val="2"/>
        <scheme val="minor"/>
      </rPr>
      <t>Surface Area of Articles</t>
    </r>
  </si>
  <si>
    <t>Estimating Surface Area of Toys in a Room</t>
  </si>
  <si>
    <r>
      <t>S</t>
    </r>
    <r>
      <rPr>
        <i/>
        <sz val="12"/>
        <color theme="1"/>
        <rFont val="Calibri"/>
        <family val="2"/>
        <scheme val="minor"/>
      </rPr>
      <t>A</t>
    </r>
    <r>
      <rPr>
        <sz val="12"/>
        <color rgb="FF374151"/>
        <rFont val="Calibri"/>
        <family val="2"/>
        <scheme val="minor"/>
      </rPr>
      <t>one toy​</t>
    </r>
    <r>
      <rPr>
        <sz val="12"/>
        <color theme="1"/>
        <rFont val="Calibri"/>
        <family val="2"/>
        <scheme val="minor"/>
      </rPr>
      <t>=2</t>
    </r>
    <r>
      <rPr>
        <sz val="12"/>
        <color rgb="FF374151"/>
        <rFont val="Calibri"/>
        <family val="2"/>
        <scheme val="minor"/>
      </rPr>
      <t>×</t>
    </r>
    <r>
      <rPr>
        <sz val="12"/>
        <color theme="1"/>
        <rFont val="Calibri"/>
        <family val="2"/>
        <scheme val="minor"/>
      </rPr>
      <t>(</t>
    </r>
    <r>
      <rPr>
        <sz val="12"/>
        <color rgb="FF374151"/>
        <rFont val="Calibri"/>
        <family val="2"/>
        <scheme val="minor"/>
      </rPr>
      <t>Length×</t>
    </r>
    <r>
      <rPr>
        <sz val="12"/>
        <color theme="1"/>
        <rFont val="Calibri"/>
        <family val="2"/>
        <scheme val="minor"/>
      </rPr>
      <t>Width</t>
    </r>
    <r>
      <rPr>
        <sz val="12"/>
        <color rgb="FF374151"/>
        <rFont val="Calibri"/>
        <family val="2"/>
        <scheme val="minor"/>
      </rPr>
      <t>+</t>
    </r>
    <r>
      <rPr>
        <sz val="12"/>
        <color theme="1"/>
        <rFont val="Calibri"/>
        <family val="2"/>
        <scheme val="minor"/>
      </rPr>
      <t>Width</t>
    </r>
    <r>
      <rPr>
        <sz val="12"/>
        <color rgb="FF374151"/>
        <rFont val="Calibri"/>
        <family val="2"/>
        <scheme val="minor"/>
      </rPr>
      <t>×</t>
    </r>
    <r>
      <rPr>
        <sz val="12"/>
        <color theme="1"/>
        <rFont val="Calibri"/>
        <family val="2"/>
        <scheme val="minor"/>
      </rPr>
      <t>Height</t>
    </r>
    <r>
      <rPr>
        <sz val="12"/>
        <color rgb="FF374151"/>
        <rFont val="Calibri"/>
        <family val="2"/>
        <scheme val="minor"/>
      </rPr>
      <t>+</t>
    </r>
    <r>
      <rPr>
        <sz val="12"/>
        <color theme="1"/>
        <rFont val="Calibri"/>
        <family val="2"/>
        <scheme val="minor"/>
      </rPr>
      <t>Height</t>
    </r>
    <r>
      <rPr>
        <sz val="12"/>
        <color rgb="FF374151"/>
        <rFont val="Calibri"/>
        <family val="2"/>
        <scheme val="minor"/>
      </rPr>
      <t>×</t>
    </r>
    <r>
      <rPr>
        <sz val="12"/>
        <color theme="1"/>
        <rFont val="Calibri"/>
        <family val="2"/>
        <scheme val="minor"/>
      </rPr>
      <t>Length</t>
    </r>
    <r>
      <rPr>
        <sz val="12"/>
        <color rgb="FF374151"/>
        <rFont val="Calibri"/>
        <family val="2"/>
        <scheme val="minor"/>
      </rPr>
      <t>)</t>
    </r>
  </si>
  <si>
    <t>Exposure Level and Description</t>
  </si>
  <si>
    <t>Toys Per Room</t>
  </si>
  <si>
    <t>Lenth (m)</t>
  </si>
  <si>
    <t>Width (m)</t>
  </si>
  <si>
    <t>Height (m)</t>
  </si>
  <si>
    <t>Total Surface Area of Toys (m2)</t>
  </si>
  <si>
    <t>High Estimate: 30 toys per room, average size 30x25x15 cm</t>
  </si>
  <si>
    <t>Medium Estimate: 20 toys per room, average size 20x15x8 cm.</t>
  </si>
  <si>
    <t>Low Estimate: 5 toys per room, average size 15x10x5 cm.</t>
  </si>
  <si>
    <t>Estimating Surface Area of Shower Curtain</t>
  </si>
  <si>
    <t>Number of Sides</t>
  </si>
  <si>
    <r>
      <rPr>
        <u/>
        <sz val="11"/>
        <color theme="1"/>
        <rFont val="Calibri"/>
        <family val="2"/>
        <scheme val="minor"/>
      </rPr>
      <t>High, Medium, and Low</t>
    </r>
    <r>
      <rPr>
        <sz val="11"/>
        <color theme="1"/>
        <rFont val="Calibri"/>
        <family val="2"/>
        <scheme val="minor"/>
      </rPr>
      <t xml:space="preserve">
Standard bathtub shower curtain, measuring 70 inches horizontal and 72 inches vertical.</t>
    </r>
  </si>
  <si>
    <t>Manufacturer Specs for a typical shower curtain</t>
  </si>
  <si>
    <t>https://www.bobrick.com/wp-content/uploads/204-2-3_td.pdf</t>
  </si>
  <si>
    <t>Estimating Surface Area of Solid Flooring</t>
  </si>
  <si>
    <t>Volume (m3)</t>
  </si>
  <si>
    <t>8 ft Ceiling Height (m)</t>
  </si>
  <si>
    <t>Surface Area of Floor (m2)</t>
  </si>
  <si>
    <r>
      <rPr>
        <u/>
        <sz val="11"/>
        <color theme="1"/>
        <rFont val="Calibri"/>
        <family val="2"/>
        <scheme val="minor"/>
      </rPr>
      <t>High, Medium, and Low</t>
    </r>
    <r>
      <rPr>
        <sz val="11"/>
        <color theme="1"/>
        <rFont val="Calibri"/>
        <family val="2"/>
        <scheme val="minor"/>
      </rPr>
      <t xml:space="preserve">
Based on floor area associated with a  492 m3 volume house with 8 ft ceilings.</t>
    </r>
  </si>
  <si>
    <t>CEM default of house volume</t>
  </si>
  <si>
    <t>Estimating Surface Area of Leather Furniture</t>
  </si>
  <si>
    <r>
      <t>SA</t>
    </r>
    <r>
      <rPr>
        <sz val="10"/>
        <color rgb="FF374151"/>
        <rFont val="Times New Roman"/>
        <family val="1"/>
      </rPr>
      <t>=2×(</t>
    </r>
    <r>
      <rPr>
        <i/>
        <sz val="10"/>
        <color rgb="FF374151"/>
        <rFont val="KaTeX_Math"/>
      </rPr>
      <t>L</t>
    </r>
    <r>
      <rPr>
        <sz val="7.7"/>
        <color rgb="FF374151"/>
        <rFont val="Times New Roman"/>
        <family val="1"/>
      </rPr>
      <t>couch</t>
    </r>
    <r>
      <rPr>
        <sz val="1"/>
        <color rgb="FF374151"/>
        <rFont val="Times New Roman"/>
        <family val="1"/>
      </rPr>
      <t>​</t>
    </r>
    <r>
      <rPr>
        <sz val="10"/>
        <color rgb="FF374151"/>
        <rFont val="Times New Roman"/>
        <family val="1"/>
      </rPr>
      <t>×</t>
    </r>
    <r>
      <rPr>
        <i/>
        <sz val="10"/>
        <color rgb="FF374151"/>
        <rFont val="KaTeX_Math"/>
      </rPr>
      <t>D</t>
    </r>
    <r>
      <rPr>
        <sz val="7.7"/>
        <color rgb="FF374151"/>
        <rFont val="Times New Roman"/>
        <family val="1"/>
      </rPr>
      <t>couch</t>
    </r>
    <r>
      <rPr>
        <sz val="1"/>
        <color rgb="FF374151"/>
        <rFont val="Times New Roman"/>
        <family val="1"/>
      </rPr>
      <t>​</t>
    </r>
    <r>
      <rPr>
        <sz val="10"/>
        <color rgb="FF374151"/>
        <rFont val="Times New Roman"/>
        <family val="1"/>
      </rPr>
      <t>+</t>
    </r>
    <r>
      <rPr>
        <i/>
        <sz val="10"/>
        <color rgb="FF374151"/>
        <rFont val="KaTeX_Math"/>
      </rPr>
      <t>L</t>
    </r>
    <r>
      <rPr>
        <sz val="7.7"/>
        <color rgb="FF374151"/>
        <rFont val="Times New Roman"/>
        <family val="1"/>
      </rPr>
      <t>couch</t>
    </r>
    <r>
      <rPr>
        <sz val="1"/>
        <color rgb="FF374151"/>
        <rFont val="Times New Roman"/>
        <family val="1"/>
      </rPr>
      <t>​</t>
    </r>
    <r>
      <rPr>
        <sz val="10"/>
        <color rgb="FF374151"/>
        <rFont val="Times New Roman"/>
        <family val="1"/>
      </rPr>
      <t>×</t>
    </r>
    <r>
      <rPr>
        <i/>
        <sz val="10"/>
        <color rgb="FF374151"/>
        <rFont val="KaTeX_Math"/>
      </rPr>
      <t>H</t>
    </r>
    <r>
      <rPr>
        <sz val="7.7"/>
        <color rgb="FF374151"/>
        <rFont val="Times New Roman"/>
        <family val="1"/>
      </rPr>
      <t>couch</t>
    </r>
    <r>
      <rPr>
        <sz val="1"/>
        <color rgb="FF374151"/>
        <rFont val="Times New Roman"/>
        <family val="1"/>
      </rPr>
      <t>​</t>
    </r>
    <r>
      <rPr>
        <sz val="10"/>
        <color rgb="FF374151"/>
        <rFont val="Times New Roman"/>
        <family val="1"/>
      </rPr>
      <t>+</t>
    </r>
    <r>
      <rPr>
        <i/>
        <sz val="10"/>
        <color rgb="FF374151"/>
        <rFont val="KaTeX_Math"/>
      </rPr>
      <t>D</t>
    </r>
    <r>
      <rPr>
        <sz val="7.7"/>
        <color rgb="FF374151"/>
        <rFont val="Times New Roman"/>
        <family val="1"/>
      </rPr>
      <t>couch</t>
    </r>
    <r>
      <rPr>
        <sz val="1"/>
        <color rgb="FF374151"/>
        <rFont val="Times New Roman"/>
        <family val="1"/>
      </rPr>
      <t>​</t>
    </r>
    <r>
      <rPr>
        <sz val="10"/>
        <color rgb="FF374151"/>
        <rFont val="Times New Roman"/>
        <family val="1"/>
      </rPr>
      <t>×</t>
    </r>
    <r>
      <rPr>
        <i/>
        <sz val="10"/>
        <color rgb="FF374151"/>
        <rFont val="KaTeX_Math"/>
      </rPr>
      <t>H</t>
    </r>
    <r>
      <rPr>
        <sz val="7.7"/>
        <color rgb="FF374151"/>
        <rFont val="Times New Roman"/>
        <family val="1"/>
      </rPr>
      <t>couch</t>
    </r>
    <r>
      <rPr>
        <sz val="1"/>
        <color rgb="FF374151"/>
        <rFont val="Times New Roman"/>
        <family val="1"/>
      </rPr>
      <t>​</t>
    </r>
    <r>
      <rPr>
        <sz val="10"/>
        <color rgb="FF374151"/>
        <rFont val="Times New Roman"/>
        <family val="1"/>
      </rPr>
      <t>)+2×(</t>
    </r>
    <r>
      <rPr>
        <i/>
        <sz val="10"/>
        <color rgb="FF374151"/>
        <rFont val="KaTeX_Math"/>
      </rPr>
      <t>L</t>
    </r>
    <r>
      <rPr>
        <sz val="7.7"/>
        <color rgb="FF374151"/>
        <rFont val="Times New Roman"/>
        <family val="1"/>
      </rPr>
      <t>loveseat</t>
    </r>
    <r>
      <rPr>
        <sz val="1"/>
        <color rgb="FF374151"/>
        <rFont val="Times New Roman"/>
        <family val="1"/>
      </rPr>
      <t>​</t>
    </r>
    <r>
      <rPr>
        <sz val="10"/>
        <color rgb="FF374151"/>
        <rFont val="Times New Roman"/>
        <family val="1"/>
      </rPr>
      <t>×</t>
    </r>
    <r>
      <rPr>
        <i/>
        <sz val="10"/>
        <color rgb="FF374151"/>
        <rFont val="KaTeX_Math"/>
      </rPr>
      <t>D</t>
    </r>
    <r>
      <rPr>
        <sz val="7.7"/>
        <color rgb="FF374151"/>
        <rFont val="Times New Roman"/>
        <family val="1"/>
      </rPr>
      <t>loveseat</t>
    </r>
    <r>
      <rPr>
        <sz val="1"/>
        <color rgb="FF374151"/>
        <rFont val="Times New Roman"/>
        <family val="1"/>
      </rPr>
      <t>​</t>
    </r>
    <r>
      <rPr>
        <sz val="10"/>
        <color rgb="FF374151"/>
        <rFont val="Times New Roman"/>
        <family val="1"/>
      </rPr>
      <t>+</t>
    </r>
    <r>
      <rPr>
        <i/>
        <sz val="10"/>
        <color rgb="FF374151"/>
        <rFont val="KaTeX_Math"/>
      </rPr>
      <t>L</t>
    </r>
    <r>
      <rPr>
        <sz val="7.7"/>
        <color rgb="FF374151"/>
        <rFont val="Times New Roman"/>
        <family val="1"/>
      </rPr>
      <t>loveseat</t>
    </r>
    <r>
      <rPr>
        <sz val="1"/>
        <color rgb="FF374151"/>
        <rFont val="Times New Roman"/>
        <family val="1"/>
      </rPr>
      <t>​</t>
    </r>
    <r>
      <rPr>
        <sz val="10"/>
        <color rgb="FF374151"/>
        <rFont val="Times New Roman"/>
        <family val="1"/>
      </rPr>
      <t>×</t>
    </r>
    <r>
      <rPr>
        <i/>
        <sz val="10"/>
        <color rgb="FF374151"/>
        <rFont val="KaTeX_Math"/>
      </rPr>
      <t>H</t>
    </r>
    <r>
      <rPr>
        <sz val="7.7"/>
        <color rgb="FF374151"/>
        <rFont val="Times New Roman"/>
        <family val="1"/>
      </rPr>
      <t>loveseat</t>
    </r>
    <r>
      <rPr>
        <sz val="1"/>
        <color rgb="FF374151"/>
        <rFont val="Times New Roman"/>
        <family val="1"/>
      </rPr>
      <t>​</t>
    </r>
    <r>
      <rPr>
        <sz val="10"/>
        <color rgb="FF374151"/>
        <rFont val="Times New Roman"/>
        <family val="1"/>
      </rPr>
      <t>+</t>
    </r>
    <r>
      <rPr>
        <i/>
        <sz val="10"/>
        <color rgb="FF374151"/>
        <rFont val="KaTeX_Math"/>
      </rPr>
      <t>D</t>
    </r>
    <r>
      <rPr>
        <sz val="7.7"/>
        <color rgb="FF374151"/>
        <rFont val="Times New Roman"/>
        <family val="1"/>
      </rPr>
      <t>loveseat</t>
    </r>
    <r>
      <rPr>
        <sz val="1"/>
        <color rgb="FF374151"/>
        <rFont val="Times New Roman"/>
        <family val="1"/>
      </rPr>
      <t>​</t>
    </r>
    <r>
      <rPr>
        <sz val="10"/>
        <color rgb="FF374151"/>
        <rFont val="Times New Roman"/>
        <family val="1"/>
      </rPr>
      <t>×</t>
    </r>
    <r>
      <rPr>
        <i/>
        <sz val="10"/>
        <color rgb="FF374151"/>
        <rFont val="KaTeX_Math"/>
      </rPr>
      <t>H</t>
    </r>
    <r>
      <rPr>
        <sz val="7.7"/>
        <color rgb="FF374151"/>
        <rFont val="Times New Roman"/>
        <family val="1"/>
      </rPr>
      <t>loveseat</t>
    </r>
    <r>
      <rPr>
        <sz val="1"/>
        <color rgb="FF374151"/>
        <rFont val="Times New Roman"/>
        <family val="1"/>
      </rPr>
      <t>​</t>
    </r>
    <r>
      <rPr>
        <sz val="10"/>
        <color rgb="FF374151"/>
        <rFont val="Times New Roman"/>
        <family val="1"/>
      </rPr>
      <t>)</t>
    </r>
  </si>
  <si>
    <t>Item</t>
  </si>
  <si>
    <t>Lenth (in)</t>
  </si>
  <si>
    <t>Depth (in)</t>
  </si>
  <si>
    <t>Height (in)</t>
  </si>
  <si>
    <t>Surface Area (in2)</t>
  </si>
  <si>
    <t>Total Surface Area (m2)</t>
  </si>
  <si>
    <r>
      <t xml:space="preserve">High
</t>
    </r>
    <r>
      <rPr>
        <sz val="11"/>
        <color theme="1"/>
        <rFont val="Calibri"/>
        <family val="2"/>
        <scheme val="minor"/>
      </rPr>
      <t>A large couch measuring 100”x 42”x 35” and a large loveseat measuring 72"x 42" x 35"</t>
    </r>
  </si>
  <si>
    <t>Couch</t>
  </si>
  <si>
    <t>Loveseat</t>
  </si>
  <si>
    <r>
      <t xml:space="preserve">Medium
</t>
    </r>
    <r>
      <rPr>
        <sz val="11"/>
        <color theme="1"/>
        <rFont val="Calibri"/>
        <family val="2"/>
        <scheme val="minor"/>
      </rPr>
      <t>A medium couch measuring 80”x 36”x 30” and a medium loveseat measuring 60"x 36" x 30"</t>
    </r>
  </si>
  <si>
    <r>
      <t xml:space="preserve">Low
</t>
    </r>
    <r>
      <rPr>
        <sz val="11"/>
        <color theme="1"/>
        <rFont val="Calibri"/>
        <family val="2"/>
        <scheme val="minor"/>
      </rPr>
      <t>A small couch measuring 60”x 30”x 25” and a small loveseat measuring 48"x 30" x 25"</t>
    </r>
  </si>
  <si>
    <t>Estimating Surface Area of Wire Insulation</t>
  </si>
  <si>
    <t># of residents</t>
  </si>
  <si>
    <t xml:space="preserve">Home Appliance Cords </t>
  </si>
  <si>
    <t>Television, Lamps, and  Other Electrical Devices per home</t>
  </si>
  <si>
    <t>Internet Cords per home</t>
  </si>
  <si>
    <t>Charging Cables/person</t>
  </si>
  <si>
    <t>Misc. Cords/person</t>
  </si>
  <si>
    <t>Total Cord Number in Home</t>
  </si>
  <si>
    <t>Cord Length (m)</t>
  </si>
  <si>
    <t>Cord Diameter (mm)</t>
  </si>
  <si>
    <t>Cord Circumference (m)</t>
  </si>
  <si>
    <t>Length of Cord in Home (m)</t>
  </si>
  <si>
    <t>Surface area of Cord in Home (m)</t>
  </si>
  <si>
    <t>Number of cords based on professional judgement for number of appliance, television, internet, and charging cords.</t>
  </si>
  <si>
    <t>A Survey on Ownership of Home Appliances and Electric Energy Consumption Status According to the Number of Household Member | Scientific.Net</t>
  </si>
  <si>
    <t>Product</t>
  </si>
  <si>
    <t>Exposure Scenario Level</t>
  </si>
  <si>
    <r>
      <t>Weight Fraction</t>
    </r>
    <r>
      <rPr>
        <b/>
        <vertAlign val="superscript"/>
        <sz val="10"/>
        <color rgb="FF000000"/>
        <rFont val="Times New Roman"/>
        <family val="1"/>
      </rPr>
      <t xml:space="preserve"> </t>
    </r>
  </si>
  <si>
    <r>
      <t>Density (g/cm</t>
    </r>
    <r>
      <rPr>
        <b/>
        <vertAlign val="superscript"/>
        <sz val="10"/>
        <color rgb="FF000000"/>
        <rFont val="Times New Roman"/>
        <family val="1"/>
      </rPr>
      <t>3</t>
    </r>
    <r>
      <rPr>
        <b/>
        <sz val="10"/>
        <color rgb="FF000000"/>
        <rFont val="Times New Roman"/>
        <family val="1"/>
      </rPr>
      <t>)</t>
    </r>
    <r>
      <rPr>
        <b/>
        <vertAlign val="superscript"/>
        <sz val="10"/>
        <color rgb="FF000000"/>
        <rFont val="Times New Roman"/>
        <family val="1"/>
      </rPr>
      <t xml:space="preserve"> </t>
    </r>
  </si>
  <si>
    <r>
      <t>Article Surface Area (m</t>
    </r>
    <r>
      <rPr>
        <b/>
        <vertAlign val="superscript"/>
        <sz val="10"/>
        <color rgb="FF000000"/>
        <rFont val="Times New Roman"/>
        <family val="1"/>
      </rPr>
      <t>2</t>
    </r>
    <r>
      <rPr>
        <b/>
        <sz val="10"/>
        <color rgb="FF000000"/>
        <rFont val="Times New Roman"/>
        <family val="1"/>
      </rPr>
      <t>)</t>
    </r>
  </si>
  <si>
    <t>Surface Layer Thickness (cm)</t>
  </si>
  <si>
    <r>
      <t>Use Environ-ment and Volume (m</t>
    </r>
    <r>
      <rPr>
        <b/>
        <vertAlign val="superscript"/>
        <sz val="10"/>
        <color rgb="FF000000"/>
        <rFont val="Times New Roman"/>
        <family val="1"/>
      </rPr>
      <t>3</t>
    </r>
    <r>
      <rPr>
        <b/>
        <sz val="10"/>
        <color rgb="FF000000"/>
        <rFont val="Times New Roman"/>
        <family val="1"/>
      </rPr>
      <t>)</t>
    </r>
    <r>
      <rPr>
        <b/>
        <vertAlign val="superscript"/>
        <sz val="10"/>
        <color rgb="FF000000"/>
        <rFont val="Times New Roman"/>
        <family val="1"/>
      </rPr>
      <t xml:space="preserve"> </t>
    </r>
  </si>
  <si>
    <t>Exposure Assessed</t>
  </si>
  <si>
    <t>Dermal Spreadsheet Inputs</t>
  </si>
  <si>
    <t xml:space="preserve">Users </t>
  </si>
  <si>
    <t>Adult/Youth</t>
  </si>
  <si>
    <t>Adult/Youth/Child</t>
  </si>
  <si>
    <t>Frequency of Product Contact</t>
  </si>
  <si>
    <t>events/year</t>
  </si>
  <si>
    <t>Interior Car Care</t>
  </si>
  <si>
    <t>events/day</t>
  </si>
  <si>
    <t>Duration of Product Contact</t>
  </si>
  <si>
    <t>min/event</t>
  </si>
  <si>
    <t>CEM Model Selection</t>
  </si>
  <si>
    <t>CEM Models (inhalation and/or ingestion pathways):</t>
  </si>
  <si>
    <t>Not Applicable. Product only modeled for dermal exposure outside of CEM.</t>
  </si>
  <si>
    <t>Caulk (Sealant)</t>
  </si>
  <si>
    <t>Generic P2 E2</t>
  </si>
  <si>
    <t>Generic P3 E3</t>
  </si>
  <si>
    <t>CEM Saved Analysis:</t>
  </si>
  <si>
    <t>E1, P_INH2 (Near-field)</t>
  </si>
  <si>
    <t>E2, P_INH2 (Near-field, users), P_INH1 (bystanders)</t>
  </si>
  <si>
    <t>E3, P_INH2 (Near-field, users), P_INH1 (bystanders)</t>
  </si>
  <si>
    <t>Input Parameter</t>
  </si>
  <si>
    <t>Value</t>
  </si>
  <si>
    <t>Scenario Screen Parameters</t>
  </si>
  <si>
    <t xml:space="preserve">Weight Fraction </t>
  </si>
  <si>
    <t>(-)</t>
  </si>
  <si>
    <t>Initial Concentration of SVOC in Article</t>
  </si>
  <si>
    <t>mg/cm3</t>
  </si>
  <si>
    <t>Background Air Concentration</t>
  </si>
  <si>
    <t>mg/m3</t>
  </si>
  <si>
    <t>Background Dust Concentration</t>
  </si>
  <si>
    <t>ug/mg</t>
  </si>
  <si>
    <t>Product/Article Use Environment</t>
  </si>
  <si>
    <t>Residence - Bathroom</t>
  </si>
  <si>
    <t>Residence - Utility room</t>
  </si>
  <si>
    <t>Residence - Garage</t>
  </si>
  <si>
    <t>Residence - Whole house</t>
  </si>
  <si>
    <t>Pathways</t>
  </si>
  <si>
    <t>Inhalation</t>
  </si>
  <si>
    <t>Product Users</t>
  </si>
  <si>
    <t>Activity Pattern</t>
  </si>
  <si>
    <t>Stay-At-Home</t>
  </si>
  <si>
    <t>User-defined Emission Rates</t>
  </si>
  <si>
    <t>Let CEM Estimate Emission Rate</t>
  </si>
  <si>
    <t>Use Near-field Zone? (E1, E2, E3 only)</t>
  </si>
  <si>
    <t>Use Near-field area in zone 1 (P_INH2)</t>
  </si>
  <si>
    <t>Dermal Absorption or Permeability?</t>
  </si>
  <si>
    <t>Emission Factor Method (E1 only)</t>
  </si>
  <si>
    <t>Evaporation Time</t>
  </si>
  <si>
    <t>Product/Article Properties Screen Parameters</t>
  </si>
  <si>
    <t>Product/Article and Use Inputs</t>
  </si>
  <si>
    <t>User Defined Emission Rate</t>
  </si>
  <si>
    <t>mg/hr</t>
  </si>
  <si>
    <t>Density of Product/Article</t>
  </si>
  <si>
    <t>g/cm3</t>
  </si>
  <si>
    <t xml:space="preserve">Surface Area of Article </t>
  </si>
  <si>
    <t>m2</t>
  </si>
  <si>
    <t>Thickness of Article Surface Layer</t>
  </si>
  <si>
    <t>cm</t>
  </si>
  <si>
    <t>Duration of Article Contact</t>
  </si>
  <si>
    <t xml:space="preserve">Area of Article mouthed </t>
  </si>
  <si>
    <t>cm2</t>
  </si>
  <si>
    <t>Chronic and Acute Assessments</t>
  </si>
  <si>
    <t>Duration of Use (acute)</t>
  </si>
  <si>
    <t>Mass of Product Used Per Event (acute)</t>
  </si>
  <si>
    <t>oz/event</t>
  </si>
  <si>
    <t xml:space="preserve">Mass of Product Used Per Event </t>
  </si>
  <si>
    <t>g/event</t>
  </si>
  <si>
    <t>Frequency of Use (Chronic)</t>
  </si>
  <si>
    <t>events/yr</t>
  </si>
  <si>
    <t>Frequency of Use (acute)</t>
  </si>
  <si>
    <t>All Assessments</t>
  </si>
  <si>
    <t xml:space="preserve">Aerosol fraction </t>
  </si>
  <si>
    <t>unitless</t>
  </si>
  <si>
    <t xml:space="preserve">FractionProduct Ingested </t>
  </si>
  <si>
    <t>Inputs for Dermal and Ingestion Exposure</t>
  </si>
  <si>
    <t>Film Thickness on Skin</t>
  </si>
  <si>
    <t>Amount Retained on Skin</t>
  </si>
  <si>
    <t>g/cm2</t>
  </si>
  <si>
    <t xml:space="preserve">Skin Permeability Coefficient </t>
  </si>
  <si>
    <t>cm/hr</t>
  </si>
  <si>
    <t>Chemical Migration Rate</t>
  </si>
  <si>
    <t>mg/cm2/hr</t>
  </si>
  <si>
    <t>Thickness of Contact Layer</t>
  </si>
  <si>
    <t>Surface Loading</t>
  </si>
  <si>
    <t>mg/cm2</t>
  </si>
  <si>
    <t>Mouthing Transfer Efficiency</t>
  </si>
  <si>
    <t>(per event)</t>
  </si>
  <si>
    <t>Fraction of Chemical that is Dislodgeable</t>
  </si>
  <si>
    <t>Product Dilution Factor</t>
  </si>
  <si>
    <t>Transdermal Permeability Coefficient</t>
  </si>
  <si>
    <t>m/hr</t>
  </si>
  <si>
    <t>Absorption Fraction-Acute</t>
  </si>
  <si>
    <t>Absorption Fraction-Chronic</t>
  </si>
  <si>
    <t>Ingestion Fraction-RP</t>
  </si>
  <si>
    <t>Ingestion Fraction-Dust</t>
  </si>
  <si>
    <t>Ingestion Fraction-Abraded particle</t>
  </si>
  <si>
    <t>Chemical Half-life in Soil</t>
  </si>
  <si>
    <t>days</t>
  </si>
  <si>
    <t>Avg Molecule Diffusion per Contact</t>
  </si>
  <si>
    <t>cm/day</t>
  </si>
  <si>
    <t>Frequency of Article Contact</t>
  </si>
  <si>
    <t>Adherence Factor</t>
  </si>
  <si>
    <t>mg/cm2*event)</t>
  </si>
  <si>
    <t>Environment Inputs</t>
  </si>
  <si>
    <t>Environment Property/Attribute</t>
  </si>
  <si>
    <t>Building Volume (Residence)</t>
  </si>
  <si>
    <t>m3</t>
  </si>
  <si>
    <t>Use Environment Volume</t>
  </si>
  <si>
    <t>Yard Area</t>
  </si>
  <si>
    <t>Air Exchange Rate, Zone 1 (Residence)</t>
  </si>
  <si>
    <t>hr-1</t>
  </si>
  <si>
    <t>Air Exchange Rate, Zone 2 (Residence)</t>
  </si>
  <si>
    <t>Interzone Ventilation Rate</t>
  </si>
  <si>
    <t>m3/hr</t>
  </si>
  <si>
    <t>Area of Interior Surface</t>
  </si>
  <si>
    <t>Thickness of Interior Surface</t>
  </si>
  <si>
    <t>m</t>
  </si>
  <si>
    <t>Near Field Environmental Inputs</t>
  </si>
  <si>
    <t>Near Field Volume</t>
  </si>
  <si>
    <t>Far-Field Volume</t>
  </si>
  <si>
    <t xml:space="preserve">Air Exchange Rate at Near-field Boundary </t>
  </si>
  <si>
    <t>per hour</t>
  </si>
  <si>
    <t>Soil Properties</t>
  </si>
  <si>
    <t xml:space="preserve">Soil Mixing Depth </t>
  </si>
  <si>
    <t xml:space="preserve">Soil Density </t>
  </si>
  <si>
    <t>kg/m3</t>
  </si>
  <si>
    <t>Soil Porosity</t>
  </si>
  <si>
    <t>Chronic Concentration in Soil/Powders</t>
  </si>
  <si>
    <t>Acute Concentration in Soil/Powders</t>
  </si>
  <si>
    <t>Dust Parameter Inputs</t>
  </si>
  <si>
    <t>RP</t>
  </si>
  <si>
    <t xml:space="preserve">Deposition rate </t>
  </si>
  <si>
    <t xml:space="preserve">Resuspension rate </t>
  </si>
  <si>
    <t>Mass Generation Rate, Suspended</t>
  </si>
  <si>
    <t>Mass Generation Rate, Floor</t>
  </si>
  <si>
    <t>Radius of Particle</t>
  </si>
  <si>
    <t>Density of Particle</t>
  </si>
  <si>
    <t xml:space="preserve">Dust </t>
  </si>
  <si>
    <t>Abraded Particle</t>
  </si>
  <si>
    <t>Ambient RP Concentration</t>
  </si>
  <si>
    <t xml:space="preserve">Cleaning Frequency </t>
  </si>
  <si>
    <t>Cleaning Efficiency</t>
  </si>
  <si>
    <t xml:space="preserve">HVAC Filter Penetration </t>
  </si>
  <si>
    <t>Receptor Exposure Factors</t>
  </si>
  <si>
    <t xml:space="preserve">Exposure Duration - chronic </t>
  </si>
  <si>
    <t>years</t>
  </si>
  <si>
    <t>Exposure Duration - acute</t>
  </si>
  <si>
    <t>Mouthing Duration (Adult &gt;= 21 yrs)</t>
  </si>
  <si>
    <t>min/hour</t>
  </si>
  <si>
    <t>Mouthing Duration (Youth 16-20 yrs)</t>
  </si>
  <si>
    <t>Mouthing Duration (Youth 11-15 yrs)</t>
  </si>
  <si>
    <t>Mouthing Duration (Child 6-10 yrs)</t>
  </si>
  <si>
    <t>Mouthing Duration (Child 3-5 yrs)</t>
  </si>
  <si>
    <t>Mouthing Duration (Small Child 1-2 yrs)</t>
  </si>
  <si>
    <t>Mouthing Duration (Small Child &lt;1 yr)</t>
  </si>
  <si>
    <t>Environment</t>
  </si>
  <si>
    <t>Vol_Building</t>
  </si>
  <si>
    <t>Vol_Zone1</t>
  </si>
  <si>
    <t>Area_yard</t>
  </si>
  <si>
    <t>AER_Zone1</t>
  </si>
  <si>
    <t>AER_Zone2</t>
  </si>
  <si>
    <t>Q_z12</t>
  </si>
  <si>
    <t>A_int</t>
  </si>
  <si>
    <t>Automobile</t>
  </si>
  <si>
    <t>Office/School</t>
  </si>
  <si>
    <t>Residence - Bedroom</t>
  </si>
  <si>
    <t>Residence - Kitchen</t>
  </si>
  <si>
    <t>Residence - Laundry room</t>
  </si>
  <si>
    <t>Residence - Living room</t>
  </si>
  <si>
    <t>School</t>
  </si>
  <si>
    <t xml:space="preserve">Compiled CEM Inputs for Article Scenarios </t>
  </si>
  <si>
    <t>Key for CEM Models</t>
  </si>
  <si>
    <t>Refer to Individual Scenario Tabs for Sources and Notes.</t>
  </si>
  <si>
    <t xml:space="preserve">A_ING1 = Ingestion after Inhalation </t>
  </si>
  <si>
    <t xml:space="preserve">A_INH1 = Inhalation from Article Placed in Environment </t>
  </si>
  <si>
    <t>A_ING2 = Ingestion of Article Mouthed</t>
  </si>
  <si>
    <t>E6 = Emission from Article Placed in Environment</t>
  </si>
  <si>
    <t>A_ING3 = Incidental Dust Ingestion</t>
  </si>
  <si>
    <r>
      <t>Interzone Ventilation Rate (m</t>
    </r>
    <r>
      <rPr>
        <b/>
        <vertAlign val="superscript"/>
        <sz val="10"/>
        <color rgb="FF000000"/>
        <rFont val="Times New Roman"/>
        <family val="1"/>
      </rPr>
      <t>3</t>
    </r>
    <r>
      <rPr>
        <b/>
        <sz val="10"/>
        <color rgb="FF000000"/>
        <rFont val="Times New Roman"/>
        <family val="1"/>
      </rPr>
      <t>/h)</t>
    </r>
    <r>
      <rPr>
        <b/>
        <vertAlign val="superscript"/>
        <sz val="10"/>
        <color rgb="FF000000"/>
        <rFont val="Times New Roman"/>
        <family val="1"/>
      </rPr>
      <t xml:space="preserve"> </t>
    </r>
  </si>
  <si>
    <t>Inhalation, Dermal, Dust Ingestion</t>
  </si>
  <si>
    <t>Inhalation, Dermal, Dust Ingestion, Mouthing</t>
  </si>
  <si>
    <t>Adult, Youth</t>
  </si>
  <si>
    <t>Youth, Child</t>
  </si>
  <si>
    <t>Adult, Youth, Child</t>
  </si>
  <si>
    <t>Car Mats</t>
  </si>
  <si>
    <t>Children's Toys (Legacy/Noncompliant)</t>
  </si>
  <si>
    <t>A_ING2</t>
  </si>
  <si>
    <t>E6, A_INH1, A_ING1, A_ING3</t>
  </si>
  <si>
    <t>E6, A_INH1, A_ING1, A_ING2, A_ING3</t>
  </si>
  <si>
    <t>Not Applicable. Article only modeled for dermal exposure outside of CEM.</t>
  </si>
  <si>
    <t>Rubber articles: with potential for routine contact (baby bottle nipples, pacifiers, toys)</t>
  </si>
  <si>
    <t>Leather Furniture</t>
  </si>
  <si>
    <t>Plastic articles: vinyl flooring</t>
  </si>
  <si>
    <t>CEM Input Parameter</t>
  </si>
  <si>
    <t>Weight Fraction</t>
  </si>
  <si>
    <t>Scenario</t>
  </si>
  <si>
    <t>Weight Fraction (%)</t>
  </si>
  <si>
    <r>
      <t>Initial Conc. (mg/cm</t>
    </r>
    <r>
      <rPr>
        <b/>
        <vertAlign val="superscript"/>
        <sz val="10"/>
        <color rgb="FF000000"/>
        <rFont val="Times New Roman"/>
        <family val="1"/>
      </rPr>
      <t>3</t>
    </r>
    <r>
      <rPr>
        <b/>
        <sz val="10"/>
        <color rgb="FF000000"/>
        <rFont val="Times New Roman"/>
        <family val="1"/>
      </rPr>
      <t>)</t>
    </r>
  </si>
  <si>
    <r>
      <t>Density (g/cm</t>
    </r>
    <r>
      <rPr>
        <b/>
        <vertAlign val="superscript"/>
        <sz val="10"/>
        <color rgb="FF000000"/>
        <rFont val="Times New Roman"/>
        <family val="1"/>
      </rPr>
      <t>3</t>
    </r>
    <r>
      <rPr>
        <b/>
        <sz val="10"/>
        <color rgb="FF000000"/>
        <rFont val="Times New Roman"/>
        <family val="1"/>
      </rPr>
      <t>)</t>
    </r>
  </si>
  <si>
    <r>
      <t>Surface Area (m</t>
    </r>
    <r>
      <rPr>
        <b/>
        <vertAlign val="superscript"/>
        <sz val="10"/>
        <color rgb="FF000000"/>
        <rFont val="Times New Roman"/>
        <family val="1"/>
      </rPr>
      <t>2</t>
    </r>
    <r>
      <rPr>
        <b/>
        <sz val="10"/>
        <color rgb="FF000000"/>
        <rFont val="Times New Roman"/>
        <family val="1"/>
      </rPr>
      <t>)</t>
    </r>
  </si>
  <si>
    <t>Surface Layer Thickness (m)</t>
  </si>
  <si>
    <r>
      <t>Use Environment Volume (m</t>
    </r>
    <r>
      <rPr>
        <b/>
        <vertAlign val="superscript"/>
        <sz val="10"/>
        <color rgb="FF000000"/>
        <rFont val="Times New Roman"/>
        <family val="1"/>
      </rPr>
      <t>3</t>
    </r>
    <r>
      <rPr>
        <b/>
        <sz val="10"/>
        <color rgb="FF000000"/>
        <rFont val="Times New Roman"/>
        <family val="1"/>
      </rPr>
      <t>)</t>
    </r>
  </si>
  <si>
    <r>
      <t>Interzone Ventilation Rate (m</t>
    </r>
    <r>
      <rPr>
        <b/>
        <vertAlign val="superscript"/>
        <sz val="10"/>
        <color rgb="FF000000"/>
        <rFont val="Times New Roman"/>
        <family val="1"/>
      </rPr>
      <t>3</t>
    </r>
    <r>
      <rPr>
        <b/>
        <sz val="10"/>
        <color rgb="FF000000"/>
        <rFont val="Times New Roman"/>
        <family val="1"/>
      </rPr>
      <t>/h)</t>
    </r>
  </si>
  <si>
    <t>Let CEM calculate</t>
  </si>
  <si>
    <t>Air Beds</t>
  </si>
  <si>
    <t>automobile</t>
  </si>
  <si>
    <t>ingestion</t>
  </si>
  <si>
    <t>Inhalation/Ingestion</t>
  </si>
  <si>
    <r>
      <t xml:space="preserve">Product Users </t>
    </r>
    <r>
      <rPr>
        <b/>
        <sz val="11"/>
        <rFont val="Calibri"/>
        <family val="2"/>
        <scheme val="minor"/>
      </rPr>
      <t>(Non-users are automatically modeled as bystanders)</t>
    </r>
  </si>
  <si>
    <t>Youth/Child</t>
  </si>
  <si>
    <t>Stay at Home</t>
  </si>
  <si>
    <t>Furniture Components (Textile)</t>
  </si>
  <si>
    <r>
      <t>m</t>
    </r>
    <r>
      <rPr>
        <vertAlign val="superscript"/>
        <sz val="11"/>
        <color theme="1"/>
        <rFont val="Calibri"/>
        <family val="2"/>
        <scheme val="minor"/>
      </rPr>
      <t>2</t>
    </r>
  </si>
  <si>
    <t>Insulated Cords</t>
  </si>
  <si>
    <t>Shower Curtains</t>
  </si>
  <si>
    <t>Wallpaper (In Place)</t>
  </si>
  <si>
    <t>Dermal Calculations for Consumer Scenarios</t>
  </si>
  <si>
    <t>Refining Dermal - Sensitivity Experiments</t>
  </si>
  <si>
    <t>Product/Article Name</t>
  </si>
  <si>
    <t>Figure Label</t>
  </si>
  <si>
    <t>User(s)
[A  zero indicates that the population was not assessed for dermal exposure]</t>
  </si>
  <si>
    <t xml:space="preserve">Input Parameters </t>
  </si>
  <si>
    <t xml:space="preserve"> Dose per event mg/kg bw</t>
  </si>
  <si>
    <t>Chronic  Dose  mg/kg bw year</t>
  </si>
  <si>
    <t xml:space="preserve"> Acute Dose mg/kg bw day</t>
  </si>
  <si>
    <t>Chronic  Dose  ug/kg bw day - By Individual Age Group</t>
  </si>
  <si>
    <t xml:space="preserve"> Acute Dose ug/kg bw day - By Individual Age Group</t>
  </si>
  <si>
    <t>Chronic  Dose  ug/kg bw day - By Grouping</t>
  </si>
  <si>
    <t xml:space="preserve"> Acute Dose ug/kg bw day - By Grouping</t>
  </si>
  <si>
    <t>Chronic  MOE Check</t>
  </si>
  <si>
    <t xml:space="preserve"> Acute MOE Check</t>
  </si>
  <si>
    <t>Adult</t>
  </si>
  <si>
    <t>Youth</t>
  </si>
  <si>
    <t>Child</t>
  </si>
  <si>
    <t>Event time (Min)</t>
  </si>
  <si>
    <t>Frequency (chronic)</t>
  </si>
  <si>
    <t>Frequency (acute)</t>
  </si>
  <si>
    <r>
      <t>Flux (mg/cm</t>
    </r>
    <r>
      <rPr>
        <b/>
        <vertAlign val="superscript"/>
        <sz val="11"/>
        <color theme="1"/>
        <rFont val="Calibri"/>
        <family val="2"/>
        <scheme val="minor"/>
      </rPr>
      <t>2</t>
    </r>
    <r>
      <rPr>
        <b/>
        <sz val="11"/>
        <color theme="1"/>
        <rFont val="Calibri"/>
        <family val="2"/>
        <scheme val="minor"/>
      </rPr>
      <t>/hour)</t>
    </r>
  </si>
  <si>
    <r>
      <t>DA (mg/cm</t>
    </r>
    <r>
      <rPr>
        <b/>
        <vertAlign val="superscript"/>
        <sz val="11"/>
        <color theme="1"/>
        <rFont val="Calibri"/>
        <family val="2"/>
        <scheme val="minor"/>
      </rPr>
      <t>2</t>
    </r>
    <r>
      <rPr>
        <b/>
        <sz val="11"/>
        <color theme="1"/>
        <rFont val="Calibri"/>
        <family val="2"/>
        <scheme val="minor"/>
      </rPr>
      <t>)</t>
    </r>
  </si>
  <si>
    <t>Contact Area</t>
  </si>
  <si>
    <t xml:space="preserve">ADULTS &gt;21
</t>
  </si>
  <si>
    <t xml:space="preserve">YOUTHS (16-20)
</t>
  </si>
  <si>
    <t xml:space="preserve">YOUTHS (11 to &lt;15)
</t>
  </si>
  <si>
    <t xml:space="preserve">CHILDREN (6-&lt;10)
</t>
  </si>
  <si>
    <t xml:space="preserve">SMALL CHILDREN (3-&lt;6)
</t>
  </si>
  <si>
    <t xml:space="preserve">INFANTS (1-&lt;3)
</t>
  </si>
  <si>
    <t xml:space="preserve">INFANTS (&lt; 1)
</t>
  </si>
  <si>
    <t>ADULTS &gt;21</t>
  </si>
  <si>
    <t>YOUTHS (11-20)</t>
  </si>
  <si>
    <t>CHILDREN (1-10)</t>
  </si>
  <si>
    <t>YOUTHS (16-20)</t>
  </si>
  <si>
    <t>YOUTHS (11 to &lt;15)</t>
  </si>
  <si>
    <t>CHILDREN (6-&lt;10)</t>
  </si>
  <si>
    <t>SMALL CHILDREN (3-&lt;6)</t>
  </si>
  <si>
    <t>INFANTS (1-&lt;3)</t>
  </si>
  <si>
    <t>INFANTS (&lt; 1)</t>
  </si>
  <si>
    <t>Inside of two hands (palms, fingers)</t>
  </si>
  <si>
    <t>10% of Hands (some fingers)</t>
  </si>
  <si>
    <t>50% of Entire Body Surface Area</t>
  </si>
  <si>
    <t>25% of Face, Hands, and Arms</t>
  </si>
  <si>
    <t>Both Hands (entire surface area)</t>
  </si>
  <si>
    <t>Inside of one hand (palms, fingers)</t>
  </si>
  <si>
    <t>Crafting Resin (Liquid)</t>
  </si>
  <si>
    <t>LOOKUP TABLES AND SUPPLEMENTARY CALCULATIONS</t>
  </si>
  <si>
    <t>Surface Area/BW ratios</t>
  </si>
  <si>
    <t>Population</t>
  </si>
  <si>
    <t>Entire Body</t>
  </si>
  <si>
    <t>Flux from liquid products</t>
  </si>
  <si>
    <t>Flux from solid articles products</t>
  </si>
  <si>
    <t>Flux Unit</t>
  </si>
  <si>
    <t>Flux Value</t>
  </si>
  <si>
    <t>BBP Concentrations in Air and Tire Crumb</t>
  </si>
  <si>
    <t xml:space="preserve">BBP Concentration in tire particles (mg/kg). Table 2-5 EPA Tire Crumb Characterization Report. </t>
  </si>
  <si>
    <t>Semivolatile Organic Compound (SVOC)</t>
  </si>
  <si>
    <t>&gt; Minimum Quantifiable Limit (%)</t>
  </si>
  <si>
    <t>Background Air Sample Median (ng/m3 )</t>
  </si>
  <si>
    <t>Field Air Sample Location 1 Median (ng/m3 )</t>
  </si>
  <si>
    <t>Field Air Sample Location 2 Median (ng/m3 )</t>
  </si>
  <si>
    <t>Field Air Sample Max (ng/m3 )</t>
  </si>
  <si>
    <t>min</t>
  </si>
  <si>
    <t>mid</t>
  </si>
  <si>
    <t>Benzylbutyl Phthalate</t>
  </si>
  <si>
    <t>Inhalation Rates</t>
  </si>
  <si>
    <t>High Intensity Ventilation Rates from Exposure Factors Handbook</t>
  </si>
  <si>
    <t>CEM Age groups Relevant to sporting event</t>
  </si>
  <si>
    <t>Small child (3-5)</t>
  </si>
  <si>
    <t>Child (6-10)</t>
  </si>
  <si>
    <t>Youth (11-15)</t>
  </si>
  <si>
    <t>Youth (16-20)</t>
  </si>
  <si>
    <t xml:space="preserve">Adult </t>
  </si>
  <si>
    <r>
      <t>mean rate (m</t>
    </r>
    <r>
      <rPr>
        <vertAlign val="superscript"/>
        <sz val="11"/>
        <color theme="1"/>
        <rFont val="Calibri"/>
        <family val="2"/>
        <scheme val="minor"/>
      </rPr>
      <t>3</t>
    </r>
    <r>
      <rPr>
        <sz val="11"/>
        <color theme="1"/>
        <rFont val="Calibri"/>
        <family val="2"/>
        <scheme val="minor"/>
      </rPr>
      <t>/min)</t>
    </r>
  </si>
  <si>
    <r>
      <t>mean rate (m</t>
    </r>
    <r>
      <rPr>
        <vertAlign val="superscript"/>
        <sz val="11"/>
        <color theme="1"/>
        <rFont val="Calibri"/>
        <family val="2"/>
        <scheme val="minor"/>
      </rPr>
      <t>3</t>
    </r>
    <r>
      <rPr>
        <sz val="11"/>
        <color theme="1"/>
        <rFont val="Calibri"/>
        <family val="2"/>
        <scheme val="minor"/>
      </rPr>
      <t>/hour)</t>
    </r>
  </si>
  <si>
    <t>Inputs for Duration and Frequency of Exposure</t>
  </si>
  <si>
    <t>EPA Tire Crumb Exposure Characterization Table 5-7. Exposure Parameters for Extant Data</t>
  </si>
  <si>
    <t>Exposure Time(hrs/event)</t>
  </si>
  <si>
    <r>
      <t>Exposure Frequency (year</t>
    </r>
    <r>
      <rPr>
        <vertAlign val="superscript"/>
        <sz val="11"/>
        <color theme="1"/>
        <rFont val="Calibri"/>
        <family val="2"/>
        <scheme val="minor"/>
      </rPr>
      <t>-1</t>
    </r>
    <r>
      <rPr>
        <sz val="11"/>
        <color theme="1"/>
        <rFont val="Calibri"/>
        <family val="2"/>
        <scheme val="minor"/>
      </rPr>
      <t>)</t>
    </r>
  </si>
  <si>
    <r>
      <t>Exposure Frequency (day</t>
    </r>
    <r>
      <rPr>
        <vertAlign val="superscript"/>
        <sz val="11"/>
        <color theme="1"/>
        <rFont val="Calibri"/>
        <family val="2"/>
        <scheme val="minor"/>
      </rPr>
      <t>-1</t>
    </r>
    <r>
      <rPr>
        <sz val="11"/>
        <color theme="1"/>
        <rFont val="Calibri"/>
        <family val="2"/>
        <scheme val="minor"/>
      </rPr>
      <t>)</t>
    </r>
  </si>
  <si>
    <t>Absorption Fraction</t>
  </si>
  <si>
    <t>Route</t>
  </si>
  <si>
    <t>Ingestion</t>
  </si>
  <si>
    <t>Body Weight Lookup Table (From EFH Table 8-1)</t>
  </si>
  <si>
    <t>Mean Body Weight (Kg)</t>
  </si>
  <si>
    <t>Infant1</t>
  </si>
  <si>
    <t>Infant2</t>
  </si>
  <si>
    <t>Child1</t>
  </si>
  <si>
    <t>Child2</t>
  </si>
  <si>
    <t>Youth1</t>
  </si>
  <si>
    <t>Youth2</t>
  </si>
  <si>
    <t>Soil and Dust Ingestion Rates (From EFH Table 5-1)</t>
  </si>
  <si>
    <t>mg/day</t>
  </si>
  <si>
    <t>g/day</t>
  </si>
  <si>
    <t>Solids Adherance on Skin</t>
  </si>
  <si>
    <t>Field Measurement of Dermal Soil Loading Attributable to Various Activities: Implications for Exposure Assessment</t>
  </si>
  <si>
    <t>Adult female soccer players were monitored on two occasions involving 90-min games. All players wore shorts, shin guards, high socks, and short-sleeves. Three of 16 knees were covered by braces or guards. The games were conducted on all-weather fields composed in part of sand and ground tires.</t>
  </si>
  <si>
    <t>Kissel et al 1996</t>
  </si>
  <si>
    <t>Values Reported for soccer games played on tire fields</t>
  </si>
  <si>
    <t xml:space="preserve"> Dermal Solids Loading (mg/cm2)</t>
  </si>
  <si>
    <t>Hands</t>
  </si>
  <si>
    <t>Arms</t>
  </si>
  <si>
    <t>Legs</t>
  </si>
  <si>
    <t>Faces</t>
  </si>
  <si>
    <t>95% CI upper</t>
  </si>
  <si>
    <t>Soccer 2</t>
  </si>
  <si>
    <t>Geo Mean</t>
  </si>
  <si>
    <t>95% CI lower</t>
  </si>
  <si>
    <t>Soccer 3</t>
  </si>
  <si>
    <t>Surface Area Normalized Adherence Factors</t>
  </si>
  <si>
    <t>Selected Values</t>
  </si>
  <si>
    <t>avg</t>
  </si>
  <si>
    <t>SurfaceArea of Exposure</t>
  </si>
  <si>
    <t>Body part percentages were assumed to be 100% of the face, 72.5% of the arms, 40% of the legs (to account for socks and short pants), and 100% of the hands.</t>
  </si>
  <si>
    <t xml:space="preserve">Face surface area is assumed to be ⅓ the area of the head. This is the same assumption Kissel used to calculate adherence factors. </t>
  </si>
  <si>
    <r>
      <t>Surface area of body parts by age (m</t>
    </r>
    <r>
      <rPr>
        <vertAlign val="superscript"/>
        <sz val="11"/>
        <color theme="1"/>
        <rFont val="Calibri"/>
        <family val="2"/>
        <scheme val="minor"/>
      </rPr>
      <t>2</t>
    </r>
    <r>
      <rPr>
        <sz val="11"/>
        <color theme="1"/>
        <rFont val="Calibri"/>
        <family val="2"/>
        <scheme val="minor"/>
      </rPr>
      <t>)</t>
    </r>
  </si>
  <si>
    <t>face</t>
  </si>
  <si>
    <t>Exposed area of body parts (m2)</t>
  </si>
  <si>
    <t xml:space="preserve">Total </t>
  </si>
  <si>
    <r>
      <t>Total (cm</t>
    </r>
    <r>
      <rPr>
        <vertAlign val="superscript"/>
        <sz val="11"/>
        <color theme="1"/>
        <rFont val="Calibri"/>
        <family val="2"/>
        <scheme val="minor"/>
      </rPr>
      <t>2</t>
    </r>
    <r>
      <rPr>
        <sz val="11"/>
        <color theme="1"/>
        <rFont val="Calibri"/>
        <family val="2"/>
        <scheme val="minor"/>
      </rPr>
      <t>)</t>
    </r>
  </si>
  <si>
    <t>Dose Calculations</t>
  </si>
  <si>
    <t>Dose per Exposure Event mg/kg bw-event</t>
  </si>
  <si>
    <t>ADR (mg/kg bw-day)</t>
  </si>
  <si>
    <t>CADD (mg/kg bw-day)</t>
  </si>
  <si>
    <t>These values are currently based on the 10th, 50th, and 95th percentile concentration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</si>
</sst>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
    <numFmt numFmtId="166" formatCode="0E+00"/>
    <numFmt numFmtId="167" formatCode="0.0E+00"/>
    <numFmt numFmtId="168" formatCode="0.00000"/>
    <numFmt numFmtId="169" formatCode="0.000000"/>
    <numFmt numFmtId="170" formatCode="0.0000"/>
    <numFmt numFmtId="171" formatCode="#,##0.0"/>
    <numFmt numFmtId="172" formatCode="0.000E+00"/>
    <numFmt numFmtId="173" formatCode="[$-10409]m/d/yyyy\ h:mm:ss\ AM/PM"/>
  </numFmts>
  <fonts count="89">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6"/>
      <color theme="1"/>
      <name val="Calibri"/>
      <family val="2"/>
      <scheme val="minor"/>
    </font>
    <font>
      <b/>
      <sz val="11"/>
      <color rgb="FF111111"/>
      <name val="Calibri"/>
      <family val="2"/>
      <scheme val="minor"/>
    </font>
    <font>
      <sz val="11"/>
      <color rgb="FF111111"/>
      <name val="Calibri"/>
      <family val="2"/>
      <scheme val="minor"/>
    </font>
    <font>
      <sz val="11"/>
      <color rgb="FF000000"/>
      <name val="Calibri"/>
      <family val="2"/>
      <scheme val="minor"/>
    </font>
    <font>
      <vertAlign val="subscript"/>
      <sz val="11"/>
      <color rgb="FF111111"/>
      <name val="Calibri"/>
      <family val="2"/>
      <scheme val="minor"/>
    </font>
    <font>
      <u/>
      <sz val="11"/>
      <color theme="10"/>
      <name val="Calibri"/>
      <family val="2"/>
      <scheme val="minor"/>
    </font>
    <font>
      <b/>
      <sz val="16"/>
      <name val="Calibri"/>
      <family val="2"/>
      <scheme val="minor"/>
    </font>
    <font>
      <sz val="12"/>
      <color theme="1"/>
      <name val="Times New Roman"/>
      <family val="1"/>
    </font>
    <font>
      <b/>
      <sz val="14"/>
      <color theme="1"/>
      <name val="Calibri"/>
      <family val="2"/>
      <scheme val="minor"/>
    </font>
    <font>
      <b/>
      <sz val="16"/>
      <color theme="0"/>
      <name val="Calibri"/>
      <family val="2"/>
      <scheme val="minor"/>
    </font>
    <font>
      <b/>
      <sz val="11"/>
      <name val="Calibri"/>
      <family val="2"/>
      <scheme val="minor"/>
    </font>
    <font>
      <sz val="11"/>
      <color theme="1"/>
      <name val="Times New Roman"/>
      <family val="1"/>
    </font>
    <font>
      <b/>
      <sz val="12"/>
      <color theme="1"/>
      <name val="Calibri"/>
      <family val="2"/>
      <scheme val="minor"/>
    </font>
    <font>
      <sz val="12"/>
      <color theme="1"/>
      <name val="Calibri"/>
      <family val="2"/>
      <scheme val="minor"/>
    </font>
    <font>
      <sz val="14"/>
      <color theme="1"/>
      <name val="Calibri"/>
      <family val="2"/>
      <scheme val="minor"/>
    </font>
    <font>
      <b/>
      <sz val="11"/>
      <color theme="1"/>
      <name val="Times New Roman"/>
      <family val="1"/>
    </font>
    <font>
      <b/>
      <sz val="10"/>
      <color theme="1"/>
      <name val="Calibri"/>
      <family val="2"/>
      <scheme val="minor"/>
    </font>
    <font>
      <sz val="10"/>
      <color theme="1"/>
      <name val="Calibri"/>
      <family val="2"/>
      <scheme val="minor"/>
    </font>
    <font>
      <sz val="10"/>
      <name val="Calibri"/>
      <family val="2"/>
      <scheme val="minor"/>
    </font>
    <font>
      <sz val="11"/>
      <color theme="1"/>
      <name val="Calibri"/>
      <family val="2"/>
    </font>
    <font>
      <b/>
      <sz val="10"/>
      <color rgb="FF000000"/>
      <name val="Calibri"/>
      <family val="2"/>
      <scheme val="minor"/>
    </font>
    <font>
      <b/>
      <vertAlign val="superscript"/>
      <sz val="10"/>
      <color theme="1"/>
      <name val="Calibri"/>
      <family val="2"/>
      <scheme val="minor"/>
    </font>
    <font>
      <sz val="10"/>
      <color rgb="FF000000"/>
      <name val="Calibri"/>
      <family val="2"/>
      <scheme val="minor"/>
    </font>
    <font>
      <i/>
      <sz val="12"/>
      <color rgb="FF374151"/>
      <name val="Times New Roman"/>
      <family val="1"/>
    </font>
    <font>
      <i/>
      <sz val="12"/>
      <color theme="1"/>
      <name val="Calibri"/>
      <family val="2"/>
      <scheme val="minor"/>
    </font>
    <font>
      <sz val="12"/>
      <color rgb="FF374151"/>
      <name val="Calibri"/>
      <family val="2"/>
      <scheme val="minor"/>
    </font>
    <font>
      <b/>
      <sz val="12"/>
      <name val="Calibri"/>
      <family val="2"/>
      <scheme val="minor"/>
    </font>
    <font>
      <sz val="12"/>
      <name val="Calibri"/>
      <family val="2"/>
      <scheme val="minor"/>
    </font>
    <font>
      <i/>
      <sz val="10"/>
      <color rgb="FF374151"/>
      <name val="KaTeX_Math"/>
    </font>
    <font>
      <sz val="10"/>
      <color rgb="FF374151"/>
      <name val="Times New Roman"/>
      <family val="1"/>
    </font>
    <font>
      <sz val="7.7"/>
      <color rgb="FF374151"/>
      <name val="Times New Roman"/>
      <family val="1"/>
    </font>
    <font>
      <sz val="1"/>
      <color rgb="FF374151"/>
      <name val="Times New Roman"/>
      <family val="1"/>
    </font>
    <font>
      <b/>
      <vertAlign val="superscript"/>
      <sz val="11"/>
      <color theme="1"/>
      <name val="Calibri"/>
      <family val="2"/>
      <scheme val="minor"/>
    </font>
    <font>
      <sz val="16"/>
      <name val="Calibri"/>
      <family val="2"/>
      <scheme val="minor"/>
    </font>
    <font>
      <u/>
      <sz val="11"/>
      <color theme="1"/>
      <name val="Calibri"/>
      <family val="2"/>
      <scheme val="minor"/>
    </font>
    <font>
      <b/>
      <sz val="10"/>
      <color rgb="FF000000"/>
      <name val="Times New Roman"/>
      <family val="1"/>
    </font>
    <font>
      <b/>
      <vertAlign val="superscript"/>
      <sz val="10"/>
      <color rgb="FF000000"/>
      <name val="Times New Roman"/>
      <family val="1"/>
    </font>
    <font>
      <sz val="10"/>
      <color theme="1"/>
      <name val="Times New Roman"/>
      <family val="1"/>
    </font>
    <font>
      <sz val="8"/>
      <color theme="1"/>
      <name val="Calibri"/>
      <family val="2"/>
      <scheme val="minor"/>
    </font>
    <font>
      <b/>
      <sz val="11"/>
      <color rgb="FF000000"/>
      <name val="Calibri"/>
      <family val="2"/>
      <scheme val="minor"/>
    </font>
    <font>
      <sz val="11"/>
      <color rgb="FF000000"/>
      <name val="Calibri"/>
      <family val="2"/>
    </font>
    <font>
      <sz val="12"/>
      <color rgb="FF000000"/>
      <name val="Calibri"/>
      <family val="2"/>
    </font>
    <font>
      <sz val="12"/>
      <color rgb="FF000000"/>
      <name val="Times New Roman"/>
      <family val="1"/>
    </font>
    <font>
      <sz val="10"/>
      <color rgb="FF000000"/>
      <name val="Times New Roman"/>
      <family val="1"/>
    </font>
    <font>
      <sz val="10"/>
      <color theme="1"/>
      <name val="Arial"/>
      <family val="2"/>
    </font>
    <font>
      <b/>
      <sz val="10"/>
      <color theme="1"/>
      <name val="Arial"/>
      <family val="2"/>
    </font>
    <font>
      <b/>
      <sz val="10"/>
      <color theme="1"/>
      <name val="Calibri"/>
      <family val="2"/>
    </font>
    <font>
      <vertAlign val="superscript"/>
      <sz val="11"/>
      <color theme="1"/>
      <name val="Calibri"/>
      <family val="2"/>
      <scheme val="minor"/>
    </font>
    <font>
      <sz val="10"/>
      <color rgb="FF212121"/>
      <name val="Cambria"/>
      <family val="1"/>
    </font>
    <font>
      <i/>
      <sz val="10"/>
      <color rgb="FF212121"/>
      <name val="Cambria"/>
      <family val="1"/>
    </font>
    <font>
      <sz val="8"/>
      <color rgb="FF212121"/>
      <name val="Cambria"/>
      <family val="1"/>
    </font>
    <font>
      <b/>
      <sz val="16"/>
      <color theme="1"/>
      <name val="Times New Roman"/>
      <family val="1"/>
    </font>
    <font>
      <b/>
      <i/>
      <sz val="14"/>
      <color theme="1"/>
      <name val="Times New Roman"/>
      <family val="1"/>
    </font>
    <font>
      <b/>
      <sz val="11"/>
      <name val="Times New Roman"/>
      <family val="1"/>
    </font>
    <font>
      <sz val="11"/>
      <name val="Times New Roman"/>
      <family val="1"/>
    </font>
    <font>
      <sz val="8.5"/>
      <name val="Times New Roman"/>
      <family val="1"/>
    </font>
    <font>
      <vertAlign val="superscript"/>
      <sz val="8.5"/>
      <name val="Times New Roman"/>
      <family val="1"/>
    </font>
    <font>
      <b/>
      <sz val="12"/>
      <color rgb="FF111111"/>
      <name val="Times New Roman"/>
      <family val="1"/>
    </font>
    <font>
      <b/>
      <vertAlign val="superscript"/>
      <sz val="12"/>
      <color rgb="FF111111"/>
      <name val="Times New Roman"/>
      <family val="1"/>
    </font>
    <font>
      <b/>
      <sz val="12"/>
      <name val="Times New Roman"/>
      <family val="1"/>
    </font>
    <font>
      <b/>
      <vertAlign val="superscript"/>
      <sz val="12"/>
      <name val="Times New Roman"/>
      <family val="1"/>
    </font>
    <font>
      <sz val="10"/>
      <name val="Times New Roman"/>
      <family val="1"/>
    </font>
    <font>
      <i/>
      <sz val="10"/>
      <color theme="1"/>
      <name val="Times New Roman"/>
      <family val="1"/>
    </font>
    <font>
      <sz val="10"/>
      <color rgb="FF111111"/>
      <name val="Times New Roman"/>
      <family val="1"/>
    </font>
    <font>
      <sz val="11"/>
      <color rgb="FFC00000"/>
      <name val="Calibri"/>
      <family val="2"/>
      <scheme val="minor"/>
    </font>
    <font>
      <b/>
      <sz val="14"/>
      <name val="Calibri"/>
      <family val="2"/>
      <scheme val="minor"/>
    </font>
    <font>
      <b/>
      <sz val="11"/>
      <color rgb="FF111111"/>
      <name val="Times New Roman"/>
      <family val="1"/>
    </font>
    <font>
      <sz val="11"/>
      <color rgb="FF111111"/>
      <name val="Times New Roman"/>
      <family val="1"/>
    </font>
    <font>
      <sz val="8.5"/>
      <color rgb="FF111111"/>
      <name val="Times New Roman"/>
      <family val="1"/>
    </font>
    <font>
      <vertAlign val="subscript"/>
      <sz val="8.5"/>
      <color rgb="FF111111"/>
      <name val="Times New Roman"/>
      <family val="1"/>
    </font>
    <font>
      <vertAlign val="superscript"/>
      <sz val="8.5"/>
      <color rgb="FF111111"/>
      <name val="Times New Roman"/>
      <family val="1"/>
    </font>
    <font>
      <sz val="9"/>
      <color theme="1"/>
      <name val="Segoe UI"/>
      <family val="2"/>
    </font>
    <font>
      <u/>
      <sz val="11"/>
      <name val="Calibri"/>
      <family val="2"/>
      <scheme val="minor"/>
    </font>
    <font>
      <sz val="8"/>
      <name val="Calibri"/>
      <family val="2"/>
      <scheme val="minor"/>
    </font>
    <font>
      <b/>
      <sz val="10"/>
      <color rgb="FF000000"/>
      <name val="Arial"/>
      <family val="2"/>
    </font>
    <font>
      <b/>
      <sz val="10"/>
      <color rgb="FFA0522D"/>
      <name val="Arial"/>
      <family val="2"/>
    </font>
    <font>
      <b/>
      <sz val="10"/>
      <color rgb="FFCD6633"/>
      <name val="Arial"/>
      <family val="2"/>
    </font>
    <font>
      <sz val="11"/>
      <name val="Calibri"/>
      <family val="2"/>
    </font>
    <font>
      <sz val="10"/>
      <color rgb="FF000000"/>
      <name val="Arial"/>
      <family val="2"/>
    </font>
    <font>
      <b/>
      <sz val="11"/>
      <name val="Calibri"/>
      <family val="2"/>
    </font>
    <font>
      <u/>
      <sz val="10"/>
      <color rgb="FF0000FF"/>
      <name val="Arial"/>
      <family val="2"/>
    </font>
    <font>
      <b/>
      <sz val="10"/>
      <name val="Arial"/>
      <family val="2"/>
    </font>
    <font>
      <sz val="11"/>
      <color rgb="FFFFFFFF"/>
      <name val="Calibri"/>
      <family val="2"/>
      <scheme val="minor"/>
    </font>
  </fonts>
  <fills count="29">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1"/>
        <bgColor indexed="64"/>
      </patternFill>
    </fill>
    <fill>
      <patternFill patternType="solid">
        <fgColor rgb="FFF2F2F2"/>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FFFFFF"/>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rgb="FFD1E7FC"/>
        <bgColor rgb="FFD1E7FC"/>
      </patternFill>
    </fill>
    <fill>
      <patternFill patternType="solid">
        <fgColor rgb="FFEBEAEA"/>
        <bgColor rgb="FFEBEAEA"/>
      </patternFill>
    </fill>
    <fill>
      <patternFill patternType="solid">
        <fgColor rgb="FF7A7A7A"/>
      </patternFill>
    </fill>
    <fill>
      <patternFill patternType="solid">
        <fgColor theme="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thin">
        <color rgb="FF000000"/>
      </left>
      <right style="medium">
        <color rgb="FF000000"/>
      </right>
      <top style="thin">
        <color rgb="FF000000"/>
      </top>
      <bottom style="double">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thin">
        <color rgb="FF000000"/>
      </right>
      <top style="double">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indexed="64"/>
      </right>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s>
  <cellStyleXfs count="4">
    <xf numFmtId="0" fontId="0" fillId="0" borderId="0"/>
    <xf numFmtId="0" fontId="11" fillId="0" borderId="0" applyNumberFormat="0" applyFill="0" applyBorder="0" applyAlignment="0" applyProtection="0"/>
    <xf numFmtId="0" fontId="47" fillId="0" borderId="0"/>
    <xf numFmtId="0" fontId="9" fillId="0" borderId="0"/>
  </cellStyleXfs>
  <cellXfs count="850">
    <xf numFmtId="0" fontId="0" fillId="0" borderId="0" xfId="0"/>
    <xf numFmtId="0" fontId="17" fillId="9" borderId="0" xfId="0" applyFont="1" applyFill="1" applyProtection="1"/>
    <xf numFmtId="0" fontId="4" fillId="0" borderId="0" xfId="0" applyFont="1" applyAlignment="1" applyProtection="1">
      <alignment horizontal="left" vertical="top"/>
    </xf>
    <xf numFmtId="0" fontId="2" fillId="0" borderId="0" xfId="0" applyFont="1" applyAlignment="1" applyProtection="1">
      <alignment horizontal="left"/>
    </xf>
    <xf numFmtId="0" fontId="0" fillId="0" borderId="0" xfId="0" applyAlignment="1" applyProtection="1">
      <alignment horizontal="left"/>
    </xf>
    <xf numFmtId="0" fontId="1" fillId="2" borderId="1" xfId="0" applyFont="1" applyFill="1" applyBorder="1" applyAlignment="1" applyProtection="1">
      <alignment horizontal="left" vertical="top"/>
    </xf>
    <xf numFmtId="0" fontId="0" fillId="0" borderId="1" xfId="0" applyBorder="1" applyAlignment="1" applyProtection="1">
      <alignment vertical="top" wrapText="1"/>
    </xf>
    <xf numFmtId="0" fontId="0" fillId="0" borderId="0" xfId="0" applyAlignment="1" applyProtection="1">
      <alignment vertical="top"/>
    </xf>
    <xf numFmtId="49" fontId="0" fillId="0" borderId="0" xfId="0" applyNumberFormat="1" applyProtection="1"/>
    <xf numFmtId="0" fontId="0" fillId="0" borderId="0" xfId="0" applyAlignment="1" applyProtection="1">
      <alignment horizontal="left" vertical="top"/>
    </xf>
    <xf numFmtId="0" fontId="0" fillId="0" borderId="0" xfId="0" applyProtection="1"/>
    <xf numFmtId="0" fontId="3" fillId="0" borderId="0" xfId="0" applyFont="1" applyAlignment="1" applyProtection="1">
      <alignment wrapText="1"/>
    </xf>
    <xf numFmtId="0" fontId="0" fillId="0" borderId="0" xfId="0" applyAlignment="1" applyProtection="1">
      <alignment horizontal="center"/>
    </xf>
    <xf numFmtId="0" fontId="13" fillId="0" borderId="0" xfId="0" applyFont="1" applyProtection="1"/>
    <xf numFmtId="0" fontId="0" fillId="0" borderId="1" xfId="0" applyBorder="1" applyAlignment="1" applyProtection="1">
      <alignment horizontal="center"/>
    </xf>
    <xf numFmtId="0" fontId="6" fillId="0" borderId="0" xfId="0" applyFont="1" applyAlignment="1" applyProtection="1">
      <alignment horizontal="left" vertical="top"/>
    </xf>
    <xf numFmtId="0" fontId="18" fillId="0" borderId="1" xfId="0" applyFont="1" applyBorder="1" applyAlignment="1" applyProtection="1">
      <alignment horizontal="center" vertical="center"/>
    </xf>
    <xf numFmtId="0" fontId="18" fillId="0" borderId="12" xfId="0" applyFont="1" applyBorder="1" applyAlignment="1" applyProtection="1">
      <alignment horizontal="center" vertical="top"/>
    </xf>
    <xf numFmtId="0" fontId="3" fillId="0" borderId="12" xfId="0" applyFont="1" applyBorder="1" applyAlignment="1" applyProtection="1">
      <alignment horizontal="left" vertical="top"/>
    </xf>
    <xf numFmtId="0" fontId="3" fillId="0" borderId="0" xfId="0" applyFont="1" applyAlignment="1" applyProtection="1">
      <alignment horizontal="left" vertical="top"/>
    </xf>
    <xf numFmtId="0" fontId="0" fillId="0" borderId="5" xfId="0" applyBorder="1" applyAlignment="1" applyProtection="1">
      <alignment horizontal="left" vertical="top"/>
    </xf>
    <xf numFmtId="11" fontId="0" fillId="0" borderId="5" xfId="0" applyNumberFormat="1" applyBorder="1" applyAlignment="1" applyProtection="1">
      <alignment horizontal="center" vertical="top"/>
    </xf>
    <xf numFmtId="11" fontId="0" fillId="0" borderId="0" xfId="0" applyNumberFormat="1" applyAlignment="1" applyProtection="1">
      <alignment horizontal="left" vertical="top"/>
    </xf>
    <xf numFmtId="0" fontId="7" fillId="7" borderId="1" xfId="0" applyFont="1" applyFill="1" applyBorder="1" applyAlignment="1" applyProtection="1">
      <alignment horizontal="left" vertical="top" wrapText="1"/>
    </xf>
    <xf numFmtId="0" fontId="8" fillId="0" borderId="1" xfId="0" applyFont="1" applyBorder="1" applyAlignment="1" applyProtection="1">
      <alignment horizontal="left" vertical="top" wrapText="1"/>
    </xf>
    <xf numFmtId="0" fontId="8" fillId="0" borderId="1" xfId="0" applyFont="1" applyBorder="1" applyAlignment="1" applyProtection="1">
      <alignment horizontal="center" vertical="top" wrapText="1"/>
    </xf>
    <xf numFmtId="0" fontId="8" fillId="8" borderId="1" xfId="0" applyFont="1" applyFill="1" applyBorder="1" applyAlignment="1" applyProtection="1">
      <alignment horizontal="center" vertical="top" wrapText="1"/>
    </xf>
    <xf numFmtId="0" fontId="0" fillId="16" borderId="5" xfId="0" applyFill="1" applyBorder="1" applyAlignment="1" applyProtection="1">
      <alignment horizontal="left" vertical="top"/>
    </xf>
    <xf numFmtId="11" fontId="0" fillId="16" borderId="5" xfId="0" applyNumberFormat="1" applyFill="1" applyBorder="1" applyAlignment="1" applyProtection="1">
      <alignment horizontal="center" vertical="top"/>
    </xf>
    <xf numFmtId="11" fontId="0" fillId="16" borderId="0" xfId="0" applyNumberFormat="1" applyFill="1" applyAlignment="1" applyProtection="1">
      <alignment horizontal="left" vertical="top"/>
    </xf>
    <xf numFmtId="11" fontId="8" fillId="0" borderId="1" xfId="0" applyNumberFormat="1" applyFont="1" applyBorder="1" applyAlignment="1" applyProtection="1">
      <alignment horizontal="center" vertical="top" wrapText="1"/>
    </xf>
    <xf numFmtId="11" fontId="0" fillId="8" borderId="1" xfId="0" applyNumberFormat="1" applyFill="1" applyBorder="1" applyAlignment="1" applyProtection="1">
      <alignment horizontal="center"/>
    </xf>
    <xf numFmtId="0" fontId="8" fillId="8" borderId="0" xfId="0" applyFont="1" applyFill="1" applyAlignment="1" applyProtection="1">
      <alignment horizontal="center"/>
    </xf>
    <xf numFmtId="11" fontId="9" fillId="8" borderId="1" xfId="0" applyNumberFormat="1" applyFont="1" applyFill="1" applyBorder="1" applyAlignment="1" applyProtection="1">
      <alignment horizontal="center"/>
    </xf>
    <xf numFmtId="0" fontId="9" fillId="8" borderId="1" xfId="0" applyFont="1" applyFill="1" applyBorder="1" applyAlignment="1" applyProtection="1">
      <alignment horizontal="center"/>
    </xf>
    <xf numFmtId="0" fontId="3" fillId="0" borderId="0" xfId="0" applyFont="1" applyAlignment="1" applyProtection="1">
      <alignment horizontal="right" vertical="top"/>
    </xf>
    <xf numFmtId="0" fontId="8" fillId="0" borderId="0" xfId="0" applyFont="1" applyAlignment="1" applyProtection="1">
      <alignment horizontal="left" vertical="top"/>
    </xf>
    <xf numFmtId="0" fontId="0" fillId="0" borderId="0" xfId="0" applyAlignment="1" applyProtection="1">
      <alignment horizontal="right" vertical="top"/>
    </xf>
    <xf numFmtId="0" fontId="0" fillId="0" borderId="0" xfId="0" applyAlignment="1" applyProtection="1">
      <alignment horizontal="center" vertical="top"/>
    </xf>
    <xf numFmtId="164" fontId="0" fillId="0" borderId="0" xfId="0" applyNumberFormat="1" applyAlignment="1" applyProtection="1">
      <alignment horizontal="center" vertical="top"/>
    </xf>
    <xf numFmtId="0" fontId="8" fillId="0" borderId="0" xfId="0" applyFont="1" applyAlignment="1" applyProtection="1">
      <alignment horizontal="center" vertical="top" wrapText="1"/>
    </xf>
    <xf numFmtId="0" fontId="0" fillId="5" borderId="5" xfId="0" applyFill="1" applyBorder="1" applyAlignment="1" applyProtection="1">
      <alignment horizontal="left" vertical="top"/>
    </xf>
    <xf numFmtId="11" fontId="0" fillId="5" borderId="5" xfId="0" applyNumberFormat="1" applyFill="1" applyBorder="1" applyAlignment="1" applyProtection="1">
      <alignment horizontal="center" vertical="top"/>
    </xf>
    <xf numFmtId="11" fontId="0" fillId="5" borderId="0" xfId="0" applyNumberFormat="1" applyFill="1" applyAlignment="1" applyProtection="1">
      <alignment horizontal="left" vertical="top"/>
    </xf>
    <xf numFmtId="0" fontId="0" fillId="5" borderId="0" xfId="0" applyFill="1" applyAlignment="1" applyProtection="1">
      <alignment horizontal="center" vertical="top"/>
    </xf>
    <xf numFmtId="0" fontId="0" fillId="0" borderId="20" xfId="0" applyBorder="1" applyProtection="1"/>
    <xf numFmtId="0" fontId="0" fillId="0" borderId="25" xfId="0" applyBorder="1" applyProtection="1"/>
    <xf numFmtId="0" fontId="0" fillId="0" borderId="21" xfId="0" applyBorder="1" applyProtection="1"/>
    <xf numFmtId="0" fontId="11" fillId="0" borderId="15" xfId="1" applyBorder="1" applyProtection="1"/>
    <xf numFmtId="0" fontId="0" fillId="0" borderId="16" xfId="0" applyBorder="1" applyProtection="1"/>
    <xf numFmtId="0" fontId="0" fillId="0" borderId="15" xfId="0" applyBorder="1" applyProtection="1"/>
    <xf numFmtId="0" fontId="0" fillId="0" borderId="0" xfId="0" applyAlignment="1" applyProtection="1">
      <alignment horizontal="right"/>
    </xf>
    <xf numFmtId="0" fontId="0" fillId="0" borderId="15" xfId="0" applyBorder="1" applyAlignment="1" applyProtection="1">
      <alignment horizontal="left" vertical="top"/>
    </xf>
    <xf numFmtId="0" fontId="0" fillId="0" borderId="0" xfId="0" applyAlignment="1" applyProtection="1">
      <alignment wrapText="1"/>
    </xf>
    <xf numFmtId="0" fontId="0" fillId="0" borderId="16" xfId="0" applyBorder="1" applyAlignment="1" applyProtection="1">
      <alignment vertical="top"/>
    </xf>
    <xf numFmtId="0" fontId="0" fillId="0" borderId="16" xfId="0" applyBorder="1" applyAlignment="1" applyProtection="1">
      <alignment horizontal="left" vertical="top"/>
    </xf>
    <xf numFmtId="0" fontId="3" fillId="0" borderId="15" xfId="0" applyFont="1" applyBorder="1" applyProtection="1"/>
    <xf numFmtId="0" fontId="0" fillId="0" borderId="0" xfId="0" applyAlignment="1" applyProtection="1">
      <alignment horizontal="center" wrapText="1"/>
    </xf>
    <xf numFmtId="0" fontId="3" fillId="0" borderId="12" xfId="0" applyFont="1" applyBorder="1" applyAlignment="1" applyProtection="1">
      <alignment horizontal="center" wrapText="1"/>
    </xf>
    <xf numFmtId="0" fontId="3" fillId="0" borderId="26" xfId="0" applyFont="1" applyBorder="1" applyAlignment="1" applyProtection="1">
      <alignment horizontal="center" wrapText="1"/>
    </xf>
    <xf numFmtId="0" fontId="51" fillId="0" borderId="38" xfId="0" applyFont="1" applyBorder="1" applyAlignment="1" applyProtection="1">
      <alignment horizontal="center"/>
    </xf>
    <xf numFmtId="164" fontId="51" fillId="0" borderId="3" xfId="0" applyNumberFormat="1" applyFont="1" applyBorder="1" applyAlignment="1" applyProtection="1">
      <alignment horizontal="center"/>
    </xf>
    <xf numFmtId="164" fontId="52" fillId="0" borderId="3" xfId="0" applyNumberFormat="1" applyFont="1" applyBorder="1" applyAlignment="1" applyProtection="1">
      <alignment horizontal="center"/>
    </xf>
    <xf numFmtId="0" fontId="0" fillId="0" borderId="16" xfId="0" applyBorder="1" applyAlignment="1" applyProtection="1">
      <alignment horizontal="center"/>
    </xf>
    <xf numFmtId="49" fontId="19" fillId="0" borderId="0" xfId="0" applyNumberFormat="1" applyFont="1" applyAlignment="1" applyProtection="1">
      <alignment horizontal="right" vertical="top"/>
    </xf>
    <xf numFmtId="0" fontId="3" fillId="0" borderId="0" xfId="0" applyFont="1" applyAlignment="1" applyProtection="1">
      <alignment horizontal="center" vertical="top"/>
    </xf>
    <xf numFmtId="0" fontId="3" fillId="0" borderId="16" xfId="0" applyFont="1" applyBorder="1" applyAlignment="1" applyProtection="1">
      <alignment horizontal="center"/>
    </xf>
    <xf numFmtId="0" fontId="50" fillId="6" borderId="39" xfId="0" applyFont="1" applyFill="1" applyBorder="1" applyProtection="1"/>
    <xf numFmtId="164" fontId="50" fillId="6" borderId="5" xfId="0" applyNumberFormat="1" applyFont="1" applyFill="1" applyBorder="1" applyAlignment="1" applyProtection="1">
      <alignment horizontal="center"/>
    </xf>
    <xf numFmtId="1" fontId="50" fillId="0" borderId="5" xfId="0" applyNumberFormat="1" applyFont="1" applyBorder="1" applyAlignment="1" applyProtection="1">
      <alignment horizontal="center"/>
    </xf>
    <xf numFmtId="11" fontId="0" fillId="0" borderId="0" xfId="0" applyNumberFormat="1" applyAlignment="1" applyProtection="1">
      <alignment horizontal="center"/>
    </xf>
    <xf numFmtId="11" fontId="0" fillId="0" borderId="16" xfId="0" applyNumberFormat="1" applyBorder="1" applyAlignment="1" applyProtection="1">
      <alignment horizontal="center"/>
    </xf>
    <xf numFmtId="11" fontId="0" fillId="6" borderId="0" xfId="0" applyNumberFormat="1" applyFill="1" applyAlignment="1" applyProtection="1">
      <alignment horizontal="center" vertical="top"/>
    </xf>
    <xf numFmtId="2" fontId="0" fillId="0" borderId="0" xfId="0" applyNumberFormat="1" applyAlignment="1" applyProtection="1">
      <alignment horizontal="center" vertical="top"/>
    </xf>
    <xf numFmtId="2" fontId="0" fillId="0" borderId="16" xfId="0" applyNumberFormat="1" applyBorder="1" applyAlignment="1" applyProtection="1">
      <alignment horizontal="center"/>
    </xf>
    <xf numFmtId="0" fontId="0" fillId="0" borderId="15" xfId="0" applyBorder="1" applyAlignment="1" applyProtection="1">
      <alignment vertical="top"/>
    </xf>
    <xf numFmtId="0" fontId="46" fillId="8" borderId="0" xfId="0" applyFont="1" applyFill="1" applyProtection="1"/>
    <xf numFmtId="0" fontId="50" fillId="16" borderId="39" xfId="0" applyFont="1" applyFill="1" applyBorder="1" applyProtection="1"/>
    <xf numFmtId="164" fontId="50" fillId="16" borderId="5" xfId="0" applyNumberFormat="1" applyFont="1" applyFill="1" applyBorder="1" applyAlignment="1" applyProtection="1">
      <alignment horizontal="center"/>
    </xf>
    <xf numFmtId="1" fontId="50" fillId="16" borderId="5" xfId="0" applyNumberFormat="1" applyFont="1" applyFill="1" applyBorder="1" applyAlignment="1" applyProtection="1">
      <alignment horizontal="center"/>
    </xf>
    <xf numFmtId="11" fontId="0" fillId="16" borderId="0" xfId="0" applyNumberFormat="1" applyFill="1" applyAlignment="1" applyProtection="1">
      <alignment horizontal="center"/>
    </xf>
    <xf numFmtId="11" fontId="0" fillId="16" borderId="16" xfId="0" applyNumberFormat="1" applyFill="1" applyBorder="1" applyAlignment="1" applyProtection="1">
      <alignment horizontal="center"/>
    </xf>
    <xf numFmtId="11" fontId="0" fillId="16" borderId="0" xfId="0" applyNumberFormat="1" applyFill="1" applyAlignment="1" applyProtection="1">
      <alignment horizontal="center" vertical="top"/>
    </xf>
    <xf numFmtId="2" fontId="0" fillId="16" borderId="0" xfId="0" applyNumberFormat="1" applyFill="1" applyAlignment="1" applyProtection="1">
      <alignment horizontal="center" vertical="top"/>
    </xf>
    <xf numFmtId="2" fontId="0" fillId="16" borderId="0" xfId="0" applyNumberFormat="1" applyFill="1" applyAlignment="1" applyProtection="1">
      <alignment horizontal="center"/>
    </xf>
    <xf numFmtId="0" fontId="3" fillId="0" borderId="0" xfId="0" applyFont="1" applyAlignment="1" applyProtection="1">
      <alignment horizontal="center" wrapText="1"/>
    </xf>
    <xf numFmtId="0" fontId="3" fillId="0" borderId="11" xfId="0" applyFont="1" applyBorder="1" applyAlignment="1" applyProtection="1">
      <alignment horizontal="center" vertical="top"/>
    </xf>
    <xf numFmtId="164" fontId="50" fillId="6" borderId="5" xfId="0" applyNumberFormat="1" applyFont="1" applyFill="1" applyBorder="1" applyProtection="1"/>
    <xf numFmtId="1" fontId="50" fillId="6" borderId="5" xfId="0" applyNumberFormat="1" applyFont="1" applyFill="1" applyBorder="1" applyProtection="1"/>
    <xf numFmtId="0" fontId="50" fillId="6" borderId="40" xfId="0" applyFont="1" applyFill="1" applyBorder="1" applyProtection="1"/>
    <xf numFmtId="164" fontId="50" fillId="6" borderId="41" xfId="0" applyNumberFormat="1" applyFont="1" applyFill="1" applyBorder="1" applyAlignment="1" applyProtection="1">
      <alignment horizontal="center"/>
    </xf>
    <xf numFmtId="1" fontId="50" fillId="0" borderId="41" xfId="0" applyNumberFormat="1" applyFont="1" applyBorder="1" applyAlignment="1" applyProtection="1">
      <alignment horizontal="center"/>
    </xf>
    <xf numFmtId="11" fontId="0" fillId="0" borderId="18" xfId="0" applyNumberFormat="1" applyBorder="1" applyAlignment="1" applyProtection="1">
      <alignment horizontal="center"/>
    </xf>
    <xf numFmtId="11" fontId="0" fillId="0" borderId="19" xfId="0" applyNumberFormat="1" applyBorder="1" applyAlignment="1" applyProtection="1">
      <alignment horizontal="center"/>
    </xf>
    <xf numFmtId="164" fontId="50" fillId="6" borderId="41" xfId="0" applyNumberFormat="1" applyFont="1" applyFill="1" applyBorder="1" applyProtection="1"/>
    <xf numFmtId="11" fontId="0" fillId="0" borderId="18" xfId="0" applyNumberFormat="1" applyBorder="1" applyAlignment="1" applyProtection="1">
      <alignment horizontal="left" vertical="top"/>
    </xf>
    <xf numFmtId="0" fontId="0" fillId="0" borderId="18" xfId="0" applyBorder="1" applyProtection="1"/>
    <xf numFmtId="0" fontId="0" fillId="0" borderId="19" xfId="0" applyBorder="1" applyProtection="1"/>
    <xf numFmtId="0" fontId="72" fillId="7" borderId="44" xfId="0" applyFont="1" applyFill="1" applyBorder="1" applyAlignment="1" applyProtection="1">
      <alignment horizontal="center" vertical="center" wrapText="1"/>
    </xf>
    <xf numFmtId="0" fontId="59" fillId="7" borderId="45" xfId="0" applyFont="1" applyFill="1" applyBorder="1" applyAlignment="1" applyProtection="1">
      <alignment horizontal="center" vertical="center" wrapText="1"/>
    </xf>
    <xf numFmtId="0" fontId="72" fillId="7" borderId="45" xfId="0" applyFont="1" applyFill="1" applyBorder="1" applyAlignment="1" applyProtection="1">
      <alignment horizontal="center" vertical="center" wrapText="1"/>
    </xf>
    <xf numFmtId="0" fontId="72" fillId="7" borderId="46" xfId="0" applyFont="1" applyFill="1" applyBorder="1" applyAlignment="1" applyProtection="1">
      <alignment horizontal="center" vertical="center" wrapText="1"/>
    </xf>
    <xf numFmtId="0" fontId="73" fillId="0" borderId="47" xfId="0" applyFont="1" applyBorder="1" applyAlignment="1" applyProtection="1">
      <alignment horizontal="center" vertical="center" wrapText="1"/>
    </xf>
    <xf numFmtId="0" fontId="60" fillId="0" borderId="48" xfId="0" applyFont="1" applyBorder="1" applyAlignment="1" applyProtection="1">
      <alignment horizontal="center" vertical="center" wrapText="1"/>
    </xf>
    <xf numFmtId="0" fontId="73" fillId="0" borderId="48" xfId="0" applyFont="1" applyBorder="1" applyAlignment="1" applyProtection="1">
      <alignment horizontal="center" vertical="center" wrapText="1"/>
    </xf>
    <xf numFmtId="0" fontId="73" fillId="0" borderId="49" xfId="0" applyFont="1" applyBorder="1" applyAlignment="1" applyProtection="1">
      <alignment horizontal="center" vertical="center" wrapText="1"/>
    </xf>
    <xf numFmtId="0" fontId="73" fillId="0" borderId="50" xfId="0" applyFont="1" applyBorder="1" applyAlignment="1" applyProtection="1">
      <alignment horizontal="center" vertical="center" wrapText="1"/>
    </xf>
    <xf numFmtId="0" fontId="60" fillId="0" borderId="51" xfId="0" applyFont="1" applyBorder="1" applyAlignment="1" applyProtection="1">
      <alignment horizontal="center" vertical="center" wrapText="1"/>
    </xf>
    <xf numFmtId="0" fontId="73" fillId="0" borderId="51" xfId="0" applyFont="1" applyBorder="1" applyAlignment="1" applyProtection="1">
      <alignment horizontal="center" vertical="center" wrapText="1"/>
    </xf>
    <xf numFmtId="0" fontId="73" fillId="0" borderId="52" xfId="0" applyFont="1" applyBorder="1" applyAlignment="1" applyProtection="1">
      <alignment horizontal="center" vertical="center" wrapText="1"/>
    </xf>
    <xf numFmtId="0" fontId="60" fillId="0" borderId="52" xfId="0" applyFont="1" applyBorder="1" applyAlignment="1" applyProtection="1">
      <alignment horizontal="center" vertical="center" wrapText="1"/>
    </xf>
    <xf numFmtId="0" fontId="60" fillId="0" borderId="53" xfId="0" applyFont="1" applyBorder="1" applyAlignment="1" applyProtection="1">
      <alignment horizontal="center" vertical="center" wrapText="1"/>
    </xf>
    <xf numFmtId="0" fontId="60" fillId="0" borderId="54" xfId="0" applyFont="1" applyBorder="1" applyAlignment="1" applyProtection="1">
      <alignment horizontal="center" vertical="center" wrapText="1"/>
    </xf>
    <xf numFmtId="0" fontId="73" fillId="0" borderId="54" xfId="0" applyFont="1" applyBorder="1" applyAlignment="1" applyProtection="1">
      <alignment horizontal="center" vertical="center" wrapText="1"/>
    </xf>
    <xf numFmtId="0" fontId="73" fillId="0" borderId="55" xfId="0" applyFont="1" applyBorder="1" applyAlignment="1" applyProtection="1">
      <alignment horizontal="center" vertical="center" wrapText="1"/>
    </xf>
    <xf numFmtId="0" fontId="65" fillId="0" borderId="20" xfId="0" applyFont="1" applyBorder="1" applyAlignment="1" applyProtection="1">
      <alignment vertical="center" wrapText="1"/>
    </xf>
    <xf numFmtId="0" fontId="63" fillId="0" borderId="21" xfId="0" applyFont="1" applyBorder="1" applyAlignment="1" applyProtection="1">
      <alignment horizontal="center" vertical="center" wrapText="1"/>
    </xf>
    <xf numFmtId="0" fontId="63" fillId="0" borderId="25" xfId="0" applyFont="1" applyBorder="1" applyAlignment="1" applyProtection="1">
      <alignment horizontal="center" vertical="center" wrapText="1"/>
    </xf>
    <xf numFmtId="0" fontId="63" fillId="0" borderId="20" xfId="0" applyFont="1" applyBorder="1" applyAlignment="1" applyProtection="1">
      <alignment vertical="center" wrapText="1"/>
    </xf>
    <xf numFmtId="0" fontId="43" fillId="0" borderId="1" xfId="0" applyFont="1" applyBorder="1" applyAlignment="1" applyProtection="1">
      <alignment horizontal="center" vertical="center"/>
    </xf>
    <xf numFmtId="0" fontId="49" fillId="0" borderId="1" xfId="0" applyFont="1" applyBorder="1" applyAlignment="1" applyProtection="1">
      <alignment horizontal="center" vertical="center" wrapText="1"/>
    </xf>
    <xf numFmtId="0" fontId="69" fillId="0" borderId="1" xfId="0" applyFont="1" applyBorder="1" applyAlignment="1" applyProtection="1">
      <alignment horizontal="center" vertical="center" wrapText="1"/>
    </xf>
    <xf numFmtId="0" fontId="5" fillId="0" borderId="0" xfId="0" applyFont="1" applyProtection="1"/>
    <xf numFmtId="0" fontId="16" fillId="0" borderId="0" xfId="0" applyFont="1" applyAlignment="1" applyProtection="1">
      <alignment horizontal="left" vertical="center" wrapText="1"/>
    </xf>
    <xf numFmtId="0" fontId="5" fillId="0" borderId="0" xfId="0" applyFont="1" applyAlignment="1" applyProtection="1">
      <alignment horizontal="left" wrapText="1"/>
    </xf>
    <xf numFmtId="0" fontId="5" fillId="0" borderId="0" xfId="0" applyFont="1" applyAlignment="1" applyProtection="1">
      <alignment horizontal="left" vertical="center" wrapText="1"/>
    </xf>
    <xf numFmtId="0" fontId="70" fillId="0" borderId="0" xfId="0" applyFont="1" applyAlignment="1" applyProtection="1">
      <alignment horizontal="left" vertical="center" wrapText="1"/>
    </xf>
    <xf numFmtId="0" fontId="11" fillId="0" borderId="0" xfId="1" applyBorder="1" applyAlignment="1" applyProtection="1">
      <alignment horizontal="left" vertical="center" wrapText="1"/>
    </xf>
    <xf numFmtId="0" fontId="9" fillId="0" borderId="0" xfId="0" applyFont="1" applyAlignment="1" applyProtection="1">
      <alignment horizontal="left" vertical="center" wrapText="1"/>
    </xf>
    <xf numFmtId="0" fontId="78" fillId="0" borderId="0" xfId="1" applyFont="1" applyBorder="1" applyAlignment="1" applyProtection="1">
      <alignment horizontal="left" vertical="center" wrapText="1"/>
    </xf>
    <xf numFmtId="0" fontId="5" fillId="0" borderId="0" xfId="0" applyFont="1" applyAlignment="1" applyProtection="1">
      <alignment horizontal="left"/>
    </xf>
    <xf numFmtId="0" fontId="70" fillId="0" borderId="0" xfId="0" applyFont="1" applyAlignment="1" applyProtection="1">
      <alignment horizontal="left" wrapText="1"/>
    </xf>
    <xf numFmtId="0" fontId="5" fillId="0" borderId="0" xfId="0" applyFont="1" applyAlignment="1" applyProtection="1">
      <alignment horizontal="left" vertical="center"/>
    </xf>
    <xf numFmtId="0" fontId="70" fillId="0" borderId="0" xfId="0" applyFont="1" applyAlignment="1" applyProtection="1">
      <alignment horizontal="left" vertical="center"/>
    </xf>
    <xf numFmtId="0" fontId="11" fillId="0" borderId="0" xfId="1" applyProtection="1"/>
    <xf numFmtId="0" fontId="3" fillId="0" borderId="0" xfId="0" applyFont="1" applyAlignment="1" applyProtection="1">
      <alignment horizontal="left" vertical="center" wrapText="1"/>
    </xf>
    <xf numFmtId="0" fontId="11" fillId="0" borderId="0" xfId="1" applyAlignment="1" applyProtection="1">
      <alignment horizontal="center" wrapText="1"/>
    </xf>
    <xf numFmtId="0" fontId="0" fillId="0" borderId="0" xfId="0" applyAlignment="1" applyProtection="1">
      <alignment horizontal="left" wrapText="1"/>
    </xf>
    <xf numFmtId="3" fontId="0" fillId="0" borderId="0" xfId="0" applyNumberFormat="1" applyAlignment="1" applyProtection="1">
      <alignment horizontal="center"/>
    </xf>
    <xf numFmtId="171" fontId="0" fillId="0" borderId="0" xfId="0" applyNumberFormat="1" applyAlignment="1" applyProtection="1">
      <alignment horizontal="center"/>
    </xf>
    <xf numFmtId="0" fontId="5" fillId="0" borderId="0" xfId="0" applyFont="1" applyAlignment="1" applyProtection="1">
      <alignment horizontal="center" vertical="top" wrapText="1"/>
    </xf>
    <xf numFmtId="0" fontId="0" fillId="24" borderId="0" xfId="0" applyFill="1" applyAlignment="1" applyProtection="1">
      <alignment horizontal="center" wrapText="1"/>
    </xf>
    <xf numFmtId="0" fontId="0" fillId="24" borderId="0" xfId="0" applyFill="1" applyAlignment="1" applyProtection="1">
      <alignment horizontal="center"/>
    </xf>
    <xf numFmtId="0" fontId="0" fillId="24" borderId="0" xfId="0" applyFill="1" applyAlignment="1" applyProtection="1">
      <alignment horizontal="left"/>
    </xf>
    <xf numFmtId="0" fontId="0" fillId="21" borderId="0" xfId="0" applyFill="1" applyAlignment="1" applyProtection="1">
      <alignment horizontal="center" wrapText="1"/>
    </xf>
    <xf numFmtId="0" fontId="0" fillId="21" borderId="0" xfId="0" applyFill="1" applyAlignment="1" applyProtection="1">
      <alignment horizontal="center"/>
    </xf>
    <xf numFmtId="0" fontId="0" fillId="21" borderId="0" xfId="0" applyFill="1" applyAlignment="1" applyProtection="1">
      <alignment horizontal="left"/>
    </xf>
    <xf numFmtId="0" fontId="80" fillId="0" borderId="0" xfId="3" applyFont="1" applyAlignment="1" applyProtection="1">
      <alignment vertical="top" wrapText="1" readingOrder="1"/>
    </xf>
    <xf numFmtId="0" fontId="83" fillId="0" borderId="0" xfId="3" applyFont="1" applyAlignment="1" applyProtection="1">
      <alignment wrapText="1"/>
    </xf>
    <xf numFmtId="0" fontId="81" fillId="0" borderId="0" xfId="3" applyFont="1" applyAlignment="1" applyProtection="1">
      <alignment vertical="top" wrapText="1" readingOrder="1"/>
    </xf>
    <xf numFmtId="0" fontId="80" fillId="25" borderId="80" xfId="3" applyFont="1" applyFill="1" applyBorder="1" applyAlignment="1" applyProtection="1">
      <alignment vertical="top" wrapText="1" readingOrder="1"/>
    </xf>
    <xf numFmtId="0" fontId="83" fillId="0" borderId="81" xfId="3" applyFont="1" applyBorder="1" applyAlignment="1" applyProtection="1">
      <alignment vertical="top" wrapText="1"/>
    </xf>
    <xf numFmtId="0" fontId="83" fillId="0" borderId="82" xfId="3" applyFont="1" applyBorder="1" applyAlignment="1" applyProtection="1">
      <alignment vertical="top" wrapText="1"/>
    </xf>
    <xf numFmtId="0" fontId="80" fillId="0" borderId="83" xfId="3" applyFont="1" applyBorder="1" applyAlignment="1" applyProtection="1">
      <alignment horizontal="right" vertical="top" wrapText="1" readingOrder="1"/>
    </xf>
    <xf numFmtId="0" fontId="84" fillId="0" borderId="82" xfId="3" applyFont="1" applyBorder="1" applyAlignment="1" applyProtection="1">
      <alignment vertical="top" wrapText="1" readingOrder="1"/>
    </xf>
    <xf numFmtId="0" fontId="80" fillId="26" borderId="83" xfId="3" applyFont="1" applyFill="1" applyBorder="1" applyAlignment="1" applyProtection="1">
      <alignment horizontal="right" vertical="top" wrapText="1" readingOrder="1"/>
    </xf>
    <xf numFmtId="0" fontId="84" fillId="26" borderId="82" xfId="3" applyFont="1" applyFill="1" applyBorder="1" applyAlignment="1" applyProtection="1">
      <alignment vertical="top" wrapText="1" readingOrder="1"/>
    </xf>
    <xf numFmtId="0" fontId="80" fillId="25" borderId="80" xfId="3" applyFont="1" applyFill="1" applyBorder="1" applyAlignment="1" applyProtection="1">
      <alignment horizontal="center" vertical="top" wrapText="1" readingOrder="1"/>
    </xf>
    <xf numFmtId="0" fontId="85" fillId="0" borderId="0" xfId="3" applyFont="1" applyAlignment="1" applyProtection="1">
      <alignment wrapText="1"/>
    </xf>
    <xf numFmtId="0" fontId="86" fillId="0" borderId="80" xfId="3" applyFont="1" applyBorder="1" applyAlignment="1" applyProtection="1">
      <alignment vertical="top" wrapText="1" readingOrder="1"/>
    </xf>
    <xf numFmtId="0" fontId="84" fillId="0" borderId="83" xfId="3" applyFont="1" applyBorder="1" applyAlignment="1" applyProtection="1">
      <alignment vertical="top" wrapText="1" readingOrder="1"/>
    </xf>
    <xf numFmtId="0" fontId="84" fillId="0" borderId="80" xfId="3" applyFont="1" applyBorder="1" applyAlignment="1" applyProtection="1">
      <alignment vertical="top" wrapText="1" readingOrder="1"/>
    </xf>
    <xf numFmtId="167" fontId="0" fillId="0" borderId="0" xfId="0" applyNumberFormat="1" applyAlignment="1" applyProtection="1">
      <alignment horizontal="center"/>
    </xf>
    <xf numFmtId="0" fontId="80" fillId="0" borderId="83" xfId="3" applyFont="1" applyBorder="1" applyAlignment="1" applyProtection="1">
      <alignment vertical="center" wrapText="1" readingOrder="1"/>
    </xf>
    <xf numFmtId="0" fontId="84" fillId="0" borderId="82" xfId="3" applyFont="1" applyBorder="1" applyAlignment="1" applyProtection="1">
      <alignment horizontal="left" vertical="top" wrapText="1" readingOrder="1"/>
    </xf>
    <xf numFmtId="0" fontId="84" fillId="0" borderId="82" xfId="3" applyFont="1" applyBorder="1" applyAlignment="1" applyProtection="1">
      <alignment horizontal="center" vertical="top" wrapText="1" readingOrder="1"/>
    </xf>
    <xf numFmtId="0" fontId="84" fillId="0" borderId="83" xfId="3" applyFont="1" applyBorder="1" applyAlignment="1" applyProtection="1">
      <alignment horizontal="center" vertical="top" wrapText="1" readingOrder="1"/>
    </xf>
    <xf numFmtId="0" fontId="87" fillId="0" borderId="1" xfId="3" applyFont="1" applyBorder="1" applyAlignment="1" applyProtection="1">
      <alignment vertical="center" wrapText="1" readingOrder="1"/>
    </xf>
    <xf numFmtId="0" fontId="16" fillId="0" borderId="1" xfId="3" applyFont="1" applyBorder="1" applyAlignment="1" applyProtection="1">
      <alignment vertical="center" wrapText="1"/>
    </xf>
    <xf numFmtId="0" fontId="86" fillId="26" borderId="80" xfId="3" applyFont="1" applyFill="1" applyBorder="1" applyAlignment="1" applyProtection="1">
      <alignment vertical="top" wrapText="1" readingOrder="1"/>
    </xf>
    <xf numFmtId="0" fontId="84" fillId="26" borderId="83" xfId="3" applyFont="1" applyFill="1" applyBorder="1" applyAlignment="1" applyProtection="1">
      <alignment vertical="top" wrapText="1" readingOrder="1"/>
    </xf>
    <xf numFmtId="0" fontId="84" fillId="26" borderId="80" xfId="3" applyFont="1" applyFill="1" applyBorder="1" applyAlignment="1" applyProtection="1">
      <alignment vertical="top" wrapText="1" readingOrder="1"/>
    </xf>
    <xf numFmtId="0" fontId="80" fillId="26" borderId="83" xfId="3" applyFont="1" applyFill="1" applyBorder="1" applyAlignment="1" applyProtection="1">
      <alignment vertical="center" wrapText="1" readingOrder="1"/>
    </xf>
    <xf numFmtId="0" fontId="84" fillId="26" borderId="82" xfId="3" applyFont="1" applyFill="1" applyBorder="1" applyAlignment="1" applyProtection="1">
      <alignment horizontal="left" vertical="top" wrapText="1" readingOrder="1"/>
    </xf>
    <xf numFmtId="0" fontId="84" fillId="26" borderId="82" xfId="3" applyFont="1" applyFill="1" applyBorder="1" applyAlignment="1" applyProtection="1">
      <alignment horizontal="center" vertical="top" wrapText="1" readingOrder="1"/>
    </xf>
    <xf numFmtId="0" fontId="84" fillId="26" borderId="83" xfId="3" applyFont="1" applyFill="1" applyBorder="1" applyAlignment="1" applyProtection="1">
      <alignment horizontal="center" vertical="top" wrapText="1" readingOrder="1"/>
    </xf>
    <xf numFmtId="0" fontId="83" fillId="14" borderId="1" xfId="3" applyFont="1" applyFill="1" applyBorder="1" applyAlignment="1" applyProtection="1">
      <alignment wrapText="1"/>
    </xf>
    <xf numFmtId="0" fontId="9" fillId="0" borderId="1" xfId="3" applyBorder="1" applyAlignment="1" applyProtection="1">
      <alignment wrapText="1"/>
    </xf>
    <xf numFmtId="0" fontId="5" fillId="0" borderId="1" xfId="3" applyFont="1" applyBorder="1" applyAlignment="1" applyProtection="1">
      <alignment wrapText="1"/>
    </xf>
    <xf numFmtId="172" fontId="0" fillId="0" borderId="0" xfId="0" applyNumberFormat="1" applyAlignment="1" applyProtection="1">
      <alignment horizontal="center" wrapText="1"/>
    </xf>
    <xf numFmtId="0" fontId="9" fillId="14" borderId="1" xfId="3" applyFill="1" applyBorder="1" applyAlignment="1" applyProtection="1">
      <alignment wrapText="1"/>
    </xf>
    <xf numFmtId="11" fontId="0" fillId="0" borderId="0" xfId="0" applyNumberFormat="1" applyAlignment="1" applyProtection="1">
      <alignment horizontal="center" wrapText="1"/>
    </xf>
    <xf numFmtId="0" fontId="83" fillId="0" borderId="1" xfId="3" applyFont="1" applyBorder="1" applyAlignment="1" applyProtection="1">
      <alignment wrapText="1"/>
    </xf>
    <xf numFmtId="173" fontId="84" fillId="26" borderId="82" xfId="3" applyNumberFormat="1" applyFont="1" applyFill="1" applyBorder="1" applyAlignment="1" applyProtection="1">
      <alignment horizontal="center" vertical="top" wrapText="1" readingOrder="1"/>
    </xf>
    <xf numFmtId="0" fontId="84" fillId="0" borderId="83" xfId="3" applyFont="1" applyBorder="1" applyAlignment="1" applyProtection="1">
      <alignment vertical="top" readingOrder="1"/>
    </xf>
    <xf numFmtId="0" fontId="84" fillId="0" borderId="81" xfId="3" applyFont="1" applyBorder="1" applyAlignment="1" applyProtection="1">
      <alignment vertical="top" wrapText="1" readingOrder="1"/>
    </xf>
    <xf numFmtId="0" fontId="84" fillId="26" borderId="83" xfId="3" applyFont="1" applyFill="1" applyBorder="1" applyAlignment="1" applyProtection="1">
      <alignment vertical="top" readingOrder="1"/>
    </xf>
    <xf numFmtId="0" fontId="84" fillId="26" borderId="81" xfId="3" applyFont="1" applyFill="1" applyBorder="1" applyAlignment="1" applyProtection="1">
      <alignment vertical="top" wrapText="1" readingOrder="1"/>
    </xf>
    <xf numFmtId="173" fontId="84" fillId="0" borderId="82" xfId="3" applyNumberFormat="1" applyFont="1" applyBorder="1" applyAlignment="1" applyProtection="1">
      <alignment horizontal="center" vertical="top" wrapText="1" readingOrder="1"/>
    </xf>
    <xf numFmtId="0" fontId="88" fillId="27" borderId="0" xfId="0" applyFont="1" applyFill="1" applyProtection="1"/>
    <xf numFmtId="0" fontId="88" fillId="28" borderId="0" xfId="0" applyFont="1" applyFill="1" applyProtection="1"/>
    <xf numFmtId="14" fontId="0" fillId="0" borderId="0" xfId="0" applyNumberFormat="1" applyProtection="1"/>
    <xf numFmtId="0" fontId="0" fillId="16" borderId="0" xfId="0" applyFill="1" applyProtection="1"/>
    <xf numFmtId="0" fontId="0" fillId="16" borderId="0" xfId="0" applyFill="1" applyAlignment="1" applyProtection="1">
      <alignment horizontal="center"/>
    </xf>
    <xf numFmtId="14" fontId="0" fillId="16" borderId="0" xfId="0" applyNumberFormat="1" applyFill="1" applyProtection="1"/>
    <xf numFmtId="0" fontId="16" fillId="0" borderId="0" xfId="0" applyFont="1" applyAlignment="1" applyProtection="1">
      <alignment vertical="center" wrapText="1"/>
    </xf>
    <xf numFmtId="0" fontId="16" fillId="0" borderId="0" xfId="0" applyFont="1" applyAlignment="1" applyProtection="1">
      <alignment vertical="center"/>
    </xf>
    <xf numFmtId="0" fontId="3" fillId="0" borderId="0" xfId="0" applyFont="1" applyAlignment="1" applyProtection="1">
      <alignment vertical="center" wrapText="1"/>
    </xf>
    <xf numFmtId="0" fontId="5" fillId="0" borderId="0" xfId="0" applyFont="1" applyAlignment="1" applyProtection="1">
      <alignment vertical="center" wrapText="1"/>
    </xf>
    <xf numFmtId="0" fontId="5" fillId="0" borderId="10" xfId="0" applyFont="1" applyBorder="1" applyAlignment="1" applyProtection="1">
      <alignment vertical="center" wrapText="1"/>
    </xf>
    <xf numFmtId="0" fontId="5" fillId="0" borderId="62" xfId="0" applyFont="1" applyBorder="1" applyAlignment="1" applyProtection="1">
      <alignment horizontal="left" vertical="center" wrapText="1"/>
    </xf>
    <xf numFmtId="0" fontId="11" fillId="0" borderId="21" xfId="1" applyBorder="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horizontal="center" vertical="center" wrapText="1"/>
    </xf>
    <xf numFmtId="0" fontId="5" fillId="0" borderId="56" xfId="0" applyFont="1" applyBorder="1" applyAlignment="1" applyProtection="1">
      <alignment horizontal="left" vertical="center" wrapText="1"/>
    </xf>
    <xf numFmtId="0" fontId="11" fillId="0" borderId="19" xfId="1" applyBorder="1" applyAlignment="1" applyProtection="1">
      <alignment vertical="center" wrapText="1"/>
    </xf>
    <xf numFmtId="0" fontId="5" fillId="0" borderId="0" xfId="0" applyFont="1" applyAlignment="1" applyProtection="1">
      <alignment vertical="center"/>
    </xf>
    <xf numFmtId="0" fontId="16" fillId="0" borderId="1" xfId="0" applyFont="1" applyBorder="1" applyAlignment="1" applyProtection="1">
      <alignment vertical="center" wrapText="1"/>
    </xf>
    <xf numFmtId="11" fontId="5" fillId="0" borderId="1" xfId="0" applyNumberFormat="1" applyFont="1" applyBorder="1" applyAlignment="1" applyProtection="1">
      <alignment vertical="center" wrapText="1"/>
    </xf>
    <xf numFmtId="167" fontId="5" fillId="0" borderId="1" xfId="0" applyNumberFormat="1" applyFont="1" applyBorder="1" applyAlignment="1" applyProtection="1">
      <alignment vertical="center" wrapText="1"/>
    </xf>
    <xf numFmtId="0" fontId="5" fillId="0" borderId="1" xfId="0" applyFont="1" applyBorder="1" applyAlignment="1" applyProtection="1">
      <alignment horizontal="left" vertical="center" wrapText="1"/>
    </xf>
    <xf numFmtId="0" fontId="11" fillId="0" borderId="16" xfId="1" applyBorder="1" applyAlignment="1" applyProtection="1">
      <alignment vertical="center" wrapText="1"/>
    </xf>
    <xf numFmtId="0" fontId="9" fillId="0" borderId="0" xfId="0" applyFont="1" applyAlignment="1" applyProtection="1">
      <alignment vertical="center"/>
    </xf>
    <xf numFmtId="0" fontId="16" fillId="0" borderId="1" xfId="0" applyFont="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2"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vertical="center" wrapText="1"/>
    </xf>
    <xf numFmtId="0" fontId="5" fillId="0" borderId="66" xfId="0" applyFont="1" applyBorder="1" applyAlignment="1" applyProtection="1">
      <alignment horizontal="center" vertical="center" wrapText="1"/>
    </xf>
    <xf numFmtId="0" fontId="5" fillId="0" borderId="67" xfId="0" applyFont="1" applyBorder="1" applyAlignment="1" applyProtection="1">
      <alignment vertical="center" wrapText="1"/>
    </xf>
    <xf numFmtId="0" fontId="5" fillId="0" borderId="67" xfId="0" applyFont="1" applyBorder="1" applyAlignment="1" applyProtection="1">
      <alignment horizontal="left" vertical="center" wrapText="1"/>
    </xf>
    <xf numFmtId="0" fontId="5" fillId="0" borderId="36" xfId="0" applyFont="1" applyBorder="1" applyAlignment="1" applyProtection="1">
      <alignment vertical="center" wrapText="1"/>
    </xf>
    <xf numFmtId="0" fontId="11" fillId="0" borderId="35" xfId="1" applyBorder="1" applyAlignment="1" applyProtection="1">
      <alignment vertical="center" wrapText="1"/>
    </xf>
    <xf numFmtId="0" fontId="23" fillId="0" borderId="67" xfId="0" applyFont="1" applyBorder="1" applyAlignment="1" applyProtection="1">
      <alignment vertical="center" wrapText="1"/>
    </xf>
    <xf numFmtId="0" fontId="0" fillId="0" borderId="4" xfId="0" applyBorder="1" applyAlignment="1" applyProtection="1">
      <alignment vertical="center" wrapText="1"/>
    </xf>
    <xf numFmtId="0" fontId="0" fillId="0" borderId="6" xfId="0" applyBorder="1" applyAlignment="1" applyProtection="1">
      <alignment vertical="center" wrapText="1"/>
    </xf>
    <xf numFmtId="0" fontId="0" fillId="0" borderId="6" xfId="0" applyBorder="1" applyAlignment="1" applyProtection="1">
      <alignment horizontal="left" vertical="center" wrapText="1"/>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11" fontId="0" fillId="0" borderId="0" xfId="0" applyNumberFormat="1" applyAlignment="1" applyProtection="1">
      <alignment vertical="center" wrapText="1"/>
    </xf>
    <xf numFmtId="167" fontId="5" fillId="0" borderId="0" xfId="0" applyNumberFormat="1" applyFont="1" applyAlignment="1" applyProtection="1">
      <alignment vertical="center" wrapText="1"/>
    </xf>
    <xf numFmtId="0" fontId="5" fillId="3" borderId="0" xfId="0" applyFont="1" applyFill="1" applyAlignment="1" applyProtection="1">
      <alignment vertical="center" wrapText="1"/>
    </xf>
    <xf numFmtId="0" fontId="5" fillId="3" borderId="0" xfId="0" applyFont="1" applyFill="1" applyAlignment="1" applyProtection="1">
      <alignment vertical="center"/>
    </xf>
    <xf numFmtId="0" fontId="0" fillId="0" borderId="4" xfId="0" applyBorder="1" applyAlignment="1" applyProtection="1">
      <alignment vertical="center"/>
    </xf>
    <xf numFmtId="0" fontId="0" fillId="0" borderId="6" xfId="0" applyBorder="1" applyAlignment="1" applyProtection="1">
      <alignment vertical="center"/>
    </xf>
    <xf numFmtId="0" fontId="5" fillId="0" borderId="6" xfId="0" applyFont="1" applyBorder="1" applyAlignment="1" applyProtection="1">
      <alignment horizontal="left" vertical="center"/>
    </xf>
    <xf numFmtId="0" fontId="5" fillId="0" borderId="7" xfId="0" applyFont="1" applyBorder="1" applyAlignment="1" applyProtection="1">
      <alignment vertical="center"/>
    </xf>
    <xf numFmtId="0" fontId="0" fillId="0" borderId="0" xfId="0" applyAlignment="1" applyProtection="1">
      <alignment vertical="center" wrapText="1"/>
    </xf>
    <xf numFmtId="0" fontId="16" fillId="0" borderId="14" xfId="0" applyFont="1" applyBorder="1" applyAlignment="1" applyProtection="1">
      <alignment vertical="center" wrapText="1"/>
    </xf>
    <xf numFmtId="0" fontId="5" fillId="0" borderId="9" xfId="0" applyFont="1" applyBorder="1" applyAlignment="1" applyProtection="1">
      <alignment vertical="center" wrapText="1"/>
    </xf>
    <xf numFmtId="0" fontId="5" fillId="0" borderId="66" xfId="0" applyFont="1" applyBorder="1" applyAlignment="1" applyProtection="1">
      <alignment vertical="center" wrapText="1"/>
    </xf>
    <xf numFmtId="0" fontId="5" fillId="0" borderId="35" xfId="0" applyFont="1" applyBorder="1" applyAlignment="1" applyProtection="1">
      <alignment vertical="center" wrapText="1"/>
    </xf>
    <xf numFmtId="0" fontId="0" fillId="0" borderId="6" xfId="0" applyBorder="1" applyAlignment="1" applyProtection="1">
      <alignment horizontal="left" vertical="center"/>
    </xf>
    <xf numFmtId="0" fontId="0" fillId="0" borderId="0" xfId="0" applyAlignment="1" applyProtection="1">
      <alignment vertical="center"/>
    </xf>
    <xf numFmtId="11" fontId="5" fillId="0" borderId="0" xfId="0" applyNumberFormat="1" applyFont="1" applyAlignment="1" applyProtection="1">
      <alignment vertical="center" wrapText="1"/>
    </xf>
    <xf numFmtId="11" fontId="0" fillId="0" borderId="0" xfId="0" applyNumberFormat="1" applyAlignment="1" applyProtection="1">
      <alignment vertical="center"/>
    </xf>
    <xf numFmtId="0" fontId="0" fillId="0" borderId="0" xfId="0" applyBorder="1" applyAlignment="1" applyProtection="1">
      <alignment vertical="center"/>
    </xf>
    <xf numFmtId="0" fontId="5" fillId="0" borderId="12" xfId="0" applyFont="1" applyBorder="1" applyAlignment="1" applyProtection="1">
      <alignment horizontal="left" vertical="center" wrapText="1"/>
    </xf>
    <xf numFmtId="0" fontId="5" fillId="0" borderId="12" xfId="0" applyFont="1" applyBorder="1" applyAlignment="1" applyProtection="1">
      <alignment vertical="center" wrapText="1"/>
    </xf>
    <xf numFmtId="0" fontId="5" fillId="0" borderId="13" xfId="0" applyFont="1" applyBorder="1" applyAlignment="1" applyProtection="1">
      <alignment vertical="center" wrapText="1"/>
    </xf>
    <xf numFmtId="0" fontId="11" fillId="0" borderId="0" xfId="1" applyBorder="1" applyAlignment="1" applyProtection="1">
      <alignment vertical="center" wrapText="1"/>
    </xf>
    <xf numFmtId="0" fontId="70" fillId="0" borderId="0" xfId="0" applyFont="1" applyAlignment="1" applyProtection="1">
      <alignment vertical="center" wrapText="1"/>
    </xf>
    <xf numFmtId="0" fontId="5" fillId="0" borderId="25" xfId="0" applyFont="1" applyBorder="1" applyAlignment="1" applyProtection="1">
      <alignment horizontal="left" vertical="center" wrapText="1"/>
    </xf>
    <xf numFmtId="0" fontId="5" fillId="0" borderId="68" xfId="0" applyFont="1" applyBorder="1" applyAlignment="1" applyProtection="1">
      <alignment vertical="center" wrapText="1"/>
    </xf>
    <xf numFmtId="0" fontId="5" fillId="0" borderId="69" xfId="0" applyFont="1" applyBorder="1" applyAlignment="1" applyProtection="1">
      <alignment horizontal="left" vertical="center" wrapText="1"/>
    </xf>
    <xf numFmtId="0" fontId="5" fillId="0" borderId="69" xfId="0" applyFont="1" applyBorder="1" applyAlignment="1" applyProtection="1">
      <alignment vertical="center" wrapText="1"/>
    </xf>
    <xf numFmtId="0" fontId="5" fillId="0" borderId="70" xfId="0" applyFont="1" applyBorder="1" applyAlignment="1" applyProtection="1">
      <alignment vertical="center" wrapText="1"/>
    </xf>
    <xf numFmtId="0" fontId="5" fillId="0" borderId="4" xfId="0" applyFont="1" applyBorder="1" applyAlignment="1" applyProtection="1">
      <alignment vertical="center" wrapText="1"/>
    </xf>
    <xf numFmtId="0" fontId="0" fillId="0" borderId="6" xfId="0" applyBorder="1" applyAlignment="1" applyProtection="1">
      <alignment horizontal="center" vertical="center" wrapText="1"/>
    </xf>
    <xf numFmtId="0" fontId="11" fillId="0" borderId="1" xfId="1" applyFill="1" applyBorder="1" applyAlignment="1" applyProtection="1">
      <alignment horizontal="left" vertical="center" wrapText="1"/>
    </xf>
    <xf numFmtId="164" fontId="5" fillId="0" borderId="0" xfId="0" applyNumberFormat="1" applyFont="1" applyAlignment="1" applyProtection="1">
      <alignment vertical="center" wrapText="1"/>
    </xf>
    <xf numFmtId="0" fontId="49" fillId="22" borderId="0" xfId="0" applyFont="1" applyFill="1" applyAlignment="1" applyProtection="1">
      <alignment horizontal="center" vertical="center" wrapText="1"/>
    </xf>
    <xf numFmtId="0" fontId="4" fillId="0" borderId="0" xfId="0" applyFont="1" applyProtection="1"/>
    <xf numFmtId="0" fontId="14" fillId="0" borderId="0" xfId="0" applyFont="1" applyProtection="1"/>
    <xf numFmtId="0" fontId="17" fillId="0" borderId="0" xfId="0" applyFont="1" applyProtection="1"/>
    <xf numFmtId="0" fontId="19" fillId="0" borderId="0" xfId="0" applyFont="1" applyProtection="1"/>
    <xf numFmtId="0" fontId="18" fillId="0" borderId="0" xfId="0" applyFont="1" applyProtection="1"/>
    <xf numFmtId="0" fontId="11" fillId="0" borderId="0" xfId="1" applyFill="1" applyProtection="1"/>
    <xf numFmtId="0" fontId="14" fillId="6" borderId="0" xfId="0" applyFont="1" applyFill="1" applyProtection="1"/>
    <xf numFmtId="0" fontId="3" fillId="6" borderId="0" xfId="0" applyFont="1" applyFill="1" applyProtection="1"/>
    <xf numFmtId="0" fontId="21" fillId="6" borderId="0" xfId="0" applyFont="1" applyFill="1" applyProtection="1"/>
    <xf numFmtId="0" fontId="3" fillId="0" borderId="0" xfId="0" applyFont="1" applyProtection="1"/>
    <xf numFmtId="0" fontId="21" fillId="0" borderId="0" xfId="0" applyFont="1" applyProtection="1"/>
    <xf numFmtId="16" fontId="0" fillId="0" borderId="0" xfId="0" applyNumberFormat="1" applyAlignment="1" applyProtection="1">
      <alignment horizontal="center"/>
    </xf>
    <xf numFmtId="0" fontId="17" fillId="0" borderId="0" xfId="0" applyFont="1" applyAlignment="1" applyProtection="1">
      <alignment horizontal="center"/>
    </xf>
    <xf numFmtId="49" fontId="23" fillId="0" borderId="1" xfId="0" applyNumberFormat="1" applyFont="1" applyBorder="1" applyAlignment="1" applyProtection="1">
      <alignment horizontal="center" vertical="center"/>
    </xf>
    <xf numFmtId="0" fontId="23" fillId="3" borderId="1" xfId="0" quotePrefix="1" applyFont="1" applyFill="1" applyBorder="1" applyAlignment="1" applyProtection="1">
      <alignment horizontal="center" vertical="center"/>
    </xf>
    <xf numFmtId="2" fontId="23" fillId="0" borderId="1" xfId="0" applyNumberFormat="1" applyFont="1" applyBorder="1" applyAlignment="1" applyProtection="1">
      <alignment horizontal="center" vertical="center"/>
    </xf>
    <xf numFmtId="165" fontId="23" fillId="0" borderId="1" xfId="0" applyNumberFormat="1" applyFont="1" applyBorder="1" applyAlignment="1" applyProtection="1">
      <alignment horizontal="center" vertical="center"/>
    </xf>
    <xf numFmtId="49" fontId="23" fillId="0" borderId="2" xfId="0" applyNumberFormat="1" applyFont="1" applyBorder="1" applyAlignment="1" applyProtection="1">
      <alignment horizontal="center" vertical="center"/>
    </xf>
    <xf numFmtId="165" fontId="23" fillId="0" borderId="2" xfId="0" applyNumberFormat="1" applyFont="1" applyBorder="1" applyAlignment="1" applyProtection="1">
      <alignment horizontal="center" vertical="center"/>
    </xf>
    <xf numFmtId="0" fontId="23" fillId="3" borderId="2" xfId="0" quotePrefix="1" applyFont="1" applyFill="1" applyBorder="1" applyAlignment="1" applyProtection="1">
      <alignment horizontal="center" vertical="center"/>
    </xf>
    <xf numFmtId="2" fontId="23" fillId="0" borderId="2" xfId="0" applyNumberFormat="1" applyFont="1" applyBorder="1" applyAlignment="1" applyProtection="1">
      <alignment horizontal="center" vertical="center"/>
    </xf>
    <xf numFmtId="0" fontId="23" fillId="3" borderId="33" xfId="0" quotePrefix="1" applyFont="1" applyFill="1" applyBorder="1" applyAlignment="1" applyProtection="1">
      <alignment horizontal="center" vertical="center"/>
    </xf>
    <xf numFmtId="49" fontId="22" fillId="0" borderId="0" xfId="0" applyNumberFormat="1" applyFont="1" applyAlignment="1" applyProtection="1">
      <alignment vertical="center" wrapText="1"/>
    </xf>
    <xf numFmtId="0" fontId="23" fillId="3" borderId="3" xfId="0" quotePrefix="1" applyFont="1" applyFill="1" applyBorder="1" applyAlignment="1" applyProtection="1">
      <alignment horizontal="center" vertical="center"/>
    </xf>
    <xf numFmtId="2" fontId="23" fillId="0" borderId="0" xfId="0" applyNumberFormat="1" applyFont="1" applyAlignment="1" applyProtection="1">
      <alignment vertical="center"/>
    </xf>
    <xf numFmtId="165" fontId="23" fillId="0" borderId="0" xfId="0" applyNumberFormat="1" applyFont="1" applyAlignment="1" applyProtection="1">
      <alignment horizontal="center" vertical="center"/>
    </xf>
    <xf numFmtId="2" fontId="23" fillId="0" borderId="0" xfId="0" applyNumberFormat="1" applyFont="1" applyAlignment="1" applyProtection="1">
      <alignment horizontal="center" vertical="center"/>
    </xf>
    <xf numFmtId="49" fontId="23" fillId="0" borderId="33" xfId="0" applyNumberFormat="1" applyFont="1" applyBorder="1" applyAlignment="1" applyProtection="1">
      <alignment horizontal="center" vertical="center"/>
    </xf>
    <xf numFmtId="165" fontId="23" fillId="0" borderId="33" xfId="0" applyNumberFormat="1" applyFont="1" applyBorder="1" applyAlignment="1" applyProtection="1">
      <alignment horizontal="center" vertical="center"/>
    </xf>
    <xf numFmtId="2" fontId="23" fillId="0" borderId="33" xfId="0" applyNumberFormat="1" applyFont="1" applyBorder="1" applyAlignment="1" applyProtection="1">
      <alignment horizontal="center" vertical="center"/>
    </xf>
    <xf numFmtId="0" fontId="25" fillId="0" borderId="0" xfId="0" applyFont="1" applyProtection="1"/>
    <xf numFmtId="0" fontId="25" fillId="0" borderId="0" xfId="0" applyFont="1" applyAlignment="1" applyProtection="1">
      <alignment horizontal="left"/>
    </xf>
    <xf numFmtId="49" fontId="22" fillId="15" borderId="1" xfId="0" applyNumberFormat="1" applyFont="1" applyFill="1" applyBorder="1" applyAlignment="1" applyProtection="1">
      <alignment vertical="center"/>
    </xf>
    <xf numFmtId="49" fontId="22" fillId="15" borderId="1" xfId="0" applyNumberFormat="1" applyFont="1" applyFill="1" applyBorder="1" applyAlignment="1" applyProtection="1">
      <alignment vertical="center" wrapText="1"/>
    </xf>
    <xf numFmtId="2" fontId="23" fillId="0" borderId="1" xfId="0" applyNumberFormat="1" applyFont="1" applyBorder="1" applyAlignment="1" applyProtection="1">
      <alignment vertical="center"/>
    </xf>
    <xf numFmtId="0" fontId="22" fillId="15" borderId="1" xfId="0" applyFont="1" applyFill="1" applyBorder="1" applyAlignment="1" applyProtection="1">
      <alignment vertical="center"/>
    </xf>
    <xf numFmtId="0" fontId="0" fillId="6" borderId="0" xfId="0" applyFill="1" applyAlignment="1" applyProtection="1">
      <alignment horizontal="left"/>
    </xf>
    <xf numFmtId="0" fontId="17" fillId="6" borderId="0" xfId="0" applyFont="1" applyFill="1" applyAlignment="1" applyProtection="1">
      <alignment horizontal="left"/>
    </xf>
    <xf numFmtId="0" fontId="17" fillId="0" borderId="0" xfId="0" applyFont="1" applyAlignment="1" applyProtection="1">
      <alignment horizontal="left"/>
    </xf>
    <xf numFmtId="0" fontId="0" fillId="6" borderId="0" xfId="0" applyFill="1" applyProtection="1"/>
    <xf numFmtId="0" fontId="17" fillId="6" borderId="0" xfId="0" applyFont="1" applyFill="1" applyProtection="1"/>
    <xf numFmtId="0" fontId="23" fillId="0" borderId="0" xfId="0" applyFont="1" applyProtection="1"/>
    <xf numFmtId="0" fontId="22" fillId="0" borderId="0" xfId="0" applyFont="1" applyAlignment="1" applyProtection="1">
      <alignment horizontal="center"/>
    </xf>
    <xf numFmtId="0" fontId="28" fillId="0" borderId="1" xfId="0" applyFont="1" applyBorder="1" applyAlignment="1" applyProtection="1">
      <alignment vertical="center"/>
    </xf>
    <xf numFmtId="0" fontId="28" fillId="0" borderId="1" xfId="0" applyFont="1" applyBorder="1" applyAlignment="1" applyProtection="1">
      <alignment horizontal="center" vertical="center"/>
    </xf>
    <xf numFmtId="0" fontId="28" fillId="8" borderId="1" xfId="0" applyFont="1" applyFill="1" applyBorder="1" applyAlignment="1" applyProtection="1">
      <alignment horizontal="center" vertical="center"/>
    </xf>
    <xf numFmtId="0" fontId="23" fillId="0" borderId="1" xfId="0" applyFont="1" applyBorder="1" applyAlignment="1" applyProtection="1">
      <alignment horizontal="center"/>
    </xf>
    <xf numFmtId="165" fontId="28" fillId="8" borderId="1"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77" fillId="0" borderId="0" xfId="0" applyFont="1" applyProtection="1"/>
    <xf numFmtId="11" fontId="17" fillId="0" borderId="0" xfId="0" applyNumberFormat="1" applyFont="1" applyProtection="1"/>
    <xf numFmtId="0" fontId="3" fillId="0" borderId="0" xfId="0" applyFont="1" applyAlignment="1" applyProtection="1">
      <alignment vertical="center"/>
    </xf>
    <xf numFmtId="2" fontId="17" fillId="0" borderId="0" xfId="0" applyNumberFormat="1" applyFont="1" applyProtection="1"/>
    <xf numFmtId="164" fontId="17" fillId="0" borderId="0" xfId="0" applyNumberFormat="1" applyFont="1" applyProtection="1"/>
    <xf numFmtId="0" fontId="0" fillId="6" borderId="0" xfId="0" applyFill="1" applyAlignment="1" applyProtection="1">
      <alignment vertical="top"/>
    </xf>
    <xf numFmtId="0" fontId="3" fillId="15" borderId="1" xfId="0" applyFont="1" applyFill="1" applyBorder="1" applyAlignment="1" applyProtection="1">
      <alignment horizontal="left" vertical="top" wrapText="1"/>
    </xf>
    <xf numFmtId="0" fontId="5" fillId="0" borderId="1" xfId="0" applyFont="1" applyBorder="1" applyAlignment="1" applyProtection="1">
      <alignment horizontal="left" vertical="top" wrapText="1"/>
    </xf>
    <xf numFmtId="0" fontId="0" fillId="0" borderId="1" xfId="0" quotePrefix="1" applyBorder="1" applyAlignment="1" applyProtection="1">
      <alignment horizontal="left" vertical="top" wrapText="1"/>
    </xf>
    <xf numFmtId="2" fontId="0" fillId="0" borderId="1" xfId="0" applyNumberFormat="1" applyBorder="1" applyAlignment="1" applyProtection="1">
      <alignment horizontal="left" vertical="top" wrapText="1"/>
    </xf>
    <xf numFmtId="165" fontId="0" fillId="0" borderId="1" xfId="0" applyNumberFormat="1" applyBorder="1" applyAlignment="1" applyProtection="1">
      <alignment horizontal="left" vertical="top"/>
    </xf>
    <xf numFmtId="165" fontId="0" fillId="0" borderId="0" xfId="0" applyNumberFormat="1" applyAlignment="1" applyProtection="1">
      <alignment horizontal="left" vertical="top"/>
    </xf>
    <xf numFmtId="0" fontId="19" fillId="0" borderId="0" xfId="0" applyFont="1" applyAlignment="1" applyProtection="1">
      <alignment horizontal="left"/>
    </xf>
    <xf numFmtId="0" fontId="29" fillId="0" borderId="0" xfId="0" applyFont="1" applyProtection="1"/>
    <xf numFmtId="0" fontId="19" fillId="0" borderId="0" xfId="0" applyFont="1" applyAlignment="1" applyProtection="1">
      <alignment horizontal="center"/>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xf>
    <xf numFmtId="0" fontId="11" fillId="0" borderId="1" xfId="1" applyBorder="1" applyAlignment="1" applyProtection="1">
      <alignment horizontal="left" vertical="center" wrapText="1"/>
    </xf>
    <xf numFmtId="2" fontId="0" fillId="0" borderId="1" xfId="0" applyNumberFormat="1" applyBorder="1" applyAlignment="1" applyProtection="1">
      <alignment horizontal="left" vertical="center"/>
    </xf>
    <xf numFmtId="1" fontId="0" fillId="0" borderId="1" xfId="0" applyNumberFormat="1" applyBorder="1" applyAlignment="1" applyProtection="1">
      <alignment horizontal="left" vertical="center" indent="2"/>
    </xf>
    <xf numFmtId="0" fontId="34" fillId="0" borderId="0" xfId="0" applyFont="1" applyProtection="1"/>
    <xf numFmtId="0" fontId="0" fillId="0" borderId="1" xfId="0" applyBorder="1" applyAlignment="1" applyProtection="1">
      <alignment vertical="center"/>
    </xf>
    <xf numFmtId="0" fontId="18" fillId="21" borderId="0" xfId="0" applyFont="1" applyFill="1" applyProtection="1"/>
    <xf numFmtId="2" fontId="0" fillId="0" borderId="0" xfId="0" applyNumberFormat="1" applyAlignment="1" applyProtection="1">
      <alignment horizontal="center" vertical="center"/>
    </xf>
    <xf numFmtId="1" fontId="0" fillId="0" borderId="0" xfId="0" applyNumberFormat="1" applyAlignment="1" applyProtection="1">
      <alignment horizontal="left" vertical="center" indent="2"/>
    </xf>
    <xf numFmtId="165" fontId="0" fillId="0" borderId="0" xfId="0" applyNumberFormat="1" applyAlignment="1" applyProtection="1">
      <alignment horizontal="center" vertical="center"/>
    </xf>
    <xf numFmtId="168" fontId="0" fillId="0" borderId="1" xfId="0" applyNumberFormat="1" applyBorder="1" applyAlignment="1" applyProtection="1">
      <alignment horizontal="center"/>
    </xf>
    <xf numFmtId="2" fontId="0" fillId="0" borderId="1" xfId="0" applyNumberFormat="1" applyBorder="1" applyAlignment="1" applyProtection="1">
      <alignment horizontal="center"/>
    </xf>
    <xf numFmtId="0" fontId="32"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1" fillId="19" borderId="32" xfId="0" applyFont="1" applyFill="1" applyBorder="1" applyAlignment="1" applyProtection="1">
      <alignment horizontal="center" vertical="center" wrapText="1"/>
    </xf>
    <xf numFmtId="0" fontId="41" fillId="19" borderId="21" xfId="0" applyFont="1" applyFill="1" applyBorder="1" applyAlignment="1" applyProtection="1">
      <alignment horizontal="center" vertical="center" wrapText="1"/>
    </xf>
    <xf numFmtId="169" fontId="41" fillId="19" borderId="21" xfId="0" applyNumberFormat="1" applyFont="1" applyFill="1" applyBorder="1" applyAlignment="1" applyProtection="1">
      <alignment horizontal="center" vertical="center" wrapText="1"/>
    </xf>
    <xf numFmtId="165" fontId="41" fillId="19" borderId="21" xfId="0" applyNumberFormat="1" applyFont="1" applyFill="1" applyBorder="1" applyAlignment="1" applyProtection="1">
      <alignment horizontal="center" vertical="center" wrapText="1"/>
    </xf>
    <xf numFmtId="2" fontId="41" fillId="19" borderId="21" xfId="0" applyNumberFormat="1" applyFont="1" applyFill="1" applyBorder="1" applyAlignment="1" applyProtection="1">
      <alignment horizontal="center" vertical="center" wrapText="1"/>
    </xf>
    <xf numFmtId="169" fontId="0" fillId="0" borderId="0" xfId="0" applyNumberFormat="1" applyProtection="1"/>
    <xf numFmtId="2" fontId="0" fillId="0" borderId="0" xfId="0" applyNumberFormat="1" applyProtection="1"/>
    <xf numFmtId="0" fontId="1" fillId="18" borderId="0" xfId="0" applyFont="1" applyFill="1" applyAlignment="1" applyProtection="1">
      <alignment horizontal="left" vertical="center"/>
    </xf>
    <xf numFmtId="0" fontId="1" fillId="18" borderId="1" xfId="0" applyFont="1" applyFill="1" applyBorder="1" applyAlignment="1" applyProtection="1">
      <alignment horizontal="center" vertical="center" wrapText="1"/>
    </xf>
    <xf numFmtId="0" fontId="0" fillId="18" borderId="0" xfId="0" applyFill="1" applyProtection="1"/>
    <xf numFmtId="0" fontId="1" fillId="0" borderId="0" xfId="0" applyFont="1" applyAlignment="1" applyProtection="1">
      <alignment horizontal="center" vertical="center" wrapText="1"/>
    </xf>
    <xf numFmtId="0" fontId="5" fillId="13" borderId="13" xfId="0" applyFont="1" applyFill="1" applyBorder="1" applyAlignment="1" applyProtection="1">
      <alignment horizontal="center" vertical="center" wrapText="1"/>
    </xf>
    <xf numFmtId="0" fontId="0" fillId="17" borderId="1" xfId="0" applyFill="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0" fillId="8" borderId="1" xfId="0" applyFill="1" applyBorder="1" applyAlignment="1" applyProtection="1">
      <alignment horizontal="center" wrapText="1"/>
    </xf>
    <xf numFmtId="0" fontId="1" fillId="18" borderId="14" xfId="0" applyFont="1" applyFill="1" applyBorder="1" applyAlignment="1" applyProtection="1">
      <alignment horizontal="left" vertical="center" wrapText="1"/>
    </xf>
    <xf numFmtId="0" fontId="16" fillId="18" borderId="9" xfId="0" applyFont="1" applyFill="1" applyBorder="1" applyAlignment="1" applyProtection="1">
      <alignment horizontal="center" vertical="center" wrapText="1"/>
    </xf>
    <xf numFmtId="0" fontId="16" fillId="18" borderId="9" xfId="0" applyFont="1" applyFill="1" applyBorder="1" applyAlignment="1" applyProtection="1">
      <alignment horizontal="right" vertical="center" wrapText="1"/>
    </xf>
    <xf numFmtId="0" fontId="5" fillId="18" borderId="1" xfId="0" applyFont="1" applyFill="1" applyBorder="1" applyAlignment="1" applyProtection="1">
      <alignment horizontal="center" vertical="center" wrapText="1"/>
    </xf>
    <xf numFmtId="0" fontId="0" fillId="18" borderId="0" xfId="0" applyFill="1" applyAlignment="1" applyProtection="1">
      <alignment wrapText="1"/>
    </xf>
    <xf numFmtId="0" fontId="5" fillId="0" borderId="1" xfId="0" applyFont="1" applyBorder="1" applyAlignment="1" applyProtection="1">
      <alignment vertical="top" wrapText="1"/>
    </xf>
    <xf numFmtId="0" fontId="5" fillId="0" borderId="1" xfId="0" applyFont="1" applyBorder="1" applyAlignment="1" applyProtection="1">
      <alignment horizontal="center" vertical="top" wrapText="1"/>
    </xf>
    <xf numFmtId="0" fontId="1" fillId="18" borderId="1" xfId="0" applyFont="1" applyFill="1" applyBorder="1" applyAlignment="1" applyProtection="1">
      <alignment horizontal="left" vertical="center" wrapText="1"/>
    </xf>
    <xf numFmtId="0" fontId="1" fillId="12" borderId="1" xfId="0" applyFont="1" applyFill="1" applyBorder="1" applyAlignment="1" applyProtection="1">
      <alignment vertical="top"/>
    </xf>
    <xf numFmtId="0" fontId="0" fillId="12" borderId="1" xfId="0" applyFill="1" applyBorder="1" applyProtection="1"/>
    <xf numFmtId="0" fontId="0" fillId="12" borderId="1" xfId="0" applyFill="1" applyBorder="1" applyAlignment="1" applyProtection="1">
      <alignment horizontal="center" vertical="center" wrapText="1"/>
    </xf>
    <xf numFmtId="0" fontId="0" fillId="12" borderId="1" xfId="0" applyFill="1" applyBorder="1" applyAlignment="1" applyProtection="1">
      <alignment horizontal="center" vertical="center"/>
    </xf>
    <xf numFmtId="0" fontId="0" fillId="8" borderId="1" xfId="0" applyFill="1" applyBorder="1" applyAlignment="1" applyProtection="1">
      <alignment horizontal="center" vertical="center" wrapText="1"/>
    </xf>
    <xf numFmtId="0" fontId="0" fillId="8" borderId="1" xfId="0" applyFill="1" applyBorder="1" applyAlignment="1" applyProtection="1">
      <alignment horizontal="center"/>
    </xf>
    <xf numFmtId="0" fontId="5" fillId="17" borderId="1" xfId="0" applyFont="1" applyFill="1" applyBorder="1" applyAlignment="1" applyProtection="1">
      <alignment vertical="top"/>
    </xf>
    <xf numFmtId="0" fontId="0" fillId="17" borderId="1" xfId="0" applyFill="1" applyBorder="1" applyAlignment="1" applyProtection="1">
      <alignment horizontal="center"/>
    </xf>
    <xf numFmtId="0" fontId="0" fillId="17" borderId="1" xfId="0" applyFill="1" applyBorder="1" applyAlignment="1" applyProtection="1">
      <alignment horizontal="center" vertical="center"/>
    </xf>
    <xf numFmtId="0" fontId="0" fillId="17" borderId="0" xfId="0" applyFill="1" applyProtection="1"/>
    <xf numFmtId="0" fontId="5" fillId="0" borderId="1" xfId="0" applyFont="1" applyBorder="1" applyAlignment="1" applyProtection="1">
      <alignment vertical="top"/>
    </xf>
    <xf numFmtId="0" fontId="16" fillId="14" borderId="1" xfId="0" applyFont="1" applyFill="1" applyBorder="1" applyAlignment="1" applyProtection="1">
      <alignment vertical="top"/>
    </xf>
    <xf numFmtId="0" fontId="0" fillId="14" borderId="1" xfId="0" applyFill="1" applyBorder="1" applyProtection="1"/>
    <xf numFmtId="0" fontId="0" fillId="14" borderId="1" xfId="0" applyFill="1" applyBorder="1" applyAlignment="1" applyProtection="1">
      <alignment horizontal="center" vertical="center" wrapText="1"/>
    </xf>
    <xf numFmtId="0" fontId="0" fillId="14" borderId="1" xfId="0" applyFill="1" applyBorder="1" applyAlignment="1" applyProtection="1">
      <alignment horizontal="center" vertical="center"/>
    </xf>
    <xf numFmtId="0" fontId="0" fillId="0" borderId="1" xfId="0" applyBorder="1" applyProtection="1"/>
    <xf numFmtId="2" fontId="0" fillId="9" borderId="1" xfId="0" applyNumberFormat="1" applyFill="1" applyBorder="1" applyAlignment="1" applyProtection="1">
      <alignment horizontal="center" vertical="center" wrapText="1"/>
    </xf>
    <xf numFmtId="0" fontId="0" fillId="9" borderId="1" xfId="0" applyFill="1" applyBorder="1" applyAlignment="1" applyProtection="1">
      <alignment horizontal="center" vertical="center" wrapText="1"/>
    </xf>
    <xf numFmtId="0" fontId="0" fillId="17" borderId="1" xfId="0" applyFill="1" applyBorder="1" applyProtection="1"/>
    <xf numFmtId="0" fontId="5" fillId="17" borderId="1" xfId="0" applyFont="1" applyFill="1" applyBorder="1" applyAlignment="1" applyProtection="1">
      <alignment horizontal="center" vertical="center" wrapText="1"/>
    </xf>
    <xf numFmtId="0" fontId="0" fillId="17" borderId="1" xfId="0" applyFill="1" applyBorder="1" applyAlignment="1" applyProtection="1">
      <alignment vertical="top"/>
    </xf>
    <xf numFmtId="1" fontId="0" fillId="8" borderId="1" xfId="0" applyNumberFormat="1" applyFill="1" applyBorder="1" applyAlignment="1" applyProtection="1">
      <alignment horizontal="center" vertical="center" wrapText="1"/>
    </xf>
    <xf numFmtId="0" fontId="0" fillId="0" borderId="1" xfId="0" applyBorder="1" applyAlignment="1" applyProtection="1">
      <alignment vertical="top"/>
    </xf>
    <xf numFmtId="0" fontId="0" fillId="0" borderId="5" xfId="0" applyFill="1" applyBorder="1" applyAlignment="1" applyProtection="1">
      <alignment horizontal="center" vertical="center" wrapText="1"/>
    </xf>
    <xf numFmtId="0" fontId="16" fillId="17" borderId="1" xfId="0" applyFont="1" applyFill="1" applyBorder="1" applyAlignment="1" applyProtection="1">
      <alignment vertical="top"/>
    </xf>
    <xf numFmtId="0" fontId="5" fillId="17" borderId="1" xfId="0" applyFont="1" applyFill="1" applyBorder="1" applyAlignment="1" applyProtection="1">
      <alignment vertical="top" wrapText="1"/>
    </xf>
    <xf numFmtId="18" fontId="5" fillId="17" borderId="1" xfId="0" applyNumberFormat="1" applyFont="1" applyFill="1" applyBorder="1" applyAlignment="1" applyProtection="1">
      <alignment vertical="top"/>
    </xf>
    <xf numFmtId="0" fontId="12" fillId="0" borderId="0" xfId="0" applyFont="1" applyAlignment="1" applyProtection="1">
      <alignment vertical="center"/>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32" fillId="11" borderId="20" xfId="0" applyFont="1" applyFill="1" applyBorder="1" applyAlignment="1" applyProtection="1">
      <alignment horizontal="left" vertical="center"/>
    </xf>
    <xf numFmtId="0" fontId="39" fillId="11" borderId="25" xfId="0" applyFont="1" applyFill="1" applyBorder="1" applyAlignment="1" applyProtection="1">
      <alignment horizontal="left" vertical="center" wrapText="1"/>
    </xf>
    <xf numFmtId="0" fontId="5" fillId="0" borderId="0" xfId="0" applyFont="1" applyAlignment="1" applyProtection="1">
      <alignment wrapText="1"/>
    </xf>
    <xf numFmtId="0" fontId="5"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horizontal="center" vertical="center" wrapText="1"/>
    </xf>
    <xf numFmtId="0" fontId="39" fillId="0" borderId="0" xfId="0" applyFont="1" applyAlignment="1" applyProtection="1">
      <alignment horizontal="left" vertical="center" wrapText="1"/>
    </xf>
    <xf numFmtId="0" fontId="33" fillId="11" borderId="15" xfId="0" applyFont="1" applyFill="1" applyBorder="1" applyAlignment="1" applyProtection="1">
      <alignment horizontal="left" vertical="center"/>
    </xf>
    <xf numFmtId="0" fontId="33" fillId="11" borderId="0" xfId="0" applyFont="1" applyFill="1" applyAlignment="1" applyProtection="1">
      <alignment horizontal="left" vertical="center" wrapText="1"/>
    </xf>
    <xf numFmtId="0" fontId="5" fillId="11" borderId="0" xfId="0" applyFont="1" applyFill="1" applyProtection="1"/>
    <xf numFmtId="0" fontId="5" fillId="0" borderId="0" xfId="0" applyFont="1" applyAlignment="1" applyProtection="1">
      <alignment horizontal="center"/>
    </xf>
    <xf numFmtId="0" fontId="33" fillId="11" borderId="17" xfId="0" applyFont="1" applyFill="1" applyBorder="1" applyAlignment="1" applyProtection="1">
      <alignment horizontal="left" vertical="center"/>
    </xf>
    <xf numFmtId="0" fontId="39" fillId="11" borderId="18" xfId="0" applyFont="1" applyFill="1" applyBorder="1" applyAlignment="1" applyProtection="1">
      <alignment vertical="center" wrapText="1"/>
    </xf>
    <xf numFmtId="0" fontId="16" fillId="10" borderId="1" xfId="0" applyFont="1" applyFill="1" applyBorder="1" applyAlignment="1" applyProtection="1">
      <alignment horizontal="center" vertical="center" wrapText="1"/>
    </xf>
    <xf numFmtId="170" fontId="41" fillId="19" borderId="21" xfId="0" applyNumberFormat="1" applyFont="1" applyFill="1" applyBorder="1" applyAlignment="1" applyProtection="1">
      <alignment horizontal="center" vertical="center" wrapText="1"/>
    </xf>
    <xf numFmtId="0" fontId="5" fillId="13" borderId="13" xfId="0" applyFont="1" applyFill="1" applyBorder="1" applyAlignment="1" applyProtection="1">
      <alignment horizontal="right" vertical="center" wrapText="1"/>
    </xf>
    <xf numFmtId="0" fontId="5" fillId="8" borderId="2" xfId="0" applyFont="1" applyFill="1" applyBorder="1" applyAlignment="1" applyProtection="1">
      <alignment horizontal="center" vertical="center" wrapText="1"/>
    </xf>
    <xf numFmtId="0" fontId="5" fillId="18" borderId="2" xfId="0" applyFont="1" applyFill="1" applyBorder="1" applyAlignment="1" applyProtection="1">
      <alignment horizontal="center" vertical="center" wrapText="1"/>
    </xf>
    <xf numFmtId="0" fontId="1" fillId="12" borderId="1" xfId="0" applyFont="1" applyFill="1" applyBorder="1" applyAlignment="1" applyProtection="1">
      <alignment horizontal="left" vertical="center"/>
    </xf>
    <xf numFmtId="0" fontId="0" fillId="12" borderId="1" xfId="0" applyFill="1" applyBorder="1" applyAlignment="1" applyProtection="1">
      <alignment horizontal="left" vertical="center"/>
    </xf>
    <xf numFmtId="11" fontId="0" fillId="8" borderId="1" xfId="0" applyNumberFormat="1" applyFill="1" applyBorder="1" applyAlignment="1" applyProtection="1">
      <alignment horizontal="center" vertical="center"/>
    </xf>
    <xf numFmtId="11" fontId="0" fillId="17" borderId="1" xfId="0" applyNumberFormat="1" applyFill="1" applyBorder="1" applyAlignment="1" applyProtection="1">
      <alignment horizontal="center" vertical="center"/>
    </xf>
    <xf numFmtId="0" fontId="41" fillId="0" borderId="28" xfId="0" applyFont="1" applyBorder="1" applyAlignment="1" applyProtection="1">
      <alignment horizontal="center" vertical="center" wrapText="1"/>
    </xf>
    <xf numFmtId="0" fontId="41" fillId="0" borderId="29" xfId="0" applyFont="1" applyBorder="1" applyAlignment="1" applyProtection="1">
      <alignment horizontal="center" vertical="center" wrapText="1"/>
    </xf>
    <xf numFmtId="0" fontId="41" fillId="0" borderId="21" xfId="0" applyFont="1" applyBorder="1" applyAlignment="1" applyProtection="1">
      <alignment horizontal="center" vertical="center" wrapText="1"/>
    </xf>
    <xf numFmtId="0" fontId="5" fillId="0" borderId="2" xfId="0" applyFont="1" applyBorder="1" applyAlignment="1" applyProtection="1">
      <alignment horizontal="left" vertical="center"/>
    </xf>
    <xf numFmtId="2" fontId="43" fillId="0" borderId="32" xfId="0" applyNumberFormat="1" applyFont="1" applyBorder="1" applyAlignment="1" applyProtection="1">
      <alignment horizontal="center" vertical="center" wrapText="1"/>
    </xf>
    <xf numFmtId="0" fontId="5" fillId="0" borderId="1" xfId="0" applyFont="1" applyBorder="1" applyAlignment="1" applyProtection="1">
      <alignment horizontal="left" vertical="center"/>
    </xf>
    <xf numFmtId="0" fontId="0" fillId="0" borderId="1" xfId="0" applyBorder="1" applyAlignment="1" applyProtection="1">
      <alignment horizontal="left" vertical="center"/>
    </xf>
    <xf numFmtId="165" fontId="43" fillId="0" borderId="19" xfId="0" applyNumberFormat="1" applyFont="1" applyBorder="1" applyAlignment="1" applyProtection="1">
      <alignment horizontal="center" vertical="center" wrapText="1"/>
    </xf>
    <xf numFmtId="2" fontId="43" fillId="0" borderId="19" xfId="0" applyNumberFormat="1" applyFont="1" applyBorder="1" applyAlignment="1" applyProtection="1">
      <alignment horizontal="center" vertical="center" wrapText="1"/>
    </xf>
    <xf numFmtId="164" fontId="43" fillId="0" borderId="32" xfId="0" applyNumberFormat="1" applyFont="1" applyBorder="1" applyAlignment="1" applyProtection="1">
      <alignment horizontal="center" vertical="center" wrapText="1"/>
    </xf>
    <xf numFmtId="0" fontId="5" fillId="17" borderId="1" xfId="0" applyFont="1" applyFill="1" applyBorder="1" applyAlignment="1" applyProtection="1">
      <alignment horizontal="left" vertical="center"/>
    </xf>
    <xf numFmtId="0" fontId="0" fillId="17" borderId="1" xfId="0" applyFill="1" applyBorder="1" applyAlignment="1" applyProtection="1">
      <alignment horizontal="left" vertical="center"/>
    </xf>
    <xf numFmtId="0" fontId="16" fillId="14" borderId="1" xfId="0" applyFont="1" applyFill="1" applyBorder="1" applyAlignment="1" applyProtection="1">
      <alignment horizontal="left" vertical="center"/>
    </xf>
    <xf numFmtId="0" fontId="0" fillId="14" borderId="1" xfId="0" applyFill="1" applyBorder="1" applyAlignment="1" applyProtection="1">
      <alignment horizontal="left" vertical="center"/>
    </xf>
    <xf numFmtId="2" fontId="43" fillId="0" borderId="1" xfId="0" applyNumberFormat="1" applyFont="1" applyBorder="1" applyAlignment="1" applyProtection="1">
      <alignment horizontal="center" vertical="center" wrapText="1"/>
    </xf>
    <xf numFmtId="165" fontId="43" fillId="0" borderId="1" xfId="0" applyNumberFormat="1" applyFont="1" applyBorder="1" applyAlignment="1" applyProtection="1">
      <alignment horizontal="center" vertical="center" wrapText="1"/>
    </xf>
    <xf numFmtId="0" fontId="43" fillId="8" borderId="34" xfId="0" applyFont="1" applyFill="1" applyBorder="1" applyAlignment="1" applyProtection="1">
      <alignment horizontal="center" vertical="center" wrapText="1"/>
    </xf>
    <xf numFmtId="0" fontId="43" fillId="8" borderId="30" xfId="0"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5" fillId="11" borderId="2" xfId="0" applyFont="1" applyFill="1" applyBorder="1" applyAlignment="1" applyProtection="1">
      <alignment horizontal="left" vertical="center"/>
    </xf>
    <xf numFmtId="0" fontId="0" fillId="11" borderId="2" xfId="0" applyFill="1" applyBorder="1" applyAlignment="1" applyProtection="1">
      <alignment horizontal="center" vertical="center"/>
    </xf>
    <xf numFmtId="0" fontId="0" fillId="11" borderId="1" xfId="0" applyFill="1" applyBorder="1" applyAlignment="1" applyProtection="1">
      <alignment horizontal="center" vertical="center"/>
    </xf>
    <xf numFmtId="0" fontId="5" fillId="11" borderId="1" xfId="0" applyFont="1" applyFill="1" applyBorder="1" applyAlignment="1" applyProtection="1">
      <alignment horizontal="center" vertical="center" wrapText="1"/>
    </xf>
    <xf numFmtId="2" fontId="43" fillId="0" borderId="0" xfId="0" applyNumberFormat="1" applyFont="1" applyAlignment="1" applyProtection="1">
      <alignment horizontal="center"/>
    </xf>
    <xf numFmtId="0" fontId="43" fillId="0" borderId="0" xfId="0" applyFont="1" applyAlignment="1" applyProtection="1">
      <alignment horizontal="center"/>
    </xf>
    <xf numFmtId="164" fontId="43" fillId="0" borderId="1" xfId="0" applyNumberFormat="1" applyFont="1" applyBorder="1" applyAlignment="1" applyProtection="1">
      <alignment horizontal="center" vertical="center" wrapText="1"/>
    </xf>
    <xf numFmtId="0" fontId="5" fillId="11" borderId="1" xfId="0" applyFont="1" applyFill="1" applyBorder="1" applyAlignment="1" applyProtection="1">
      <alignment horizontal="left" vertical="center"/>
    </xf>
    <xf numFmtId="0" fontId="0" fillId="11" borderId="1" xfId="0" applyFill="1" applyBorder="1" applyAlignment="1" applyProtection="1">
      <alignment horizontal="left" vertical="center"/>
    </xf>
    <xf numFmtId="0" fontId="0" fillId="11" borderId="1" xfId="0" applyFill="1" applyBorder="1" applyAlignment="1" applyProtection="1">
      <alignment horizontal="center" vertical="center" wrapText="1"/>
    </xf>
    <xf numFmtId="0" fontId="0" fillId="11" borderId="0" xfId="0" applyFill="1" applyProtection="1"/>
    <xf numFmtId="168" fontId="43" fillId="0" borderId="0" xfId="0" applyNumberFormat="1" applyFont="1" applyAlignment="1" applyProtection="1">
      <alignment horizontal="center"/>
    </xf>
    <xf numFmtId="169" fontId="43" fillId="0" borderId="1" xfId="0" applyNumberFormat="1" applyFont="1" applyBorder="1" applyAlignment="1" applyProtection="1">
      <alignment horizontal="center" vertical="center" wrapText="1"/>
    </xf>
    <xf numFmtId="2" fontId="43" fillId="0" borderId="31" xfId="0" applyNumberFormat="1" applyFont="1" applyBorder="1" applyAlignment="1" applyProtection="1">
      <alignment horizontal="center" vertical="center"/>
    </xf>
    <xf numFmtId="11" fontId="0" fillId="8" borderId="1" xfId="0" applyNumberFormat="1" applyFill="1" applyBorder="1" applyAlignment="1" applyProtection="1">
      <alignment horizontal="center" vertical="center" wrapText="1"/>
    </xf>
    <xf numFmtId="0" fontId="43" fillId="0" borderId="0" xfId="0" applyFont="1" applyProtection="1"/>
    <xf numFmtId="164" fontId="43" fillId="0" borderId="0" xfId="0" applyNumberFormat="1" applyFont="1" applyAlignment="1" applyProtection="1">
      <alignment horizontal="center"/>
    </xf>
    <xf numFmtId="0" fontId="16" fillId="0" borderId="1" xfId="0" applyFont="1" applyBorder="1" applyAlignment="1" applyProtection="1">
      <alignment horizontal="left" vertical="center"/>
    </xf>
    <xf numFmtId="18" fontId="5" fillId="0" borderId="1" xfId="0" applyNumberFormat="1" applyFont="1" applyBorder="1" applyAlignment="1" applyProtection="1">
      <alignment horizontal="left" vertical="center"/>
    </xf>
    <xf numFmtId="0" fontId="0" fillId="0" borderId="0" xfId="0" applyAlignment="1" applyProtection="1">
      <alignment horizontal="left" vertical="center"/>
    </xf>
    <xf numFmtId="0" fontId="14" fillId="0" borderId="0" xfId="0" applyFont="1" applyAlignment="1" applyProtection="1">
      <alignment horizontal="left" vertical="center"/>
    </xf>
    <xf numFmtId="0" fontId="2" fillId="0" borderId="0" xfId="0" applyFont="1" applyAlignment="1" applyProtection="1">
      <alignment horizontal="left" vertical="center"/>
    </xf>
    <xf numFmtId="0" fontId="0" fillId="0" borderId="12" xfId="0" applyBorder="1" applyAlignment="1" applyProtection="1">
      <alignment vertical="center"/>
    </xf>
    <xf numFmtId="0" fontId="2" fillId="0" borderId="12" xfId="0" applyFont="1" applyBorder="1" applyAlignment="1" applyProtection="1">
      <alignment vertical="center"/>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16" borderId="12" xfId="0" applyFont="1" applyFill="1" applyBorder="1" applyAlignment="1" applyProtection="1">
      <alignment horizontal="center" vertical="center" wrapText="1"/>
    </xf>
    <xf numFmtId="0" fontId="3" fillId="16" borderId="13"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11" fontId="0" fillId="0" borderId="1" xfId="0" applyNumberFormat="1" applyBorder="1" applyAlignment="1" applyProtection="1">
      <alignment horizontal="center" vertical="center" wrapText="1"/>
    </xf>
    <xf numFmtId="11" fontId="0" fillId="0" borderId="27" xfId="0" applyNumberFormat="1" applyBorder="1" applyAlignment="1" applyProtection="1">
      <alignment horizontal="center" vertical="center"/>
    </xf>
    <xf numFmtId="11" fontId="0" fillId="0" borderId="23" xfId="0" applyNumberFormat="1" applyBorder="1" applyAlignment="1" applyProtection="1">
      <alignment horizontal="center" vertical="center"/>
    </xf>
    <xf numFmtId="11" fontId="0" fillId="0" borderId="22" xfId="0" applyNumberFormat="1" applyBorder="1" applyAlignment="1" applyProtection="1">
      <alignment horizontal="center" vertical="center"/>
    </xf>
    <xf numFmtId="11" fontId="19" fillId="0" borderId="22" xfId="0" applyNumberFormat="1" applyFont="1" applyFill="1" applyBorder="1" applyAlignment="1" applyProtection="1">
      <alignment horizontal="center" vertical="center"/>
    </xf>
    <xf numFmtId="166" fontId="0" fillId="0" borderId="22" xfId="0" applyNumberFormat="1" applyBorder="1" applyAlignment="1" applyProtection="1">
      <alignment horizontal="left" vertical="center" indent="1"/>
    </xf>
    <xf numFmtId="166" fontId="0" fillId="0" borderId="27" xfId="0" applyNumberFormat="1" applyBorder="1" applyAlignment="1" applyProtection="1">
      <alignment horizontal="left" vertical="center" indent="1"/>
    </xf>
    <xf numFmtId="166" fontId="0" fillId="0" borderId="22" xfId="0" applyNumberFormat="1" applyBorder="1" applyAlignment="1" applyProtection="1">
      <alignment horizontal="center" vertical="center"/>
    </xf>
    <xf numFmtId="167" fontId="0" fillId="0" borderId="15" xfId="0" applyNumberFormat="1" applyBorder="1" applyAlignment="1" applyProtection="1">
      <alignment horizontal="center" vertical="center"/>
    </xf>
    <xf numFmtId="167" fontId="0" fillId="0" borderId="0" xfId="0" applyNumberFormat="1" applyAlignment="1" applyProtection="1">
      <alignment horizontal="center" vertical="center"/>
    </xf>
    <xf numFmtId="167" fontId="0" fillId="0" borderId="16" xfId="0" applyNumberFormat="1" applyBorder="1" applyAlignment="1" applyProtection="1">
      <alignment horizontal="center" vertical="center"/>
    </xf>
    <xf numFmtId="3" fontId="0" fillId="0" borderId="0" xfId="0" applyNumberFormat="1" applyBorder="1" applyAlignment="1" applyProtection="1">
      <alignment horizontal="right" vertical="center" wrapText="1"/>
    </xf>
    <xf numFmtId="3" fontId="0" fillId="0" borderId="0" xfId="0" quotePrefix="1" applyNumberFormat="1" applyBorder="1" applyAlignment="1" applyProtection="1">
      <alignment horizontal="right" vertical="center" wrapText="1"/>
    </xf>
    <xf numFmtId="3" fontId="0" fillId="0" borderId="20" xfId="0" applyNumberFormat="1" applyBorder="1" applyAlignment="1" applyProtection="1">
      <alignment horizontal="right"/>
    </xf>
    <xf numFmtId="3" fontId="0" fillId="0" borderId="25" xfId="0" applyNumberFormat="1" applyBorder="1" applyAlignment="1" applyProtection="1">
      <alignment horizontal="right"/>
    </xf>
    <xf numFmtId="11" fontId="0" fillId="0" borderId="15" xfId="0" applyNumberFormat="1" applyBorder="1" applyAlignment="1" applyProtection="1">
      <alignment horizontal="center" vertical="center"/>
    </xf>
    <xf numFmtId="11"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3" fontId="0" fillId="0" borderId="15" xfId="0" applyNumberFormat="1" applyBorder="1" applyAlignment="1" applyProtection="1">
      <alignment horizontal="right"/>
    </xf>
    <xf numFmtId="3" fontId="0" fillId="0" borderId="0" xfId="0" applyNumberFormat="1" applyBorder="1" applyAlignment="1" applyProtection="1">
      <alignment horizontal="right"/>
    </xf>
    <xf numFmtId="3" fontId="0" fillId="0" borderId="16" xfId="0" applyNumberFormat="1" applyBorder="1" applyAlignment="1" applyProtection="1">
      <alignment horizontal="right"/>
    </xf>
    <xf numFmtId="0" fontId="5" fillId="0" borderId="12" xfId="0" applyFont="1" applyBorder="1" applyAlignment="1" applyProtection="1">
      <alignment horizontal="center" vertical="center"/>
    </xf>
    <xf numFmtId="11" fontId="0" fillId="0" borderId="24" xfId="0" applyNumberFormat="1" applyBorder="1" applyAlignment="1" applyProtection="1">
      <alignment horizontal="center" vertical="center"/>
    </xf>
    <xf numFmtId="11" fontId="0" fillId="0" borderId="12" xfId="0" applyNumberFormat="1" applyBorder="1" applyAlignment="1" applyProtection="1">
      <alignment horizontal="center" vertical="center"/>
    </xf>
    <xf numFmtId="166" fontId="0" fillId="0" borderId="12" xfId="0" applyNumberFormat="1" applyBorder="1" applyAlignment="1" applyProtection="1">
      <alignment horizontal="center" vertical="center"/>
    </xf>
    <xf numFmtId="0" fontId="0" fillId="0" borderId="12" xfId="0" applyBorder="1" applyAlignment="1" applyProtection="1">
      <alignment horizontal="center" vertical="center"/>
    </xf>
    <xf numFmtId="11" fontId="0" fillId="0" borderId="16" xfId="0" applyNumberFormat="1" applyBorder="1" applyAlignment="1" applyProtection="1">
      <alignment horizontal="center" vertical="center"/>
    </xf>
    <xf numFmtId="11" fontId="0" fillId="0" borderId="26" xfId="0" applyNumberFormat="1" applyBorder="1" applyAlignment="1" applyProtection="1">
      <alignment horizontal="center" vertical="center"/>
    </xf>
    <xf numFmtId="0" fontId="3" fillId="0" borderId="58" xfId="0" applyFont="1" applyBorder="1" applyAlignment="1" applyProtection="1">
      <alignment horizontal="center" vertical="center" wrapText="1"/>
    </xf>
    <xf numFmtId="0" fontId="3" fillId="0" borderId="57" xfId="0" applyFont="1" applyBorder="1" applyAlignment="1" applyProtection="1">
      <alignment horizontal="center" vertical="center" wrapText="1"/>
    </xf>
    <xf numFmtId="0" fontId="5" fillId="0" borderId="22" xfId="0" applyFont="1" applyBorder="1" applyAlignment="1" applyProtection="1">
      <alignment horizontal="center" vertical="center"/>
    </xf>
    <xf numFmtId="1" fontId="5" fillId="0" borderId="1" xfId="0" applyNumberFormat="1" applyFont="1" applyBorder="1" applyAlignment="1" applyProtection="1">
      <alignment horizontal="center" vertical="center"/>
    </xf>
    <xf numFmtId="167" fontId="0" fillId="0" borderId="20" xfId="0" applyNumberFormat="1" applyBorder="1" applyAlignment="1" applyProtection="1">
      <alignment horizontal="center" vertical="center"/>
    </xf>
    <xf numFmtId="167" fontId="0" fillId="0" borderId="25" xfId="0" applyNumberFormat="1" applyBorder="1" applyAlignment="1" applyProtection="1">
      <alignment horizontal="center" vertical="center"/>
    </xf>
    <xf numFmtId="167" fontId="0" fillId="0" borderId="21" xfId="0" applyNumberFormat="1" applyBorder="1" applyAlignment="1" applyProtection="1">
      <alignment horizontal="center" vertical="center"/>
    </xf>
    <xf numFmtId="0" fontId="5" fillId="4" borderId="0" xfId="0" applyFont="1" applyFill="1" applyAlignment="1" applyProtection="1">
      <alignment horizontal="center" vertical="center"/>
    </xf>
    <xf numFmtId="11" fontId="0" fillId="0" borderId="76" xfId="0" applyNumberFormat="1" applyBorder="1" applyAlignment="1" applyProtection="1">
      <alignment horizontal="center"/>
    </xf>
    <xf numFmtId="166" fontId="0" fillId="0" borderId="15" xfId="0" applyNumberFormat="1" applyBorder="1" applyAlignment="1" applyProtection="1">
      <alignment horizontal="center" vertical="center"/>
    </xf>
    <xf numFmtId="11" fontId="0" fillId="0" borderId="61" xfId="0" applyNumberFormat="1" applyBorder="1" applyAlignment="1" applyProtection="1">
      <alignment horizontal="center" vertical="center"/>
    </xf>
    <xf numFmtId="11" fontId="9" fillId="0" borderId="1" xfId="0" applyNumberFormat="1" applyFont="1" applyBorder="1" applyAlignment="1" applyProtection="1">
      <alignment horizontal="center"/>
    </xf>
    <xf numFmtId="11" fontId="0" fillId="0" borderId="1" xfId="0" applyNumberFormat="1" applyBorder="1" applyAlignment="1" applyProtection="1">
      <alignment horizontal="center"/>
    </xf>
    <xf numFmtId="11" fontId="9" fillId="0" borderId="4" xfId="0" applyNumberFormat="1" applyFont="1" applyBorder="1" applyAlignment="1" applyProtection="1">
      <alignment horizontal="center"/>
    </xf>
    <xf numFmtId="2" fontId="0" fillId="0" borderId="15" xfId="0" applyNumberFormat="1" applyBorder="1" applyAlignment="1" applyProtection="1">
      <alignment horizontal="center" vertical="center"/>
    </xf>
    <xf numFmtId="0" fontId="3" fillId="0" borderId="77"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3" fontId="0" fillId="0" borderId="17" xfId="0" applyNumberFormat="1" applyBorder="1" applyAlignment="1" applyProtection="1">
      <alignment horizontal="right"/>
    </xf>
    <xf numFmtId="3" fontId="0" fillId="0" borderId="18" xfId="0" applyNumberFormat="1" applyBorder="1" applyAlignment="1" applyProtection="1">
      <alignment horizontal="right"/>
    </xf>
    <xf numFmtId="11" fontId="0" fillId="0" borderId="0" xfId="0" applyNumberFormat="1" applyProtection="1"/>
    <xf numFmtId="0" fontId="3" fillId="11" borderId="79" xfId="0" applyFont="1" applyFill="1" applyBorder="1" applyAlignment="1" applyProtection="1">
      <alignment vertical="center"/>
    </xf>
    <xf numFmtId="0" fontId="3" fillId="11" borderId="78" xfId="0" applyFont="1" applyFill="1" applyBorder="1" applyAlignment="1" applyProtection="1">
      <alignment vertical="center"/>
    </xf>
    <xf numFmtId="0" fontId="0" fillId="11" borderId="59" xfId="0" applyFill="1" applyBorder="1" applyProtection="1"/>
    <xf numFmtId="0" fontId="0" fillId="0" borderId="0" xfId="0" applyFill="1" applyAlignment="1" applyProtection="1">
      <alignment horizontal="center"/>
    </xf>
    <xf numFmtId="0" fontId="3" fillId="0" borderId="1" xfId="0" applyFont="1" applyBorder="1" applyAlignment="1" applyProtection="1">
      <alignment horizontal="left" vertical="center"/>
    </xf>
    <xf numFmtId="0" fontId="0" fillId="0" borderId="0" xfId="0" applyFill="1" applyBorder="1" applyProtection="1"/>
    <xf numFmtId="0" fontId="0" fillId="0" borderId="0" xfId="0" applyFill="1" applyBorder="1" applyAlignment="1" applyProtection="1">
      <alignment horizontal="center"/>
    </xf>
    <xf numFmtId="0" fontId="3" fillId="0" borderId="0"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xf>
    <xf numFmtId="2" fontId="0" fillId="0" borderId="0" xfId="0" applyNumberFormat="1" applyFill="1" applyBorder="1" applyAlignment="1" applyProtection="1">
      <alignment horizontal="center" vertical="center"/>
    </xf>
    <xf numFmtId="11" fontId="0" fillId="0" borderId="0" xfId="0" applyNumberFormat="1" applyFill="1" applyBorder="1" applyAlignment="1" applyProtection="1">
      <alignment horizontal="center" vertical="center"/>
    </xf>
    <xf numFmtId="11" fontId="0" fillId="0" borderId="0" xfId="0" applyNumberFormat="1" applyFill="1" applyAlignment="1" applyProtection="1">
      <alignment horizontal="center"/>
    </xf>
    <xf numFmtId="0" fontId="0" fillId="0" borderId="0" xfId="0" applyBorder="1" applyProtection="1"/>
    <xf numFmtId="11" fontId="0" fillId="0" borderId="0" xfId="0" applyNumberFormat="1" applyBorder="1" applyAlignment="1" applyProtection="1">
      <alignment vertical="center"/>
    </xf>
    <xf numFmtId="0" fontId="0" fillId="0" borderId="0" xfId="0" applyBorder="1" applyAlignment="1" applyProtection="1">
      <alignment horizontal="center"/>
    </xf>
    <xf numFmtId="0" fontId="14" fillId="23" borderId="0" xfId="0" applyFont="1" applyFill="1" applyProtection="1"/>
    <xf numFmtId="0" fontId="0" fillId="23" borderId="0" xfId="0" applyFill="1" applyProtection="1"/>
    <xf numFmtId="0" fontId="3" fillId="0" borderId="20" xfId="0" applyFont="1" applyBorder="1" applyProtection="1"/>
    <xf numFmtId="0" fontId="3" fillId="0" borderId="25" xfId="0" applyFont="1" applyBorder="1" applyProtection="1"/>
    <xf numFmtId="0" fontId="0" fillId="0" borderId="17" xfId="0" applyBorder="1" applyProtection="1"/>
    <xf numFmtId="0" fontId="0" fillId="0" borderId="18" xfId="0" applyBorder="1" applyAlignment="1" applyProtection="1">
      <alignment horizontal="center"/>
    </xf>
    <xf numFmtId="0" fontId="0" fillId="0" borderId="25" xfId="0" applyBorder="1" applyAlignment="1" applyProtection="1">
      <alignment horizontal="center"/>
    </xf>
    <xf numFmtId="0" fontId="0" fillId="0" borderId="21" xfId="0" applyBorder="1" applyAlignment="1" applyProtection="1">
      <alignment horizontal="center"/>
    </xf>
    <xf numFmtId="0" fontId="0" fillId="0" borderId="19" xfId="0" applyBorder="1" applyAlignment="1" applyProtection="1">
      <alignment horizontal="center"/>
    </xf>
    <xf numFmtId="0" fontId="0" fillId="0" borderId="20" xfId="0" applyBorder="1" applyAlignment="1" applyProtection="1">
      <alignment horizontal="center"/>
    </xf>
    <xf numFmtId="0" fontId="0" fillId="0" borderId="15" xfId="0" applyBorder="1" applyAlignment="1" applyProtection="1">
      <alignment horizontal="center"/>
    </xf>
    <xf numFmtId="0" fontId="0" fillId="0" borderId="17" xfId="0" applyBorder="1" applyAlignment="1" applyProtection="1">
      <alignment horizontal="center"/>
    </xf>
    <xf numFmtId="0" fontId="20" fillId="0" borderId="0" xfId="0" applyFont="1" applyAlignment="1" applyProtection="1">
      <alignment horizontal="center"/>
    </xf>
    <xf numFmtId="2" fontId="3" fillId="0" borderId="0" xfId="0" applyNumberFormat="1" applyFont="1" applyAlignment="1" applyProtection="1">
      <alignment horizontal="center"/>
    </xf>
    <xf numFmtId="0" fontId="0" fillId="0" borderId="14" xfId="0" applyBorder="1" applyAlignment="1" applyProtection="1">
      <alignment horizontal="center"/>
    </xf>
    <xf numFmtId="0" fontId="0" fillId="0" borderId="9" xfId="0" applyBorder="1" applyAlignment="1" applyProtection="1">
      <alignment horizontal="center"/>
    </xf>
    <xf numFmtId="11" fontId="0" fillId="0" borderId="14" xfId="0" applyNumberFormat="1" applyBorder="1" applyProtection="1"/>
    <xf numFmtId="11" fontId="0" fillId="0" borderId="74" xfId="0" applyNumberFormat="1" applyBorder="1" applyProtection="1"/>
    <xf numFmtId="11" fontId="0" fillId="0" borderId="14" xfId="0" applyNumberFormat="1" applyBorder="1" applyAlignment="1" applyProtection="1">
      <alignment horizontal="center"/>
    </xf>
    <xf numFmtId="3" fontId="0" fillId="0" borderId="25" xfId="0" quotePrefix="1" applyNumberFormat="1" applyBorder="1" applyAlignment="1" applyProtection="1">
      <alignment horizontal="right" vertical="center" wrapText="1"/>
    </xf>
    <xf numFmtId="3" fontId="0" fillId="0" borderId="21" xfId="0" quotePrefix="1" applyNumberFormat="1" applyBorder="1" applyAlignment="1" applyProtection="1">
      <alignment horizontal="right" vertical="center" wrapText="1"/>
    </xf>
    <xf numFmtId="3" fontId="0" fillId="0" borderId="16" xfId="0" quotePrefix="1" applyNumberFormat="1" applyBorder="1" applyAlignment="1" applyProtection="1">
      <alignment horizontal="right" vertical="center" wrapText="1"/>
    </xf>
    <xf numFmtId="3" fontId="0" fillId="0" borderId="15" xfId="0" quotePrefix="1" applyNumberFormat="1" applyBorder="1" applyAlignment="1" applyProtection="1">
      <alignment horizontal="right" vertical="center" wrapText="1"/>
    </xf>
    <xf numFmtId="3" fontId="0" fillId="0" borderId="18" xfId="0" quotePrefix="1" applyNumberFormat="1" applyBorder="1" applyAlignment="1" applyProtection="1">
      <alignment horizontal="right" vertical="center" wrapText="1"/>
    </xf>
    <xf numFmtId="3" fontId="0" fillId="0" borderId="19" xfId="0" quotePrefix="1" applyNumberFormat="1" applyBorder="1" applyAlignment="1" applyProtection="1">
      <alignment horizontal="right" vertical="center" wrapText="1"/>
    </xf>
    <xf numFmtId="3" fontId="0" fillId="0" borderId="20" xfId="0" applyNumberFormat="1" applyBorder="1" applyAlignment="1" applyProtection="1">
      <alignment horizontal="right" vertical="center" wrapText="1"/>
    </xf>
    <xf numFmtId="3" fontId="0" fillId="0" borderId="25" xfId="0" applyNumberFormat="1" applyBorder="1" applyAlignment="1" applyProtection="1">
      <alignment horizontal="right" vertical="center" wrapText="1"/>
    </xf>
    <xf numFmtId="3" fontId="0" fillId="0" borderId="15" xfId="0" applyNumberFormat="1" applyBorder="1" applyAlignment="1" applyProtection="1">
      <alignment horizontal="right" vertical="center" wrapText="1"/>
    </xf>
    <xf numFmtId="3" fontId="0" fillId="0" borderId="16" xfId="0" applyNumberFormat="1" applyBorder="1" applyAlignment="1" applyProtection="1">
      <alignment horizontal="right" vertical="center" wrapText="1"/>
    </xf>
    <xf numFmtId="3" fontId="0" fillId="0" borderId="17" xfId="0" applyNumberFormat="1" applyBorder="1" applyAlignment="1" applyProtection="1">
      <alignment horizontal="right" vertical="center" wrapText="1"/>
    </xf>
    <xf numFmtId="3" fontId="0" fillId="0" borderId="18" xfId="0" applyNumberFormat="1" applyBorder="1" applyAlignment="1" applyProtection="1">
      <alignment horizontal="right" vertical="center" wrapText="1"/>
    </xf>
    <xf numFmtId="0" fontId="0" fillId="3" borderId="1" xfId="0" applyFill="1" applyBorder="1" applyAlignment="1" applyProtection="1">
      <alignment vertical="top" wrapText="1"/>
    </xf>
    <xf numFmtId="0" fontId="5" fillId="3" borderId="1" xfId="0" applyFont="1" applyFill="1" applyBorder="1" applyAlignment="1" applyProtection="1">
      <alignment vertical="top" wrapText="1"/>
    </xf>
    <xf numFmtId="0" fontId="0" fillId="0" borderId="1" xfId="0" applyBorder="1" applyAlignment="1" applyProtection="1">
      <alignment horizontal="left" wrapText="1"/>
    </xf>
    <xf numFmtId="0" fontId="0" fillId="3" borderId="1" xfId="0"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43"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67" fillId="0" borderId="1"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62" xfId="0" applyFont="1" applyBorder="1" applyAlignment="1" applyProtection="1">
      <alignment vertical="center" wrapText="1"/>
    </xf>
    <xf numFmtId="0" fontId="5" fillId="0" borderId="56" xfId="0" applyFont="1" applyBorder="1" applyAlignment="1" applyProtection="1">
      <alignment vertical="center" wrapText="1"/>
    </xf>
    <xf numFmtId="0" fontId="5" fillId="0" borderId="25" xfId="0" applyFont="1" applyBorder="1" applyAlignment="1" applyProtection="1">
      <alignment vertical="center" wrapText="1"/>
    </xf>
    <xf numFmtId="0" fontId="5" fillId="0" borderId="18" xfId="0" applyFont="1" applyBorder="1" applyAlignment="1" applyProtection="1">
      <alignment vertical="center" wrapText="1"/>
    </xf>
    <xf numFmtId="0" fontId="24" fillId="0" borderId="56" xfId="0" applyFont="1" applyBorder="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vertical="center" wrapText="1"/>
    </xf>
    <xf numFmtId="0" fontId="3" fillId="0" borderId="0" xfId="0" applyFont="1" applyAlignment="1" applyProtection="1">
      <alignment horizontal="center" vertical="center" wrapText="1"/>
    </xf>
    <xf numFmtId="0" fontId="0" fillId="0" borderId="2" xfId="0" applyBorder="1" applyAlignment="1" applyProtection="1">
      <alignment horizontal="center" vertical="center"/>
    </xf>
    <xf numFmtId="0" fontId="26" fillId="15" borderId="1" xfId="0" applyFont="1" applyFill="1" applyBorder="1" applyAlignment="1" applyProtection="1">
      <alignment horizontal="center" vertical="center" wrapText="1"/>
    </xf>
    <xf numFmtId="0" fontId="0" fillId="0" borderId="1" xfId="0" applyBorder="1" applyAlignment="1" applyProtection="1">
      <alignment horizontal="left" vertical="top" wrapText="1"/>
    </xf>
    <xf numFmtId="0" fontId="3" fillId="15" borderId="1" xfId="0" applyFont="1" applyFill="1" applyBorder="1" applyAlignment="1" applyProtection="1">
      <alignment horizontal="center" vertical="center" wrapText="1"/>
    </xf>
    <xf numFmtId="0" fontId="22" fillId="15" borderId="1"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xf>
    <xf numFmtId="2" fontId="0" fillId="0" borderId="1" xfId="0" applyNumberFormat="1" applyBorder="1" applyAlignment="1" applyProtection="1">
      <alignment horizontal="center" vertical="center"/>
    </xf>
    <xf numFmtId="0" fontId="0" fillId="0" borderId="1" xfId="0" applyBorder="1" applyAlignment="1" applyProtection="1">
      <alignment horizontal="left" vertical="top"/>
    </xf>
    <xf numFmtId="2" fontId="0" fillId="0" borderId="0" xfId="0" applyNumberFormat="1" applyAlignment="1" applyProtection="1">
      <alignment horizontal="center"/>
    </xf>
    <xf numFmtId="0" fontId="0" fillId="0" borderId="0" xfId="0" applyAlignment="1" applyProtection="1">
      <alignment horizontal="center"/>
    </xf>
    <xf numFmtId="0" fontId="0" fillId="0" borderId="1" xfId="0" applyBorder="1" applyAlignment="1" applyProtection="1">
      <alignment horizontal="center" vertical="center" wrapText="1"/>
    </xf>
    <xf numFmtId="0" fontId="5" fillId="0" borderId="11" xfId="0" applyFont="1" applyBorder="1" applyAlignment="1" applyProtection="1">
      <alignment horizontal="right" vertical="center" wrapText="1"/>
    </xf>
    <xf numFmtId="0" fontId="5" fillId="0" borderId="13" xfId="0" applyFont="1" applyBorder="1" applyAlignment="1" applyProtection="1">
      <alignment horizontal="right" vertical="center" wrapText="1"/>
    </xf>
    <xf numFmtId="0" fontId="5" fillId="8" borderId="9" xfId="0" applyFont="1" applyFill="1" applyBorder="1" applyAlignment="1" applyProtection="1">
      <alignment horizontal="center" vertical="center" wrapText="1"/>
    </xf>
    <xf numFmtId="0" fontId="16" fillId="10" borderId="9" xfId="0" applyFont="1" applyFill="1" applyBorder="1" applyAlignment="1" applyProtection="1">
      <alignment horizontal="right" vertical="center" wrapText="1"/>
    </xf>
    <xf numFmtId="0" fontId="43" fillId="0" borderId="31" xfId="0" applyFont="1" applyBorder="1" applyAlignment="1" applyProtection="1">
      <alignment horizontal="center" vertical="center" wrapText="1"/>
    </xf>
    <xf numFmtId="0" fontId="43" fillId="0" borderId="30" xfId="0" applyFont="1" applyBorder="1" applyAlignment="1" applyProtection="1">
      <alignment horizontal="center" vertical="center" wrapText="1"/>
    </xf>
    <xf numFmtId="0" fontId="43" fillId="0" borderId="32" xfId="0" applyFont="1" applyBorder="1" applyAlignment="1" applyProtection="1">
      <alignment horizontal="center" vertical="center" wrapText="1"/>
    </xf>
    <xf numFmtId="0" fontId="16" fillId="10" borderId="8" xfId="0" applyFont="1" applyFill="1" applyBorder="1" applyAlignment="1" applyProtection="1">
      <alignment horizontal="center" vertical="center" wrapText="1"/>
    </xf>
    <xf numFmtId="0" fontId="5" fillId="8" borderId="1" xfId="0" applyFont="1" applyFill="1" applyBorder="1" applyAlignment="1" applyProtection="1">
      <alignment horizontal="left" vertical="center"/>
    </xf>
    <xf numFmtId="0" fontId="0" fillId="8" borderId="1" xfId="0" applyFill="1" applyBorder="1" applyAlignment="1" applyProtection="1">
      <alignment horizontal="center" vertical="center"/>
    </xf>
    <xf numFmtId="0" fontId="43" fillId="0" borderId="16" xfId="0" applyFont="1" applyBorder="1" applyAlignment="1" applyProtection="1">
      <alignment horizontal="center" vertical="center" wrapText="1"/>
    </xf>
    <xf numFmtId="0" fontId="43" fillId="0" borderId="19" xfId="0" applyFont="1" applyBorder="1" applyAlignment="1" applyProtection="1">
      <alignment horizontal="center" vertical="center" wrapText="1"/>
    </xf>
    <xf numFmtId="165" fontId="43" fillId="0" borderId="32" xfId="0" applyNumberFormat="1" applyFont="1" applyBorder="1" applyAlignment="1" applyProtection="1">
      <alignment horizontal="center" vertical="center" wrapText="1"/>
    </xf>
    <xf numFmtId="0" fontId="43" fillId="0" borderId="1" xfId="0" applyFont="1" applyBorder="1" applyAlignment="1" applyProtection="1">
      <alignment horizontal="center" vertical="center" wrapText="1"/>
    </xf>
    <xf numFmtId="0" fontId="0" fillId="0" borderId="0" xfId="0" applyAlignment="1" applyProtection="1">
      <alignment horizontal="center" vertical="center"/>
    </xf>
    <xf numFmtId="0" fontId="16" fillId="0" borderId="0" xfId="0" applyFont="1" applyAlignment="1" applyProtection="1">
      <alignment horizontal="center" vertical="center" wrapText="1"/>
    </xf>
    <xf numFmtId="0" fontId="3" fillId="0" borderId="0" xfId="0" applyFont="1" applyAlignment="1" applyProtection="1">
      <alignment horizontal="center"/>
    </xf>
    <xf numFmtId="0" fontId="0" fillId="0" borderId="21" xfId="0" applyBorder="1" applyAlignment="1" applyProtection="1">
      <alignment horizontal="center" wrapText="1"/>
    </xf>
    <xf numFmtId="0" fontId="0" fillId="0" borderId="0" xfId="0" applyAlignment="1" applyProtection="1">
      <alignment horizontal="center" wrapText="1"/>
    </xf>
    <xf numFmtId="0" fontId="0" fillId="0" borderId="16" xfId="0" applyBorder="1" applyAlignment="1" applyProtection="1">
      <alignment horizontal="center" wrapText="1"/>
    </xf>
    <xf numFmtId="0" fontId="57" fillId="9" borderId="0" xfId="0" applyFont="1" applyFill="1" applyAlignment="1" applyProtection="1">
      <alignment horizontal="center" vertical="center" wrapText="1"/>
    </xf>
    <xf numFmtId="49" fontId="58" fillId="9" borderId="0" xfId="0" quotePrefix="1" applyNumberFormat="1" applyFont="1" applyFill="1" applyAlignment="1" applyProtection="1">
      <alignment horizontal="center"/>
    </xf>
    <xf numFmtId="0" fontId="0" fillId="0" borderId="0" xfId="0" applyAlignment="1" applyProtection="1">
      <alignment horizontal="left" vertical="center" wrapText="1"/>
    </xf>
    <xf numFmtId="0" fontId="0" fillId="0" borderId="0" xfId="0" applyAlignment="1" applyProtection="1">
      <alignment horizontal="center" vertical="top" wrapText="1"/>
    </xf>
    <xf numFmtId="0" fontId="0" fillId="0" borderId="0" xfId="0" applyAlignment="1" applyProtection="1">
      <alignment horizontal="center" vertical="center" wrapText="1"/>
    </xf>
    <xf numFmtId="0" fontId="54" fillId="0" borderId="15" xfId="0" applyFont="1" applyBorder="1" applyAlignment="1" applyProtection="1">
      <alignment wrapText="1"/>
    </xf>
    <xf numFmtId="0" fontId="0" fillId="0" borderId="0" xfId="0" applyAlignment="1" applyProtection="1">
      <alignment wrapText="1"/>
    </xf>
    <xf numFmtId="0" fontId="0" fillId="0" borderId="16" xfId="0" applyBorder="1" applyAlignment="1" applyProtection="1">
      <alignment wrapText="1"/>
    </xf>
    <xf numFmtId="0" fontId="0" fillId="0" borderId="15" xfId="0" applyBorder="1" applyAlignment="1" applyProtection="1">
      <alignment wrapText="1"/>
    </xf>
    <xf numFmtId="0" fontId="0" fillId="0" borderId="15" xfId="0" applyBorder="1" applyAlignment="1" applyProtection="1">
      <alignment horizontal="left" vertical="top" wrapText="1"/>
    </xf>
    <xf numFmtId="0" fontId="0" fillId="0" borderId="15" xfId="0" applyBorder="1" applyAlignment="1" applyProtection="1">
      <alignment vertical="top" wrapText="1"/>
    </xf>
    <xf numFmtId="0" fontId="3" fillId="6" borderId="0" xfId="0" applyFont="1" applyFill="1" applyAlignment="1" applyProtection="1">
      <alignment horizontal="center" vertical="center" wrapText="1"/>
    </xf>
    <xf numFmtId="0" fontId="23" fillId="0" borderId="63" xfId="0" applyFont="1" applyBorder="1" applyAlignment="1" applyProtection="1">
      <alignment horizontal="center" vertical="center" wrapText="1"/>
    </xf>
    <xf numFmtId="0" fontId="23" fillId="0" borderId="64" xfId="0" applyFont="1" applyBorder="1" applyAlignment="1" applyProtection="1">
      <alignment horizontal="center" vertical="center" wrapText="1"/>
    </xf>
    <xf numFmtId="0" fontId="5" fillId="0" borderId="63"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23" fillId="0" borderId="62"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56" xfId="0" applyFont="1" applyBorder="1" applyAlignment="1" applyProtection="1">
      <alignment vertical="center" wrapText="1"/>
    </xf>
    <xf numFmtId="0" fontId="24" fillId="0" borderId="62" xfId="0" applyFont="1" applyBorder="1" applyAlignment="1" applyProtection="1">
      <alignment vertical="center" wrapText="1"/>
    </xf>
    <xf numFmtId="0" fontId="24" fillId="0" borderId="1" xfId="0" applyFont="1" applyBorder="1" applyAlignment="1" applyProtection="1">
      <alignment vertical="center" wrapText="1"/>
    </xf>
    <xf numFmtId="0" fontId="24" fillId="0" borderId="56" xfId="0" applyFont="1" applyBorder="1" applyAlignment="1" applyProtection="1">
      <alignment vertical="center" wrapText="1"/>
    </xf>
    <xf numFmtId="0" fontId="5" fillId="0" borderId="6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56" xfId="0" applyFont="1" applyBorder="1" applyAlignment="1" applyProtection="1">
      <alignment vertical="center" wrapText="1"/>
    </xf>
    <xf numFmtId="0" fontId="69" fillId="0" borderId="71" xfId="0" applyFont="1" applyBorder="1" applyAlignment="1" applyProtection="1">
      <alignment horizontal="center" vertical="center" wrapText="1"/>
    </xf>
    <xf numFmtId="0" fontId="69" fillId="0" borderId="72" xfId="0" applyFont="1" applyBorder="1" applyAlignment="1" applyProtection="1">
      <alignment horizontal="center" vertical="center" wrapText="1"/>
    </xf>
    <xf numFmtId="0" fontId="69" fillId="0" borderId="73"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5" xfId="0" applyFont="1" applyBorder="1" applyAlignment="1" applyProtection="1">
      <alignment vertical="center" wrapText="1"/>
    </xf>
    <xf numFmtId="0" fontId="5" fillId="0" borderId="18" xfId="0" applyFont="1" applyBorder="1" applyAlignment="1" applyProtection="1">
      <alignment vertical="center" wrapText="1"/>
    </xf>
    <xf numFmtId="0" fontId="49" fillId="0" borderId="71" xfId="0" applyFont="1" applyBorder="1" applyAlignment="1" applyProtection="1">
      <alignment horizontal="center" vertical="center" wrapText="1"/>
    </xf>
    <xf numFmtId="0" fontId="49" fillId="0" borderId="72" xfId="0" applyFont="1" applyBorder="1" applyAlignment="1" applyProtection="1">
      <alignment horizontal="center" vertical="center" wrapText="1"/>
    </xf>
    <xf numFmtId="0" fontId="49" fillId="0" borderId="7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71"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2" fontId="14" fillId="0" borderId="22" xfId="0" applyNumberFormat="1" applyFont="1" applyBorder="1" applyAlignment="1" applyProtection="1">
      <alignment horizontal="center" vertical="center" wrapText="1"/>
    </xf>
    <xf numFmtId="2" fontId="14" fillId="0" borderId="8" xfId="0" applyNumberFormat="1"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5" xfId="0" applyFont="1" applyBorder="1" applyAlignment="1" applyProtection="1">
      <alignment horizontal="center" vertical="center" wrapText="1"/>
    </xf>
    <xf numFmtId="0" fontId="43" fillId="0" borderId="3"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3" xfId="0" applyFont="1" applyBorder="1" applyAlignment="1" applyProtection="1">
      <alignment horizontal="center" vertical="center" wrapText="1"/>
    </xf>
    <xf numFmtId="0" fontId="67" fillId="0" borderId="1" xfId="0" applyFont="1" applyBorder="1" applyAlignment="1" applyProtection="1">
      <alignment horizontal="center" vertical="center" wrapText="1"/>
    </xf>
    <xf numFmtId="0" fontId="5" fillId="0" borderId="1" xfId="0" applyFont="1" applyBorder="1" applyAlignment="1" applyProtection="1">
      <alignment vertical="center"/>
    </xf>
    <xf numFmtId="0" fontId="43" fillId="0" borderId="72" xfId="0" applyFont="1" applyBorder="1" applyAlignment="1" applyProtection="1">
      <alignment horizontal="center" vertical="center" wrapText="1"/>
    </xf>
    <xf numFmtId="0" fontId="67" fillId="0" borderId="2" xfId="0" applyFont="1" applyBorder="1" applyAlignment="1" applyProtection="1">
      <alignment horizontal="center" vertical="center" wrapText="1"/>
    </xf>
    <xf numFmtId="0" fontId="67" fillId="0" borderId="5" xfId="0" applyFont="1" applyBorder="1" applyAlignment="1" applyProtection="1">
      <alignment horizontal="center" vertical="center" wrapText="1"/>
    </xf>
    <xf numFmtId="0" fontId="67" fillId="0" borderId="3"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22" fillId="15" borderId="1" xfId="0" applyFont="1" applyFill="1" applyBorder="1" applyAlignment="1" applyProtection="1">
      <alignment horizontal="center" vertical="center"/>
    </xf>
    <xf numFmtId="49" fontId="24" fillId="0" borderId="2" xfId="0" applyNumberFormat="1" applyFont="1" applyBorder="1" applyAlignment="1" applyProtection="1">
      <alignment horizontal="center" vertical="center" wrapText="1"/>
    </xf>
    <xf numFmtId="49" fontId="24" fillId="0" borderId="5" xfId="0" applyNumberFormat="1" applyFont="1" applyBorder="1" applyAlignment="1" applyProtection="1">
      <alignment horizontal="center" vertical="center" wrapText="1"/>
    </xf>
    <xf numFmtId="49" fontId="24" fillId="0" borderId="3" xfId="0" applyNumberFormat="1" applyFont="1" applyBorder="1" applyAlignment="1" applyProtection="1">
      <alignment horizontal="center" vertical="center" wrapText="1"/>
    </xf>
    <xf numFmtId="49" fontId="24" fillId="0" borderId="1" xfId="0" applyNumberFormat="1"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2" fontId="0" fillId="0" borderId="1" xfId="0" applyNumberFormat="1" applyBorder="1" applyAlignment="1" applyProtection="1">
      <alignment horizontal="center" vertical="center"/>
    </xf>
    <xf numFmtId="0" fontId="0" fillId="0" borderId="1" xfId="0" applyBorder="1" applyAlignment="1" applyProtection="1">
      <alignment horizontal="left" vertical="top" wrapText="1"/>
    </xf>
    <xf numFmtId="0" fontId="0" fillId="0" borderId="1" xfId="0" applyBorder="1" applyAlignment="1" applyProtection="1">
      <alignment horizontal="left" vertical="top"/>
    </xf>
    <xf numFmtId="49" fontId="23" fillId="0" borderId="2" xfId="0" applyNumberFormat="1" applyFont="1" applyBorder="1" applyAlignment="1" applyProtection="1">
      <alignment horizontal="center" vertical="center" wrapText="1"/>
    </xf>
    <xf numFmtId="49" fontId="23" fillId="0" borderId="5" xfId="0" applyNumberFormat="1" applyFont="1" applyBorder="1" applyAlignment="1" applyProtection="1">
      <alignment horizontal="center" vertical="center" wrapText="1"/>
    </xf>
    <xf numFmtId="49" fontId="23" fillId="0" borderId="3" xfId="0" applyNumberFormat="1"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23" fillId="0" borderId="2"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6" fillId="15" borderId="4" xfId="0" applyFont="1" applyFill="1" applyBorder="1" applyAlignment="1" applyProtection="1">
      <alignment horizontal="center" vertical="center"/>
    </xf>
    <xf numFmtId="0" fontId="26" fillId="15" borderId="6" xfId="0" applyFont="1" applyFill="1" applyBorder="1" applyAlignment="1" applyProtection="1">
      <alignment horizontal="center" vertical="center"/>
    </xf>
    <xf numFmtId="0" fontId="26" fillId="15" borderId="7" xfId="0" applyFont="1" applyFill="1" applyBorder="1" applyAlignment="1" applyProtection="1">
      <alignment horizontal="center" vertical="center"/>
    </xf>
    <xf numFmtId="49" fontId="22" fillId="15" borderId="2" xfId="0" applyNumberFormat="1" applyFont="1" applyFill="1" applyBorder="1" applyAlignment="1" applyProtection="1">
      <alignment horizontal="center" vertical="center" wrapText="1"/>
    </xf>
    <xf numFmtId="49" fontId="22" fillId="15" borderId="3" xfId="0" applyNumberFormat="1" applyFont="1" applyFill="1" applyBorder="1" applyAlignment="1" applyProtection="1">
      <alignment horizontal="center" vertical="center" wrapText="1"/>
    </xf>
    <xf numFmtId="0" fontId="22" fillId="15" borderId="4" xfId="0" applyFont="1" applyFill="1" applyBorder="1" applyAlignment="1" applyProtection="1">
      <alignment horizontal="center" vertical="center"/>
    </xf>
    <xf numFmtId="0" fontId="22" fillId="15" borderId="6" xfId="0" applyFont="1" applyFill="1" applyBorder="1" applyAlignment="1" applyProtection="1">
      <alignment horizontal="center" vertical="center"/>
    </xf>
    <xf numFmtId="0" fontId="22" fillId="15" borderId="7" xfId="0" applyFont="1" applyFill="1" applyBorder="1" applyAlignment="1" applyProtection="1">
      <alignment horizontal="center" vertical="center"/>
    </xf>
    <xf numFmtId="49" fontId="24" fillId="0" borderId="33" xfId="0" applyNumberFormat="1" applyFont="1" applyBorder="1" applyAlignment="1" applyProtection="1">
      <alignment horizontal="center" vertical="center" wrapText="1"/>
    </xf>
    <xf numFmtId="0" fontId="3" fillId="15" borderId="1"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6" fillId="15" borderId="2" xfId="0" applyFont="1" applyFill="1" applyBorder="1" applyAlignment="1" applyProtection="1">
      <alignment vertical="center"/>
    </xf>
    <xf numFmtId="0" fontId="26" fillId="15" borderId="3" xfId="0" applyFont="1" applyFill="1" applyBorder="1" applyAlignment="1" applyProtection="1">
      <alignment vertical="center"/>
    </xf>
    <xf numFmtId="0" fontId="26" fillId="15" borderId="2" xfId="0" applyFont="1" applyFill="1" applyBorder="1" applyAlignment="1" applyProtection="1">
      <alignment vertical="center" wrapText="1"/>
    </xf>
    <xf numFmtId="0" fontId="26" fillId="15" borderId="3" xfId="0" applyFont="1" applyFill="1" applyBorder="1" applyAlignment="1" applyProtection="1">
      <alignment vertical="center" wrapText="1"/>
    </xf>
    <xf numFmtId="0" fontId="22" fillId="15" borderId="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26" fillId="0" borderId="0" xfId="0" applyFont="1" applyAlignment="1" applyProtection="1">
      <alignment horizontal="center" vertical="center"/>
    </xf>
    <xf numFmtId="0" fontId="22" fillId="15" borderId="4" xfId="0" applyFont="1" applyFill="1" applyBorder="1" applyAlignment="1" applyProtection="1">
      <alignment horizontal="center" vertical="center" wrapText="1"/>
    </xf>
    <xf numFmtId="0" fontId="22" fillId="15" borderId="6" xfId="0" applyFont="1" applyFill="1" applyBorder="1" applyAlignment="1" applyProtection="1">
      <alignment horizontal="center" vertical="center" wrapText="1"/>
    </xf>
    <xf numFmtId="0" fontId="22" fillId="15" borderId="7" xfId="0" applyFont="1" applyFill="1" applyBorder="1" applyAlignment="1" applyProtection="1">
      <alignment horizontal="center" vertical="center" wrapText="1"/>
    </xf>
    <xf numFmtId="0" fontId="26" fillId="15" borderId="1" xfId="0" applyFont="1" applyFill="1" applyBorder="1" applyAlignment="1" applyProtection="1">
      <alignment horizontal="center" vertical="center" wrapText="1"/>
    </xf>
    <xf numFmtId="0" fontId="26" fillId="15" borderId="1" xfId="0" applyFont="1" applyFill="1" applyBorder="1" applyAlignment="1" applyProtection="1">
      <alignment horizontal="center" vertical="center"/>
    </xf>
    <xf numFmtId="0" fontId="0" fillId="0" borderId="4" xfId="0" applyBorder="1" applyAlignment="1" applyProtection="1">
      <alignment horizontal="center" vertical="top"/>
    </xf>
    <xf numFmtId="0" fontId="0" fillId="0" borderId="6" xfId="0" applyBorder="1" applyAlignment="1" applyProtection="1">
      <alignment horizontal="center" vertical="top"/>
    </xf>
    <xf numFmtId="0" fontId="0" fillId="0" borderId="7" xfId="0" applyBorder="1" applyAlignment="1" applyProtection="1">
      <alignment horizontal="center" vertical="top"/>
    </xf>
    <xf numFmtId="0" fontId="11" fillId="0" borderId="1" xfId="1" applyFill="1" applyBorder="1" applyAlignment="1" applyProtection="1">
      <alignment horizontal="left" vertical="top" wrapText="1"/>
    </xf>
    <xf numFmtId="0" fontId="3" fillId="15" borderId="1" xfId="0" applyFont="1" applyFill="1" applyBorder="1" applyAlignment="1" applyProtection="1">
      <alignment horizontal="left" vertical="top"/>
    </xf>
    <xf numFmtId="0" fontId="11" fillId="0" borderId="1" xfId="1" applyBorder="1" applyAlignment="1" applyProtection="1">
      <alignment horizontal="left" vertical="top" wrapText="1"/>
    </xf>
    <xf numFmtId="0" fontId="11" fillId="0" borderId="1" xfId="1" applyBorder="1" applyAlignment="1" applyProtection="1">
      <alignment horizontal="left" vertical="top"/>
    </xf>
    <xf numFmtId="0" fontId="3" fillId="15" borderId="1" xfId="0" applyFont="1" applyFill="1" applyBorder="1" applyAlignment="1" applyProtection="1">
      <alignment horizontal="center" vertical="top" wrapText="1"/>
    </xf>
    <xf numFmtId="0" fontId="26" fillId="0" borderId="0" xfId="0" applyFont="1" applyAlignment="1" applyProtection="1">
      <alignment vertical="center"/>
    </xf>
    <xf numFmtId="0" fontId="26" fillId="0" borderId="0" xfId="0" applyFont="1" applyAlignment="1" applyProtection="1">
      <alignment vertical="center" wrapText="1"/>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8" borderId="2" xfId="0" applyFill="1" applyBorder="1" applyAlignment="1" applyProtection="1">
      <alignment horizontal="center" vertical="center"/>
    </xf>
    <xf numFmtId="0" fontId="0" fillId="8" borderId="5" xfId="0" applyFill="1" applyBorder="1" applyAlignment="1" applyProtection="1">
      <alignment horizontal="center" vertical="center"/>
    </xf>
    <xf numFmtId="0" fontId="0" fillId="8" borderId="3" xfId="0" applyFill="1" applyBorder="1" applyAlignment="1" applyProtection="1">
      <alignment horizontal="center" vertical="center"/>
    </xf>
    <xf numFmtId="0" fontId="16" fillId="10" borderId="14" xfId="0" applyFont="1" applyFill="1" applyBorder="1" applyAlignment="1" applyProtection="1">
      <alignment horizontal="right" vertical="center" wrapText="1"/>
    </xf>
    <xf numFmtId="0" fontId="16" fillId="10" borderId="9" xfId="0" applyFont="1" applyFill="1" applyBorder="1" applyAlignment="1" applyProtection="1">
      <alignment horizontal="right" vertical="center" wrapText="1"/>
    </xf>
    <xf numFmtId="0" fontId="5" fillId="0" borderId="11" xfId="0" applyFont="1" applyBorder="1" applyAlignment="1" applyProtection="1">
      <alignment horizontal="right" vertical="center" wrapText="1"/>
    </xf>
    <xf numFmtId="0" fontId="5" fillId="0" borderId="13" xfId="0" applyFont="1" applyBorder="1" applyAlignment="1" applyProtection="1">
      <alignment horizontal="right" vertical="center" wrapText="1"/>
    </xf>
    <xf numFmtId="0" fontId="5" fillId="8" borderId="10" xfId="0" applyFont="1" applyFill="1" applyBorder="1" applyAlignment="1" applyProtection="1">
      <alignment horizontal="right" vertical="center" wrapText="1"/>
    </xf>
    <xf numFmtId="0" fontId="5" fillId="8" borderId="14" xfId="0" applyFont="1" applyFill="1" applyBorder="1" applyAlignment="1" applyProtection="1">
      <alignment horizontal="right" vertical="center" wrapText="1"/>
    </xf>
    <xf numFmtId="0" fontId="5" fillId="8" borderId="8"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0" fillId="8" borderId="2" xfId="0" applyFill="1" applyBorder="1" applyAlignment="1" applyProtection="1">
      <alignment vertical="top"/>
    </xf>
    <xf numFmtId="0" fontId="0" fillId="8" borderId="5" xfId="0" applyFill="1" applyBorder="1" applyAlignment="1" applyProtection="1">
      <alignment vertical="top"/>
    </xf>
    <xf numFmtId="0" fontId="0" fillId="8" borderId="3" xfId="0" applyFill="1" applyBorder="1" applyAlignment="1" applyProtection="1">
      <alignment vertical="top"/>
    </xf>
    <xf numFmtId="0" fontId="0" fillId="0" borderId="1" xfId="0" applyBorder="1" applyAlignment="1" applyProtection="1">
      <alignment horizontal="center" vertical="center" wrapText="1"/>
    </xf>
    <xf numFmtId="0" fontId="0" fillId="0" borderId="0" xfId="0" applyAlignment="1" applyProtection="1">
      <alignment horizontal="center"/>
    </xf>
    <xf numFmtId="165" fontId="0" fillId="0" borderId="0" xfId="0" applyNumberFormat="1" applyAlignment="1" applyProtection="1">
      <alignment horizontal="center"/>
    </xf>
    <xf numFmtId="2" fontId="0" fillId="0" borderId="0" xfId="0" applyNumberFormat="1" applyAlignment="1" applyProtection="1">
      <alignment horizontal="center"/>
    </xf>
    <xf numFmtId="169" fontId="0" fillId="0" borderId="0" xfId="0" applyNumberFormat="1" applyAlignment="1" applyProtection="1">
      <alignment horizontal="center"/>
    </xf>
    <xf numFmtId="11" fontId="43" fillId="0" borderId="32" xfId="0" applyNumberFormat="1" applyFont="1" applyBorder="1" applyAlignment="1" applyProtection="1">
      <alignment horizontal="center" vertical="center" wrapText="1"/>
    </xf>
    <xf numFmtId="11" fontId="43" fillId="0" borderId="31" xfId="0" applyNumberFormat="1" applyFont="1" applyBorder="1" applyAlignment="1" applyProtection="1">
      <alignment horizontal="center" vertical="center" wrapText="1"/>
    </xf>
    <xf numFmtId="11" fontId="43" fillId="0" borderId="30" xfId="0" applyNumberFormat="1" applyFont="1" applyBorder="1" applyAlignment="1" applyProtection="1">
      <alignment horizontal="center" vertical="center" wrapText="1"/>
    </xf>
    <xf numFmtId="0" fontId="43" fillId="0" borderId="32" xfId="0" applyFont="1" applyBorder="1" applyAlignment="1" applyProtection="1">
      <alignment horizontal="center" vertical="center" wrapText="1"/>
    </xf>
    <xf numFmtId="0" fontId="43" fillId="0" borderId="31" xfId="0" applyFont="1" applyBorder="1" applyAlignment="1" applyProtection="1">
      <alignment horizontal="center" vertical="center" wrapText="1"/>
    </xf>
    <xf numFmtId="0" fontId="43" fillId="0" borderId="30" xfId="0" applyFont="1" applyBorder="1" applyAlignment="1" applyProtection="1">
      <alignment horizontal="center" vertical="center" wrapText="1"/>
    </xf>
    <xf numFmtId="0" fontId="43" fillId="0" borderId="42" xfId="0" applyFont="1" applyBorder="1" applyAlignment="1" applyProtection="1">
      <alignment horizontal="center" vertical="center" wrapText="1"/>
    </xf>
    <xf numFmtId="0" fontId="43" fillId="0" borderId="1" xfId="0" applyFont="1" applyBorder="1" applyAlignment="1" applyProtection="1">
      <alignment horizontal="center" vertical="center" wrapText="1"/>
    </xf>
    <xf numFmtId="49" fontId="43" fillId="0" borderId="1" xfId="0" applyNumberFormat="1"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0" xfId="0" applyFont="1" applyAlignment="1" applyProtection="1">
      <alignment horizontal="left" vertical="center" wrapText="1"/>
    </xf>
    <xf numFmtId="1" fontId="43" fillId="0" borderId="1" xfId="0" applyNumberFormat="1" applyFont="1" applyBorder="1" applyAlignment="1" applyProtection="1">
      <alignment horizontal="center" vertical="center" wrapText="1"/>
    </xf>
    <xf numFmtId="2" fontId="43" fillId="0" borderId="2" xfId="0" applyNumberFormat="1" applyFont="1" applyBorder="1" applyAlignment="1" applyProtection="1">
      <alignment horizontal="center" vertical="center" wrapText="1"/>
    </xf>
    <xf numFmtId="2" fontId="43" fillId="0" borderId="5" xfId="0" applyNumberFormat="1" applyFont="1" applyBorder="1" applyAlignment="1" applyProtection="1">
      <alignment horizontal="center" vertical="center" wrapText="1"/>
    </xf>
    <xf numFmtId="2" fontId="43" fillId="0" borderId="3" xfId="0" applyNumberFormat="1" applyFont="1" applyBorder="1" applyAlignment="1" applyProtection="1">
      <alignment horizontal="center" vertical="center" wrapText="1"/>
    </xf>
    <xf numFmtId="165" fontId="43" fillId="0" borderId="2" xfId="0" applyNumberFormat="1" applyFont="1" applyBorder="1" applyAlignment="1" applyProtection="1">
      <alignment horizontal="center" vertical="center" wrapText="1"/>
    </xf>
    <xf numFmtId="165" fontId="43" fillId="0" borderId="5" xfId="0" applyNumberFormat="1" applyFont="1" applyBorder="1" applyAlignment="1" applyProtection="1">
      <alignment horizontal="center" vertical="center" wrapText="1"/>
    </xf>
    <xf numFmtId="165" fontId="43" fillId="0" borderId="3" xfId="0" applyNumberFormat="1" applyFont="1" applyBorder="1" applyAlignment="1" applyProtection="1">
      <alignment horizontal="center" vertical="center" wrapText="1"/>
    </xf>
    <xf numFmtId="0" fontId="43" fillId="0" borderId="2" xfId="0" applyFont="1" applyBorder="1" applyAlignment="1" applyProtection="1">
      <alignment horizontal="center" vertical="center"/>
    </xf>
    <xf numFmtId="0" fontId="43" fillId="0" borderId="5" xfId="0" applyFont="1" applyBorder="1" applyAlignment="1" applyProtection="1">
      <alignment horizontal="center" vertical="center"/>
    </xf>
    <xf numFmtId="0" fontId="43" fillId="0" borderId="3" xfId="0" applyFont="1" applyBorder="1" applyAlignment="1" applyProtection="1">
      <alignment horizontal="center" vertical="center"/>
    </xf>
    <xf numFmtId="1" fontId="43" fillId="0" borderId="32" xfId="0" applyNumberFormat="1" applyFont="1" applyBorder="1" applyAlignment="1" applyProtection="1">
      <alignment horizontal="center" vertical="center" wrapText="1"/>
    </xf>
    <xf numFmtId="1" fontId="43" fillId="0" borderId="31" xfId="0" applyNumberFormat="1" applyFont="1" applyBorder="1" applyAlignment="1" applyProtection="1">
      <alignment horizontal="center" vertical="center" wrapText="1"/>
    </xf>
    <xf numFmtId="0" fontId="43" fillId="0" borderId="20" xfId="0" applyFont="1" applyBorder="1" applyAlignment="1" applyProtection="1">
      <alignment horizontal="center" vertical="center" wrapText="1"/>
    </xf>
    <xf numFmtId="0" fontId="43" fillId="0" borderId="15" xfId="0" applyFont="1" applyBorder="1" applyAlignment="1" applyProtection="1">
      <alignment horizontal="center" vertical="center" wrapText="1"/>
    </xf>
    <xf numFmtId="0" fontId="43" fillId="0" borderId="21"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3" fillId="0" borderId="43" xfId="0" applyFont="1" applyBorder="1" applyAlignment="1" applyProtection="1">
      <alignment horizontal="center" vertical="center" wrapText="1"/>
    </xf>
    <xf numFmtId="0" fontId="43" fillId="0" borderId="19" xfId="0" applyFont="1" applyBorder="1" applyAlignment="1" applyProtection="1">
      <alignment horizontal="center" vertical="center" wrapText="1"/>
    </xf>
    <xf numFmtId="1" fontId="43" fillId="0" borderId="30" xfId="0" applyNumberFormat="1" applyFont="1" applyBorder="1" applyAlignment="1" applyProtection="1">
      <alignment horizontal="center" vertical="center" wrapText="1"/>
    </xf>
    <xf numFmtId="0" fontId="43" fillId="0" borderId="17" xfId="0" applyFont="1" applyBorder="1" applyAlignment="1" applyProtection="1">
      <alignment horizontal="center" vertical="center" wrapText="1"/>
    </xf>
    <xf numFmtId="165" fontId="43" fillId="0" borderId="32" xfId="0" applyNumberFormat="1" applyFont="1" applyBorder="1" applyAlignment="1" applyProtection="1">
      <alignment horizontal="center" vertical="center" wrapText="1"/>
    </xf>
    <xf numFmtId="165" fontId="43" fillId="0" borderId="31" xfId="0" applyNumberFormat="1" applyFont="1" applyBorder="1" applyAlignment="1" applyProtection="1">
      <alignment horizontal="center" vertical="center" wrapText="1"/>
    </xf>
    <xf numFmtId="165" fontId="43" fillId="0" borderId="30" xfId="0" applyNumberFormat="1" applyFont="1" applyBorder="1" applyAlignment="1" applyProtection="1">
      <alignment horizontal="center" vertical="center" wrapText="1"/>
    </xf>
    <xf numFmtId="49" fontId="43" fillId="0" borderId="32" xfId="0" applyNumberFormat="1" applyFont="1" applyBorder="1" applyAlignment="1" applyProtection="1">
      <alignment horizontal="center" vertical="center" wrapText="1"/>
    </xf>
    <xf numFmtId="49" fontId="43" fillId="0" borderId="31" xfId="0" applyNumberFormat="1" applyFont="1" applyBorder="1" applyAlignment="1" applyProtection="1">
      <alignment horizontal="center" vertical="center" wrapText="1"/>
    </xf>
    <xf numFmtId="49" fontId="43" fillId="0" borderId="30" xfId="0" applyNumberFormat="1" applyFont="1" applyBorder="1" applyAlignment="1" applyProtection="1">
      <alignment horizontal="center" vertical="center" wrapText="1"/>
    </xf>
    <xf numFmtId="0" fontId="5" fillId="8" borderId="2" xfId="0" applyFont="1" applyFill="1" applyBorder="1" applyAlignment="1" applyProtection="1">
      <alignment horizontal="left" vertical="center"/>
    </xf>
    <xf numFmtId="0" fontId="5" fillId="8" borderId="5" xfId="0" applyFont="1" applyFill="1" applyBorder="1" applyAlignment="1" applyProtection="1">
      <alignment horizontal="left" vertical="center"/>
    </xf>
    <xf numFmtId="0" fontId="5" fillId="8" borderId="3" xfId="0" applyFont="1" applyFill="1" applyBorder="1" applyAlignment="1" applyProtection="1">
      <alignment horizontal="left" vertical="center"/>
    </xf>
    <xf numFmtId="0" fontId="0" fillId="8" borderId="5" xfId="0" applyFill="1" applyBorder="1" applyAlignment="1" applyProtection="1">
      <alignment horizontal="left" vertical="center"/>
    </xf>
    <xf numFmtId="0" fontId="0" fillId="8" borderId="3" xfId="0" applyFill="1" applyBorder="1" applyAlignment="1" applyProtection="1">
      <alignment horizontal="left" vertical="center"/>
    </xf>
    <xf numFmtId="0" fontId="16" fillId="10" borderId="11" xfId="0" applyFont="1" applyFill="1" applyBorder="1" applyAlignment="1" applyProtection="1">
      <alignment horizontal="right" vertical="center" wrapText="1"/>
    </xf>
    <xf numFmtId="0" fontId="16" fillId="10" borderId="12" xfId="0" applyFont="1" applyFill="1" applyBorder="1" applyAlignment="1" applyProtection="1">
      <alignment horizontal="right" vertical="center" wrapText="1"/>
    </xf>
    <xf numFmtId="0" fontId="16" fillId="10" borderId="13" xfId="0" applyFont="1" applyFill="1" applyBorder="1" applyAlignment="1" applyProtection="1">
      <alignment horizontal="right" vertical="center" wrapText="1"/>
    </xf>
    <xf numFmtId="0" fontId="5" fillId="8" borderId="1" xfId="0" applyFont="1" applyFill="1" applyBorder="1" applyAlignment="1" applyProtection="1">
      <alignment horizontal="left" vertical="center"/>
    </xf>
    <xf numFmtId="0" fontId="0" fillId="8" borderId="1" xfId="0" applyFill="1" applyBorder="1" applyAlignment="1" applyProtection="1">
      <alignment horizontal="center" vertical="center"/>
    </xf>
    <xf numFmtId="0" fontId="16" fillId="10" borderId="10" xfId="0" applyFont="1" applyFill="1" applyBorder="1" applyAlignment="1" applyProtection="1">
      <alignment horizontal="center" vertical="center" wrapText="1"/>
    </xf>
    <xf numFmtId="0" fontId="16" fillId="10" borderId="8" xfId="0" applyFont="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170" fontId="0" fillId="0" borderId="0" xfId="0" applyNumberFormat="1" applyAlignment="1" applyProtection="1">
      <alignment horizontal="center"/>
    </xf>
    <xf numFmtId="0" fontId="16" fillId="10" borderId="14" xfId="0" applyFont="1" applyFill="1" applyBorder="1" applyAlignment="1" applyProtection="1">
      <alignment horizontal="right" vertical="center"/>
    </xf>
    <xf numFmtId="0" fontId="16" fillId="10" borderId="0" xfId="0" applyFont="1" applyFill="1" applyAlignment="1" applyProtection="1">
      <alignment horizontal="right" vertical="center"/>
    </xf>
    <xf numFmtId="0" fontId="16" fillId="10" borderId="9" xfId="0" applyFont="1" applyFill="1" applyBorder="1" applyAlignment="1" applyProtection="1">
      <alignment horizontal="right" vertical="center"/>
    </xf>
    <xf numFmtId="0" fontId="43" fillId="0" borderId="25" xfId="0" applyFont="1" applyBorder="1" applyAlignment="1" applyProtection="1">
      <alignment horizontal="center" vertical="center" wrapText="1"/>
    </xf>
    <xf numFmtId="0" fontId="9" fillId="14" borderId="22" xfId="0" applyFont="1" applyFill="1" applyBorder="1" applyAlignment="1" applyProtection="1">
      <alignment horizontal="center" vertical="center" wrapText="1"/>
    </xf>
    <xf numFmtId="0" fontId="9" fillId="14" borderId="0" xfId="0" applyFont="1" applyFill="1" applyAlignment="1" applyProtection="1">
      <alignment horizontal="center" vertical="center" wrapText="1"/>
    </xf>
    <xf numFmtId="0" fontId="9" fillId="14" borderId="12" xfId="0" applyFont="1" applyFill="1" applyBorder="1" applyAlignment="1" applyProtection="1">
      <alignment horizontal="center" vertical="center" wrapText="1"/>
    </xf>
    <xf numFmtId="11" fontId="0" fillId="0" borderId="1" xfId="0" applyNumberFormat="1" applyBorder="1" applyAlignment="1" applyProtection="1">
      <alignment horizontal="center" vertical="center"/>
    </xf>
    <xf numFmtId="0" fontId="3" fillId="11" borderId="1" xfId="0" applyFont="1" applyFill="1" applyBorder="1" applyAlignment="1" applyProtection="1">
      <alignment horizontal="center" vertical="center"/>
    </xf>
    <xf numFmtId="0" fontId="9" fillId="8" borderId="22" xfId="0" applyFont="1" applyFill="1" applyBorder="1" applyAlignment="1" applyProtection="1">
      <alignment horizontal="center" vertical="center" wrapText="1"/>
    </xf>
    <xf numFmtId="0" fontId="9" fillId="8" borderId="0" xfId="0" applyFont="1" applyFill="1" applyAlignment="1" applyProtection="1">
      <alignment horizontal="center" vertical="center" wrapText="1"/>
    </xf>
    <xf numFmtId="0" fontId="9" fillId="8" borderId="12" xfId="0" applyFont="1" applyFill="1" applyBorder="1" applyAlignment="1" applyProtection="1">
      <alignment horizontal="center" vertical="center" wrapText="1"/>
    </xf>
    <xf numFmtId="0" fontId="3" fillId="11" borderId="1" xfId="0" applyFont="1" applyFill="1" applyBorder="1" applyAlignment="1" applyProtection="1">
      <alignment horizontal="left" vertical="center"/>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8" borderId="23" xfId="0" applyFont="1" applyFill="1" applyBorder="1" applyAlignment="1" applyProtection="1">
      <alignment horizontal="center" vertical="center" wrapText="1"/>
    </xf>
    <xf numFmtId="0" fontId="3" fillId="8" borderId="22" xfId="0" applyFont="1" applyFill="1" applyBorder="1" applyAlignment="1" applyProtection="1">
      <alignment horizontal="center" vertical="center" wrapText="1"/>
    </xf>
    <xf numFmtId="0" fontId="3" fillId="8" borderId="27"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0" xfId="0" applyFont="1" applyFill="1" applyAlignment="1" applyProtection="1">
      <alignment horizontal="center" vertical="center" wrapText="1"/>
    </xf>
    <xf numFmtId="0" fontId="9" fillId="4" borderId="12" xfId="0" applyFont="1" applyFill="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7"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3" fillId="20" borderId="37" xfId="0" applyFont="1" applyFill="1" applyBorder="1" applyAlignment="1" applyProtection="1">
      <alignment horizontal="center" vertical="center" wrapText="1"/>
    </xf>
    <xf numFmtId="0" fontId="3" fillId="20" borderId="36" xfId="0" applyFont="1" applyFill="1" applyBorder="1" applyAlignment="1" applyProtection="1">
      <alignment horizontal="center" vertical="center" wrapText="1"/>
    </xf>
    <xf numFmtId="0" fontId="3" fillId="20" borderId="35" xfId="0" applyFont="1" applyFill="1" applyBorder="1" applyAlignment="1" applyProtection="1">
      <alignment horizontal="center" vertical="center" wrapText="1"/>
    </xf>
    <xf numFmtId="0" fontId="0" fillId="0" borderId="0" xfId="0" applyAlignment="1" applyProtection="1">
      <alignment horizontal="center" vertical="center"/>
    </xf>
    <xf numFmtId="0" fontId="3" fillId="0" borderId="8" xfId="0" applyFont="1" applyBorder="1" applyAlignment="1" applyProtection="1">
      <alignment horizontal="center" vertical="center" wrapText="1"/>
    </xf>
    <xf numFmtId="0" fontId="3" fillId="0" borderId="18" xfId="0" applyFont="1" applyBorder="1" applyAlignment="1" applyProtection="1">
      <alignment horizontal="center" wrapText="1"/>
    </xf>
    <xf numFmtId="0" fontId="0" fillId="0" borderId="18" xfId="0" applyBorder="1" applyAlignment="1" applyProtection="1">
      <alignment horizontal="center" wrapText="1"/>
    </xf>
    <xf numFmtId="0" fontId="14" fillId="23" borderId="0" xfId="0" applyFont="1" applyFill="1" applyAlignment="1" applyProtection="1">
      <alignment horizontal="center" vertical="center"/>
    </xf>
    <xf numFmtId="0" fontId="20" fillId="23" borderId="0" xfId="0" applyFont="1" applyFill="1" applyAlignment="1" applyProtection="1">
      <alignment horizontal="center"/>
    </xf>
    <xf numFmtId="0" fontId="3" fillId="0" borderId="0" xfId="0" applyFont="1" applyAlignment="1" applyProtection="1">
      <alignment horizontal="center"/>
    </xf>
    <xf numFmtId="0" fontId="0" fillId="0" borderId="0" xfId="0" applyAlignment="1" applyProtection="1"/>
    <xf numFmtId="0" fontId="14" fillId="23" borderId="0" xfId="0" applyFont="1" applyFill="1" applyAlignment="1" applyProtection="1">
      <alignment horizontal="left" vertical="center"/>
    </xf>
    <xf numFmtId="0" fontId="20" fillId="23" borderId="0" xfId="0" applyFont="1" applyFill="1" applyAlignment="1" applyProtection="1">
      <alignment horizontal="left"/>
    </xf>
    <xf numFmtId="0" fontId="3" fillId="0" borderId="75" xfId="0" applyFont="1" applyBorder="1" applyAlignment="1" applyProtection="1">
      <alignment horizontal="center" wrapText="1"/>
    </xf>
    <xf numFmtId="0" fontId="0" fillId="0" borderId="25" xfId="0" applyBorder="1" applyAlignment="1" applyProtection="1">
      <alignment horizontal="center" wrapText="1"/>
    </xf>
    <xf numFmtId="0" fontId="0" fillId="0" borderId="68" xfId="0" applyBorder="1" applyAlignment="1" applyProtection="1">
      <alignment horizontal="center" wrapText="1"/>
    </xf>
    <xf numFmtId="0" fontId="0" fillId="0" borderId="21" xfId="0" applyBorder="1" applyAlignment="1" applyProtection="1">
      <alignment horizontal="center" wrapText="1"/>
    </xf>
    <xf numFmtId="0" fontId="3" fillId="0" borderId="14" xfId="0" applyFont="1" applyBorder="1" applyAlignment="1" applyProtection="1">
      <alignment horizontal="center" wrapText="1"/>
    </xf>
    <xf numFmtId="0" fontId="0" fillId="0" borderId="0" xfId="0" applyAlignment="1" applyProtection="1">
      <alignment horizontal="center" wrapText="1"/>
    </xf>
    <xf numFmtId="0" fontId="0" fillId="0" borderId="9" xfId="0" applyBorder="1" applyAlignment="1" applyProtection="1">
      <alignment horizontal="center" wrapText="1"/>
    </xf>
    <xf numFmtId="0" fontId="0" fillId="0" borderId="16" xfId="0" applyBorder="1" applyAlignment="1" applyProtection="1">
      <alignment horizontal="center" wrapText="1"/>
    </xf>
  </cellXfs>
  <cellStyles count="4">
    <cellStyle name="Hyperlink" xfId="1" builtinId="8"/>
    <cellStyle name="Normal" xfId="0" builtinId="0"/>
    <cellStyle name="Normal 2" xfId="3" xr:uid="{97E67D87-D62B-450F-950F-39B108235E96}"/>
    <cellStyle name="Normal 3" xfId="2" xr:uid="{D535AC2A-3A1E-42BC-A38C-69D1CA1EE69E}"/>
  </cellStyles>
  <dxfs count="2">
    <dxf>
      <font>
        <color rgb="FF9C0006"/>
      </font>
      <fill>
        <patternFill>
          <bgColor rgb="FFFFC7CE"/>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4</xdr:row>
      <xdr:rowOff>304800</xdr:rowOff>
    </xdr:from>
    <xdr:to>
      <xdr:col>4</xdr:col>
      <xdr:colOff>777875</xdr:colOff>
      <xdr:row>5</xdr:row>
      <xdr:rowOff>2730500</xdr:rowOff>
    </xdr:to>
    <xdr:pic>
      <xdr:nvPicPr>
        <xdr:cNvPr id="2" name="Picture 1" descr="The chemical structure of Benzyl butyl phthalate (C19H20O4) consists of a benzene ring connected to two ester groups, one attached to a butyl chain (C4H9) and the other to a benzyl group (CH2-C6H5).">
          <a:extLst>
            <a:ext uri="{FF2B5EF4-FFF2-40B4-BE49-F238E27FC236}">
              <a16:creationId xmlns:a16="http://schemas.microsoft.com/office/drawing/2014/main" id="{61660141-56F7-44E8-90FB-8B63305A2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325" y="1714500"/>
          <a:ext cx="2743200" cy="2749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17</xdr:row>
      <xdr:rowOff>104589</xdr:rowOff>
    </xdr:from>
    <xdr:to>
      <xdr:col>17</xdr:col>
      <xdr:colOff>559288</xdr:colOff>
      <xdr:row>19</xdr:row>
      <xdr:rowOff>53174</xdr:rowOff>
    </xdr:to>
    <xdr:pic>
      <xdr:nvPicPr>
        <xdr:cNvPr id="4" name="Picture 3">
          <a:extLst>
            <a:ext uri="{FF2B5EF4-FFF2-40B4-BE49-F238E27FC236}">
              <a16:creationId xmlns:a16="http://schemas.microsoft.com/office/drawing/2014/main" id="{93CDF9B6-8941-49C2-AC44-3E74DFD1B7DD}"/>
            </a:ext>
          </a:extLst>
        </xdr:cNvPr>
        <xdr:cNvPicPr>
          <a:picLocks noChangeAspect="1"/>
        </xdr:cNvPicPr>
      </xdr:nvPicPr>
      <xdr:blipFill>
        <a:blip xmlns:r="http://schemas.openxmlformats.org/officeDocument/2006/relationships" r:embed="rId1"/>
        <a:stretch>
          <a:fillRect/>
        </a:stretch>
      </xdr:blipFill>
      <xdr:spPr>
        <a:xfrm>
          <a:off x="13447059" y="3496236"/>
          <a:ext cx="5982935" cy="322114"/>
        </a:xfrm>
        <a:prstGeom prst="rect">
          <a:avLst/>
        </a:prstGeom>
      </xdr:spPr>
    </xdr:pic>
    <xdr:clientData/>
  </xdr:twoCellAnchor>
  <xdr:oneCellAnchor>
    <xdr:from>
      <xdr:col>6</xdr:col>
      <xdr:colOff>57150</xdr:colOff>
      <xdr:row>19</xdr:row>
      <xdr:rowOff>9525</xdr:rowOff>
    </xdr:from>
    <xdr:ext cx="5124450" cy="619125"/>
    <xdr:pic>
      <xdr:nvPicPr>
        <xdr:cNvPr id="5" name="Picture 4">
          <a:extLst>
            <a:ext uri="{FF2B5EF4-FFF2-40B4-BE49-F238E27FC236}">
              <a16:creationId xmlns:a16="http://schemas.microsoft.com/office/drawing/2014/main" id="{6DDC64C1-9B32-486E-A890-96320F123D2C}"/>
            </a:ext>
            <a:ext uri="{147F2762-F138-4A5C-976F-8EAC2B608ADB}">
              <a16:predDERef xmlns:a16="http://schemas.microsoft.com/office/drawing/2014/main" pred="{93CDF9B6-8941-49C2-AC44-3E74DFD1B7DD}"/>
            </a:ext>
          </a:extLst>
        </xdr:cNvPr>
        <xdr:cNvPicPr>
          <a:picLocks noChangeAspect="1"/>
        </xdr:cNvPicPr>
      </xdr:nvPicPr>
      <xdr:blipFill>
        <a:blip xmlns:r="http://schemas.openxmlformats.org/officeDocument/2006/relationships" r:embed="rId2"/>
        <a:stretch>
          <a:fillRect/>
        </a:stretch>
      </xdr:blipFill>
      <xdr:spPr>
        <a:xfrm>
          <a:off x="6972300" y="3676650"/>
          <a:ext cx="5124450" cy="619125"/>
        </a:xfrm>
        <a:prstGeom prst="rect">
          <a:avLst/>
        </a:prstGeom>
      </xdr:spPr>
    </xdr:pic>
    <xdr:clientData/>
  </xdr:oneCellAnchor>
  <xdr:oneCellAnchor>
    <xdr:from>
      <xdr:col>0</xdr:col>
      <xdr:colOff>0</xdr:colOff>
      <xdr:row>18</xdr:row>
      <xdr:rowOff>0</xdr:rowOff>
    </xdr:from>
    <xdr:ext cx="4051300" cy="629179"/>
    <xdr:pic>
      <xdr:nvPicPr>
        <xdr:cNvPr id="6" name="Picture 5">
          <a:extLst>
            <a:ext uri="{FF2B5EF4-FFF2-40B4-BE49-F238E27FC236}">
              <a16:creationId xmlns:a16="http://schemas.microsoft.com/office/drawing/2014/main" id="{5E83F517-7635-4FBD-AC42-222F0D4C3487}"/>
            </a:ext>
          </a:extLst>
        </xdr:cNvPr>
        <xdr:cNvPicPr>
          <a:picLocks noChangeAspect="1"/>
        </xdr:cNvPicPr>
      </xdr:nvPicPr>
      <xdr:blipFill>
        <a:blip xmlns:r="http://schemas.openxmlformats.org/officeDocument/2006/relationships" r:embed="rId3"/>
        <a:stretch>
          <a:fillRect/>
        </a:stretch>
      </xdr:blipFill>
      <xdr:spPr>
        <a:xfrm>
          <a:off x="0" y="3578412"/>
          <a:ext cx="4051300" cy="62917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571500</xdr:colOff>
      <xdr:row>26</xdr:row>
      <xdr:rowOff>10936</xdr:rowOff>
    </xdr:from>
    <xdr:to>
      <xdr:col>15</xdr:col>
      <xdr:colOff>145961</xdr:colOff>
      <xdr:row>41</xdr:row>
      <xdr:rowOff>56512</xdr:rowOff>
    </xdr:to>
    <xdr:pic>
      <xdr:nvPicPr>
        <xdr:cNvPr id="2" name="Picture 1" descr="A white rectangular table with black text&#10;&#10;Description automatically generated with medium confidence">
          <a:extLst>
            <a:ext uri="{FF2B5EF4-FFF2-40B4-BE49-F238E27FC236}">
              <a16:creationId xmlns:a16="http://schemas.microsoft.com/office/drawing/2014/main" id="{32858CD8-21F3-480D-BFDA-6A50BDE7E296}"/>
            </a:ext>
          </a:extLst>
        </xdr:cNvPr>
        <xdr:cNvPicPr>
          <a:picLocks noChangeAspect="1"/>
        </xdr:cNvPicPr>
      </xdr:nvPicPr>
      <xdr:blipFill>
        <a:blip xmlns:r="http://schemas.openxmlformats.org/officeDocument/2006/relationships" r:embed="rId1"/>
        <a:stretch>
          <a:fillRect/>
        </a:stretch>
      </xdr:blipFill>
      <xdr:spPr>
        <a:xfrm>
          <a:off x="9112250" y="6373636"/>
          <a:ext cx="6425138" cy="3258677"/>
        </a:xfrm>
        <a:prstGeom prst="rect">
          <a:avLst/>
        </a:prstGeom>
      </xdr:spPr>
    </xdr:pic>
    <xdr:clientData/>
  </xdr:twoCellAnchor>
  <xdr:twoCellAnchor editAs="oneCell">
    <xdr:from>
      <xdr:col>0</xdr:col>
      <xdr:colOff>95250</xdr:colOff>
      <xdr:row>68</xdr:row>
      <xdr:rowOff>33304</xdr:rowOff>
    </xdr:from>
    <xdr:to>
      <xdr:col>3</xdr:col>
      <xdr:colOff>266700</xdr:colOff>
      <xdr:row>81</xdr:row>
      <xdr:rowOff>2396</xdr:rowOff>
    </xdr:to>
    <xdr:pic>
      <xdr:nvPicPr>
        <xdr:cNvPr id="3" name="Picture 2" descr="A table with numbers and symbols&#10;&#10;Description automatically generated">
          <a:extLst>
            <a:ext uri="{FF2B5EF4-FFF2-40B4-BE49-F238E27FC236}">
              <a16:creationId xmlns:a16="http://schemas.microsoft.com/office/drawing/2014/main" id="{2DD99865-3A88-43E5-8898-EEC8F87EA907}"/>
            </a:ext>
          </a:extLst>
        </xdr:cNvPr>
        <xdr:cNvPicPr>
          <a:picLocks noChangeAspect="1"/>
        </xdr:cNvPicPr>
      </xdr:nvPicPr>
      <xdr:blipFill>
        <a:blip xmlns:r="http://schemas.openxmlformats.org/officeDocument/2006/relationships" r:embed="rId2"/>
        <a:stretch>
          <a:fillRect/>
        </a:stretch>
      </xdr:blipFill>
      <xdr:spPr>
        <a:xfrm>
          <a:off x="95250" y="20918454"/>
          <a:ext cx="3435350" cy="2354296"/>
        </a:xfrm>
        <a:prstGeom prst="rect">
          <a:avLst/>
        </a:prstGeom>
      </xdr:spPr>
    </xdr:pic>
    <xdr:clientData/>
  </xdr:twoCellAnchor>
  <xdr:twoCellAnchor editAs="oneCell">
    <xdr:from>
      <xdr:col>3</xdr:col>
      <xdr:colOff>768350</xdr:colOff>
      <xdr:row>68</xdr:row>
      <xdr:rowOff>81756</xdr:rowOff>
    </xdr:from>
    <xdr:to>
      <xdr:col>7</xdr:col>
      <xdr:colOff>615950</xdr:colOff>
      <xdr:row>80</xdr:row>
      <xdr:rowOff>164304</xdr:rowOff>
    </xdr:to>
    <xdr:pic>
      <xdr:nvPicPr>
        <xdr:cNvPr id="4" name="Picture 3" descr="A table with numbers and text&#10;&#10;Description automatically generated">
          <a:extLst>
            <a:ext uri="{FF2B5EF4-FFF2-40B4-BE49-F238E27FC236}">
              <a16:creationId xmlns:a16="http://schemas.microsoft.com/office/drawing/2014/main" id="{3470CFBA-F0F4-461B-A30F-642C97C5E7D1}"/>
            </a:ext>
          </a:extLst>
        </xdr:cNvPr>
        <xdr:cNvPicPr>
          <a:picLocks noChangeAspect="1"/>
        </xdr:cNvPicPr>
      </xdr:nvPicPr>
      <xdr:blipFill>
        <a:blip xmlns:r="http://schemas.openxmlformats.org/officeDocument/2006/relationships" r:embed="rId3"/>
        <a:stretch>
          <a:fillRect/>
        </a:stretch>
      </xdr:blipFill>
      <xdr:spPr>
        <a:xfrm>
          <a:off x="3575050" y="20966906"/>
          <a:ext cx="3657600" cy="2286000"/>
        </a:xfrm>
        <a:prstGeom prst="rect">
          <a:avLst/>
        </a:prstGeom>
      </xdr:spPr>
    </xdr:pic>
    <xdr:clientData/>
  </xdr:twoCellAnchor>
  <xdr:twoCellAnchor>
    <xdr:from>
      <xdr:col>8</xdr:col>
      <xdr:colOff>9525</xdr:colOff>
      <xdr:row>68</xdr:row>
      <xdr:rowOff>66675</xdr:rowOff>
    </xdr:from>
    <xdr:to>
      <xdr:col>10</xdr:col>
      <xdr:colOff>1524000</xdr:colOff>
      <xdr:row>80</xdr:row>
      <xdr:rowOff>171038</xdr:rowOff>
    </xdr:to>
    <xdr:grpSp>
      <xdr:nvGrpSpPr>
        <xdr:cNvPr id="5" name="Group 4">
          <a:extLst>
            <a:ext uri="{FF2B5EF4-FFF2-40B4-BE49-F238E27FC236}">
              <a16:creationId xmlns:a16="http://schemas.microsoft.com/office/drawing/2014/main" id="{BFC3D798-4EB4-4B2A-B1C3-5674784B4AA3}"/>
            </a:ext>
          </a:extLst>
        </xdr:cNvPr>
        <xdr:cNvGrpSpPr/>
      </xdr:nvGrpSpPr>
      <xdr:grpSpPr>
        <a:xfrm>
          <a:off x="7715250" y="14449425"/>
          <a:ext cx="2476500" cy="2390363"/>
          <a:chOff x="7480300" y="19183350"/>
          <a:chExt cx="5615874" cy="3834988"/>
        </a:xfrm>
      </xdr:grpSpPr>
      <xdr:pic>
        <xdr:nvPicPr>
          <xdr:cNvPr id="6" name="Picture 5">
            <a:extLst>
              <a:ext uri="{FF2B5EF4-FFF2-40B4-BE49-F238E27FC236}">
                <a16:creationId xmlns:a16="http://schemas.microsoft.com/office/drawing/2014/main" id="{EB3DA883-7F95-BCF4-514E-34ABE294677D}"/>
              </a:ext>
            </a:extLst>
          </xdr:cNvPr>
          <xdr:cNvPicPr>
            <a:picLocks noChangeAspect="1"/>
          </xdr:cNvPicPr>
        </xdr:nvPicPr>
        <xdr:blipFill>
          <a:blip xmlns:r="http://schemas.openxmlformats.org/officeDocument/2006/relationships" r:embed="rId4"/>
          <a:stretch>
            <a:fillRect/>
          </a:stretch>
        </xdr:blipFill>
        <xdr:spPr>
          <a:xfrm>
            <a:off x="7486650" y="19183350"/>
            <a:ext cx="5609524" cy="590476"/>
          </a:xfrm>
          <a:prstGeom prst="rect">
            <a:avLst/>
          </a:prstGeom>
        </xdr:spPr>
      </xdr:pic>
      <xdr:pic>
        <xdr:nvPicPr>
          <xdr:cNvPr id="7" name="Picture 6">
            <a:extLst>
              <a:ext uri="{FF2B5EF4-FFF2-40B4-BE49-F238E27FC236}">
                <a16:creationId xmlns:a16="http://schemas.microsoft.com/office/drawing/2014/main" id="{13221545-7F4C-AC30-7814-F64F29DA9BDE}"/>
              </a:ext>
            </a:extLst>
          </xdr:cNvPr>
          <xdr:cNvPicPr>
            <a:picLocks noChangeAspect="1"/>
          </xdr:cNvPicPr>
        </xdr:nvPicPr>
        <xdr:blipFill>
          <a:blip xmlns:r="http://schemas.openxmlformats.org/officeDocument/2006/relationships" r:embed="rId5"/>
          <a:stretch>
            <a:fillRect/>
          </a:stretch>
        </xdr:blipFill>
        <xdr:spPr>
          <a:xfrm>
            <a:off x="7480300" y="19723100"/>
            <a:ext cx="5542857" cy="3295238"/>
          </a:xfrm>
          <a:prstGeom prst="rect">
            <a:avLst/>
          </a:prstGeom>
        </xdr:spPr>
      </xdr:pic>
    </xdr:grpSp>
    <xdr:clientData/>
  </xdr:twoCellAnchor>
  <xdr:twoCellAnchor editAs="oneCell">
    <xdr:from>
      <xdr:col>7</xdr:col>
      <xdr:colOff>501650</xdr:colOff>
      <xdr:row>103</xdr:row>
      <xdr:rowOff>50800</xdr:rowOff>
    </xdr:from>
    <xdr:to>
      <xdr:col>12</xdr:col>
      <xdr:colOff>1725738</xdr:colOff>
      <xdr:row>111</xdr:row>
      <xdr:rowOff>149284</xdr:rowOff>
    </xdr:to>
    <xdr:pic>
      <xdr:nvPicPr>
        <xdr:cNvPr id="8" name="Picture 7" descr="A screenshot of a computer&#10;&#10;Description automatically generated">
          <a:extLst>
            <a:ext uri="{FF2B5EF4-FFF2-40B4-BE49-F238E27FC236}">
              <a16:creationId xmlns:a16="http://schemas.microsoft.com/office/drawing/2014/main" id="{853633C5-5B0A-4060-ADF8-2379D7D8BDC0}"/>
            </a:ext>
          </a:extLst>
        </xdr:cNvPr>
        <xdr:cNvPicPr>
          <a:picLocks noChangeAspect="1"/>
        </xdr:cNvPicPr>
      </xdr:nvPicPr>
      <xdr:blipFill>
        <a:blip xmlns:r="http://schemas.openxmlformats.org/officeDocument/2006/relationships" r:embed="rId6"/>
        <a:stretch>
          <a:fillRect/>
        </a:stretch>
      </xdr:blipFill>
      <xdr:spPr>
        <a:xfrm>
          <a:off x="7569200" y="32156400"/>
          <a:ext cx="6649151" cy="2873436"/>
        </a:xfrm>
        <a:prstGeom prst="rect">
          <a:avLst/>
        </a:prstGeom>
      </xdr:spPr>
    </xdr:pic>
    <xdr:clientData/>
  </xdr:twoCellAnchor>
  <xdr:twoCellAnchor editAs="oneCell">
    <xdr:from>
      <xdr:col>6</xdr:col>
      <xdr:colOff>508000</xdr:colOff>
      <xdr:row>112</xdr:row>
      <xdr:rowOff>152400</xdr:rowOff>
    </xdr:from>
    <xdr:to>
      <xdr:col>10</xdr:col>
      <xdr:colOff>378392</xdr:colOff>
      <xdr:row>125</xdr:row>
      <xdr:rowOff>68698</xdr:rowOff>
    </xdr:to>
    <xdr:pic>
      <xdr:nvPicPr>
        <xdr:cNvPr id="9" name="Picture 8" descr="A screenshot of a website&#10;&#10;Description automatically generated">
          <a:extLst>
            <a:ext uri="{FF2B5EF4-FFF2-40B4-BE49-F238E27FC236}">
              <a16:creationId xmlns:a16="http://schemas.microsoft.com/office/drawing/2014/main" id="{029D6CFC-F84A-4636-91E6-D924B3A58D1A}"/>
            </a:ext>
          </a:extLst>
        </xdr:cNvPr>
        <xdr:cNvPicPr>
          <a:picLocks noChangeAspect="1"/>
        </xdr:cNvPicPr>
      </xdr:nvPicPr>
      <xdr:blipFill>
        <a:blip xmlns:r="http://schemas.openxmlformats.org/officeDocument/2006/relationships" r:embed="rId7"/>
        <a:stretch>
          <a:fillRect/>
        </a:stretch>
      </xdr:blipFill>
      <xdr:spPr>
        <a:xfrm>
          <a:off x="6610350" y="34480500"/>
          <a:ext cx="3801042" cy="3250046"/>
        </a:xfrm>
        <a:prstGeom prst="rect">
          <a:avLst/>
        </a:prstGeom>
      </xdr:spPr>
    </xdr:pic>
    <xdr:clientData/>
  </xdr:twoCellAnchor>
  <xdr:twoCellAnchor editAs="oneCell">
    <xdr:from>
      <xdr:col>10</xdr:col>
      <xdr:colOff>793750</xdr:colOff>
      <xdr:row>112</xdr:row>
      <xdr:rowOff>127000</xdr:rowOff>
    </xdr:from>
    <xdr:to>
      <xdr:col>16</xdr:col>
      <xdr:colOff>579951</xdr:colOff>
      <xdr:row>124</xdr:row>
      <xdr:rowOff>35921</xdr:rowOff>
    </xdr:to>
    <xdr:pic>
      <xdr:nvPicPr>
        <xdr:cNvPr id="10" name="Picture 9" descr="A close-up of a document&#10;&#10;Description automatically generated">
          <a:extLst>
            <a:ext uri="{FF2B5EF4-FFF2-40B4-BE49-F238E27FC236}">
              <a16:creationId xmlns:a16="http://schemas.microsoft.com/office/drawing/2014/main" id="{5BB1CB64-1114-4578-A15A-565F5B65ED80}"/>
            </a:ext>
          </a:extLst>
        </xdr:cNvPr>
        <xdr:cNvPicPr>
          <a:picLocks noChangeAspect="1"/>
        </xdr:cNvPicPr>
      </xdr:nvPicPr>
      <xdr:blipFill>
        <a:blip xmlns:r="http://schemas.openxmlformats.org/officeDocument/2006/relationships" r:embed="rId8"/>
        <a:stretch>
          <a:fillRect/>
        </a:stretch>
      </xdr:blipFill>
      <xdr:spPr>
        <a:xfrm>
          <a:off x="10572750" y="34455100"/>
          <a:ext cx="6500907" cy="3064871"/>
        </a:xfrm>
        <a:prstGeom prst="rect">
          <a:avLst/>
        </a:prstGeom>
      </xdr:spPr>
    </xdr:pic>
    <xdr:clientData/>
  </xdr:twoCellAnchor>
  <xdr:oneCellAnchor>
    <xdr:from>
      <xdr:col>8</xdr:col>
      <xdr:colOff>558800</xdr:colOff>
      <xdr:row>86</xdr:row>
      <xdr:rowOff>298450</xdr:rowOff>
    </xdr:from>
    <xdr:ext cx="7261615" cy="2642819"/>
    <xdr:pic>
      <xdr:nvPicPr>
        <xdr:cNvPr id="11" name="Picture 10" descr="A screenshot of a computer&#10;&#10;Description automatically generated">
          <a:extLst>
            <a:ext uri="{FF2B5EF4-FFF2-40B4-BE49-F238E27FC236}">
              <a16:creationId xmlns:a16="http://schemas.microsoft.com/office/drawing/2014/main" id="{49A9AF56-E6D1-4C7D-8936-A30241F2D966}"/>
            </a:ext>
          </a:extLst>
        </xdr:cNvPr>
        <xdr:cNvPicPr>
          <a:picLocks noChangeAspect="1"/>
        </xdr:cNvPicPr>
      </xdr:nvPicPr>
      <xdr:blipFill>
        <a:blip xmlns:r="http://schemas.openxmlformats.org/officeDocument/2006/relationships" r:embed="rId9"/>
        <a:stretch>
          <a:fillRect/>
        </a:stretch>
      </xdr:blipFill>
      <xdr:spPr>
        <a:xfrm>
          <a:off x="8623300" y="19983450"/>
          <a:ext cx="7261615" cy="2642819"/>
        </a:xfrm>
        <a:prstGeom prst="rect">
          <a:avLst/>
        </a:prstGeom>
      </xdr:spPr>
    </xdr:pic>
    <xdr:clientData/>
  </xdr:oneCellAnchor>
  <xdr:oneCellAnchor>
    <xdr:from>
      <xdr:col>0</xdr:col>
      <xdr:colOff>19050</xdr:colOff>
      <xdr:row>144</xdr:row>
      <xdr:rowOff>171450</xdr:rowOff>
    </xdr:from>
    <xdr:ext cx="5272520" cy="4638635"/>
    <xdr:pic>
      <xdr:nvPicPr>
        <xdr:cNvPr id="14" name="Picture 11" descr="A table with numbers and letters&#10;&#10;Description automatically generated">
          <a:extLst>
            <a:ext uri="{FF2B5EF4-FFF2-40B4-BE49-F238E27FC236}">
              <a16:creationId xmlns:a16="http://schemas.microsoft.com/office/drawing/2014/main" id="{C08B76BC-9DD5-446D-BB4C-48862A72DB73}"/>
            </a:ext>
          </a:extLst>
        </xdr:cNvPr>
        <xdr:cNvPicPr>
          <a:picLocks noChangeAspect="1"/>
        </xdr:cNvPicPr>
      </xdr:nvPicPr>
      <xdr:blipFill>
        <a:blip xmlns:r="http://schemas.openxmlformats.org/officeDocument/2006/relationships" r:embed="rId10"/>
        <a:stretch>
          <a:fillRect/>
        </a:stretch>
      </xdr:blipFill>
      <xdr:spPr>
        <a:xfrm>
          <a:off x="19050" y="39833550"/>
          <a:ext cx="5272520" cy="4638635"/>
        </a:xfrm>
        <a:prstGeom prst="rect">
          <a:avLst/>
        </a:prstGeom>
      </xdr:spPr>
    </xdr:pic>
    <xdr:clientData/>
  </xdr:oneCellAnchor>
  <xdr:oneCellAnchor>
    <xdr:from>
      <xdr:col>5</xdr:col>
      <xdr:colOff>304800</xdr:colOff>
      <xdr:row>144</xdr:row>
      <xdr:rowOff>152400</xdr:rowOff>
    </xdr:from>
    <xdr:ext cx="5294430" cy="2330632"/>
    <xdr:pic>
      <xdr:nvPicPr>
        <xdr:cNvPr id="16" name="Picture 12" descr="A table with numbers and a few letters&#10;&#10;Description automatically generated with medium confidence">
          <a:extLst>
            <a:ext uri="{FF2B5EF4-FFF2-40B4-BE49-F238E27FC236}">
              <a16:creationId xmlns:a16="http://schemas.microsoft.com/office/drawing/2014/main" id="{7F8FB4F8-F66A-4572-8DA7-E2F99DD6CD2F}"/>
            </a:ext>
          </a:extLst>
        </xdr:cNvPr>
        <xdr:cNvPicPr>
          <a:picLocks noChangeAspect="1"/>
        </xdr:cNvPicPr>
      </xdr:nvPicPr>
      <xdr:blipFill>
        <a:blip xmlns:r="http://schemas.openxmlformats.org/officeDocument/2006/relationships" r:embed="rId11"/>
        <a:stretch>
          <a:fillRect/>
        </a:stretch>
      </xdr:blipFill>
      <xdr:spPr>
        <a:xfrm>
          <a:off x="5495925" y="39814500"/>
          <a:ext cx="5294430" cy="233063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165101</xdr:colOff>
      <xdr:row>33</xdr:row>
      <xdr:rowOff>100995</xdr:rowOff>
    </xdr:from>
    <xdr:to>
      <xdr:col>6</xdr:col>
      <xdr:colOff>312266</xdr:colOff>
      <xdr:row>48</xdr:row>
      <xdr:rowOff>94105</xdr:rowOff>
    </xdr:to>
    <xdr:pic>
      <xdr:nvPicPr>
        <xdr:cNvPr id="2" name="Picture 1">
          <a:extLst>
            <a:ext uri="{FF2B5EF4-FFF2-40B4-BE49-F238E27FC236}">
              <a16:creationId xmlns:a16="http://schemas.microsoft.com/office/drawing/2014/main" id="{B78FCDEA-FC82-42CF-B436-9D9C4E20B791}"/>
            </a:ext>
          </a:extLst>
        </xdr:cNvPr>
        <xdr:cNvPicPr>
          <a:picLocks noChangeAspect="1"/>
        </xdr:cNvPicPr>
      </xdr:nvPicPr>
      <xdr:blipFill>
        <a:blip xmlns:r="http://schemas.openxmlformats.org/officeDocument/2006/relationships" r:embed="rId1"/>
        <a:stretch>
          <a:fillRect/>
        </a:stretch>
      </xdr:blipFill>
      <xdr:spPr>
        <a:xfrm>
          <a:off x="165101" y="7022495"/>
          <a:ext cx="3807940" cy="2971260"/>
        </a:xfrm>
        <a:prstGeom prst="rect">
          <a:avLst/>
        </a:prstGeom>
      </xdr:spPr>
    </xdr:pic>
    <xdr:clientData/>
  </xdr:twoCellAnchor>
  <xdr:twoCellAnchor editAs="oneCell">
    <xdr:from>
      <xdr:col>0</xdr:col>
      <xdr:colOff>0</xdr:colOff>
      <xdr:row>28</xdr:row>
      <xdr:rowOff>152400</xdr:rowOff>
    </xdr:from>
    <xdr:to>
      <xdr:col>9</xdr:col>
      <xdr:colOff>6608</xdr:colOff>
      <xdr:row>32</xdr:row>
      <xdr:rowOff>10175</xdr:rowOff>
    </xdr:to>
    <xdr:pic>
      <xdr:nvPicPr>
        <xdr:cNvPr id="3" name="Picture 2">
          <a:extLst>
            <a:ext uri="{FF2B5EF4-FFF2-40B4-BE49-F238E27FC236}">
              <a16:creationId xmlns:a16="http://schemas.microsoft.com/office/drawing/2014/main" id="{C58EDAAE-E44E-41DC-8B97-AF1D40295B8C}"/>
            </a:ext>
          </a:extLst>
        </xdr:cNvPr>
        <xdr:cNvPicPr>
          <a:picLocks noChangeAspect="1"/>
        </xdr:cNvPicPr>
      </xdr:nvPicPr>
      <xdr:blipFill>
        <a:blip xmlns:r="http://schemas.openxmlformats.org/officeDocument/2006/relationships" r:embed="rId2"/>
        <a:stretch>
          <a:fillRect/>
        </a:stretch>
      </xdr:blipFill>
      <xdr:spPr>
        <a:xfrm>
          <a:off x="0" y="5759450"/>
          <a:ext cx="5489833" cy="775350"/>
        </a:xfrm>
        <a:prstGeom prst="rect">
          <a:avLst/>
        </a:prstGeom>
      </xdr:spPr>
    </xdr:pic>
    <xdr:clientData/>
  </xdr:twoCellAnchor>
  <xdr:twoCellAnchor editAs="oneCell">
    <xdr:from>
      <xdr:col>0</xdr:col>
      <xdr:colOff>63500</xdr:colOff>
      <xdr:row>57</xdr:row>
      <xdr:rowOff>100173</xdr:rowOff>
    </xdr:from>
    <xdr:to>
      <xdr:col>12</xdr:col>
      <xdr:colOff>139860</xdr:colOff>
      <xdr:row>67</xdr:row>
      <xdr:rowOff>7741</xdr:rowOff>
    </xdr:to>
    <xdr:pic>
      <xdr:nvPicPr>
        <xdr:cNvPr id="4" name="Picture 3">
          <a:extLst>
            <a:ext uri="{FF2B5EF4-FFF2-40B4-BE49-F238E27FC236}">
              <a16:creationId xmlns:a16="http://schemas.microsoft.com/office/drawing/2014/main" id="{2D906C9B-DB4C-45B4-B274-B1458E2B271F}"/>
            </a:ext>
          </a:extLst>
        </xdr:cNvPr>
        <xdr:cNvPicPr>
          <a:picLocks noChangeAspect="1"/>
        </xdr:cNvPicPr>
      </xdr:nvPicPr>
      <xdr:blipFill>
        <a:blip xmlns:r="http://schemas.openxmlformats.org/officeDocument/2006/relationships" r:embed="rId3"/>
        <a:stretch>
          <a:fillRect/>
        </a:stretch>
      </xdr:blipFill>
      <xdr:spPr>
        <a:xfrm>
          <a:off x="63500" y="11777823"/>
          <a:ext cx="7534435" cy="1752243"/>
        </a:xfrm>
        <a:prstGeom prst="rect">
          <a:avLst/>
        </a:prstGeom>
      </xdr:spPr>
    </xdr:pic>
    <xdr:clientData/>
  </xdr:twoCellAnchor>
  <xdr:twoCellAnchor editAs="oneCell">
    <xdr:from>
      <xdr:col>0</xdr:col>
      <xdr:colOff>11759</xdr:colOff>
      <xdr:row>52</xdr:row>
      <xdr:rowOff>20682</xdr:rowOff>
    </xdr:from>
    <xdr:to>
      <xdr:col>16</xdr:col>
      <xdr:colOff>174278</xdr:colOff>
      <xdr:row>57</xdr:row>
      <xdr:rowOff>87672</xdr:rowOff>
    </xdr:to>
    <xdr:pic>
      <xdr:nvPicPr>
        <xdr:cNvPr id="5" name="Picture 4">
          <a:extLst>
            <a:ext uri="{FF2B5EF4-FFF2-40B4-BE49-F238E27FC236}">
              <a16:creationId xmlns:a16="http://schemas.microsoft.com/office/drawing/2014/main" id="{2E1D25D4-4539-4E0F-9F73-0F89F3B08C8C}"/>
            </a:ext>
          </a:extLst>
        </xdr:cNvPr>
        <xdr:cNvPicPr>
          <a:picLocks noChangeAspect="1"/>
        </xdr:cNvPicPr>
      </xdr:nvPicPr>
      <xdr:blipFill>
        <a:blip xmlns:r="http://schemas.openxmlformats.org/officeDocument/2006/relationships" r:embed="rId4"/>
        <a:stretch>
          <a:fillRect/>
        </a:stretch>
      </xdr:blipFill>
      <xdr:spPr>
        <a:xfrm>
          <a:off x="11759" y="10714082"/>
          <a:ext cx="11128969" cy="1054415"/>
        </a:xfrm>
        <a:prstGeom prst="rect">
          <a:avLst/>
        </a:prstGeom>
      </xdr:spPr>
    </xdr:pic>
    <xdr:clientData/>
  </xdr:twoCellAnchor>
  <xdr:twoCellAnchor editAs="oneCell">
    <xdr:from>
      <xdr:col>0</xdr:col>
      <xdr:colOff>35775</xdr:colOff>
      <xdr:row>69</xdr:row>
      <xdr:rowOff>1</xdr:rowOff>
    </xdr:from>
    <xdr:to>
      <xdr:col>15</xdr:col>
      <xdr:colOff>56701</xdr:colOff>
      <xdr:row>82</xdr:row>
      <xdr:rowOff>16535</xdr:rowOff>
    </xdr:to>
    <xdr:pic>
      <xdr:nvPicPr>
        <xdr:cNvPr id="6" name="Picture 5">
          <a:extLst>
            <a:ext uri="{FF2B5EF4-FFF2-40B4-BE49-F238E27FC236}">
              <a16:creationId xmlns:a16="http://schemas.microsoft.com/office/drawing/2014/main" id="{7F947DBD-FBD5-4A2F-96C5-74A012F655D2}"/>
            </a:ext>
          </a:extLst>
        </xdr:cNvPr>
        <xdr:cNvPicPr>
          <a:picLocks noChangeAspect="1"/>
        </xdr:cNvPicPr>
      </xdr:nvPicPr>
      <xdr:blipFill>
        <a:blip xmlns:r="http://schemas.openxmlformats.org/officeDocument/2006/relationships" r:embed="rId5"/>
        <a:stretch>
          <a:fillRect/>
        </a:stretch>
      </xdr:blipFill>
      <xdr:spPr>
        <a:xfrm>
          <a:off x="35775" y="13938251"/>
          <a:ext cx="10111076" cy="2607334"/>
        </a:xfrm>
        <a:prstGeom prst="rect">
          <a:avLst/>
        </a:prstGeom>
      </xdr:spPr>
    </xdr:pic>
    <xdr:clientData/>
  </xdr:twoCellAnchor>
  <xdr:twoCellAnchor editAs="oneCell">
    <xdr:from>
      <xdr:col>0</xdr:col>
      <xdr:colOff>9621</xdr:colOff>
      <xdr:row>89</xdr:row>
      <xdr:rowOff>147686</xdr:rowOff>
    </xdr:from>
    <xdr:to>
      <xdr:col>12</xdr:col>
      <xdr:colOff>389691</xdr:colOff>
      <xdr:row>109</xdr:row>
      <xdr:rowOff>45635</xdr:rowOff>
    </xdr:to>
    <xdr:pic>
      <xdr:nvPicPr>
        <xdr:cNvPr id="7" name="Picture 6">
          <a:extLst>
            <a:ext uri="{FF2B5EF4-FFF2-40B4-BE49-F238E27FC236}">
              <a16:creationId xmlns:a16="http://schemas.microsoft.com/office/drawing/2014/main" id="{ADC3EFD3-B450-4B59-8D3C-79534E6D6F52}"/>
            </a:ext>
          </a:extLst>
        </xdr:cNvPr>
        <xdr:cNvPicPr>
          <a:picLocks noChangeAspect="1"/>
        </xdr:cNvPicPr>
      </xdr:nvPicPr>
      <xdr:blipFill>
        <a:blip xmlns:r="http://schemas.openxmlformats.org/officeDocument/2006/relationships" r:embed="rId6"/>
        <a:stretch>
          <a:fillRect/>
        </a:stretch>
      </xdr:blipFill>
      <xdr:spPr>
        <a:xfrm>
          <a:off x="9621" y="18067386"/>
          <a:ext cx="7844495" cy="3590474"/>
        </a:xfrm>
        <a:prstGeom prst="rect">
          <a:avLst/>
        </a:prstGeom>
      </xdr:spPr>
    </xdr:pic>
    <xdr:clientData/>
  </xdr:twoCellAnchor>
  <xdr:twoCellAnchor editAs="oneCell">
    <xdr:from>
      <xdr:col>0</xdr:col>
      <xdr:colOff>0</xdr:colOff>
      <xdr:row>113</xdr:row>
      <xdr:rowOff>89178</xdr:rowOff>
    </xdr:from>
    <xdr:to>
      <xdr:col>11</xdr:col>
      <xdr:colOff>649113</xdr:colOff>
      <xdr:row>127</xdr:row>
      <xdr:rowOff>97379</xdr:rowOff>
    </xdr:to>
    <xdr:pic>
      <xdr:nvPicPr>
        <xdr:cNvPr id="8" name="Picture 7">
          <a:extLst>
            <a:ext uri="{FF2B5EF4-FFF2-40B4-BE49-F238E27FC236}">
              <a16:creationId xmlns:a16="http://schemas.microsoft.com/office/drawing/2014/main" id="{AC351409-CBF2-4F97-B9D2-8EA61DB0A0AF}"/>
            </a:ext>
          </a:extLst>
        </xdr:cNvPr>
        <xdr:cNvPicPr>
          <a:picLocks noChangeAspect="1"/>
        </xdr:cNvPicPr>
      </xdr:nvPicPr>
      <xdr:blipFill>
        <a:blip xmlns:r="http://schemas.openxmlformats.org/officeDocument/2006/relationships" r:embed="rId7"/>
        <a:stretch>
          <a:fillRect/>
        </a:stretch>
      </xdr:blipFill>
      <xdr:spPr>
        <a:xfrm>
          <a:off x="0" y="22542778"/>
          <a:ext cx="7234063" cy="2592651"/>
        </a:xfrm>
        <a:prstGeom prst="rect">
          <a:avLst/>
        </a:prstGeom>
      </xdr:spPr>
    </xdr:pic>
    <xdr:clientData/>
  </xdr:twoCellAnchor>
  <xdr:twoCellAnchor editAs="oneCell">
    <xdr:from>
      <xdr:col>0</xdr:col>
      <xdr:colOff>0</xdr:colOff>
      <xdr:row>146</xdr:row>
      <xdr:rowOff>1</xdr:rowOff>
    </xdr:from>
    <xdr:to>
      <xdr:col>7</xdr:col>
      <xdr:colOff>151019</xdr:colOff>
      <xdr:row>161</xdr:row>
      <xdr:rowOff>2564</xdr:rowOff>
    </xdr:to>
    <xdr:pic>
      <xdr:nvPicPr>
        <xdr:cNvPr id="9" name="Picture 8">
          <a:extLst>
            <a:ext uri="{FF2B5EF4-FFF2-40B4-BE49-F238E27FC236}">
              <a16:creationId xmlns:a16="http://schemas.microsoft.com/office/drawing/2014/main" id="{837143BF-1BC6-4CA0-876F-FC1ED2EA147B}"/>
            </a:ext>
          </a:extLst>
        </xdr:cNvPr>
        <xdr:cNvPicPr>
          <a:picLocks noChangeAspect="1"/>
        </xdr:cNvPicPr>
      </xdr:nvPicPr>
      <xdr:blipFill>
        <a:blip xmlns:r="http://schemas.openxmlformats.org/officeDocument/2006/relationships" r:embed="rId8"/>
        <a:stretch>
          <a:fillRect/>
        </a:stretch>
      </xdr:blipFill>
      <xdr:spPr>
        <a:xfrm>
          <a:off x="0" y="26746201"/>
          <a:ext cx="4418219" cy="2779983"/>
        </a:xfrm>
        <a:prstGeom prst="rect">
          <a:avLst/>
        </a:prstGeom>
      </xdr:spPr>
    </xdr:pic>
    <xdr:clientData/>
  </xdr:twoCellAnchor>
  <xdr:twoCellAnchor editAs="oneCell">
    <xdr:from>
      <xdr:col>0</xdr:col>
      <xdr:colOff>1</xdr:colOff>
      <xdr:row>4</xdr:row>
      <xdr:rowOff>34136</xdr:rowOff>
    </xdr:from>
    <xdr:to>
      <xdr:col>6</xdr:col>
      <xdr:colOff>359434</xdr:colOff>
      <xdr:row>27</xdr:row>
      <xdr:rowOff>11745</xdr:rowOff>
    </xdr:to>
    <xdr:pic>
      <xdr:nvPicPr>
        <xdr:cNvPr id="10" name="Picture 9">
          <a:extLst>
            <a:ext uri="{FF2B5EF4-FFF2-40B4-BE49-F238E27FC236}">
              <a16:creationId xmlns:a16="http://schemas.microsoft.com/office/drawing/2014/main" id="{4DB26225-65F0-4E65-A6D3-920A6D5C07CB}"/>
            </a:ext>
          </a:extLst>
        </xdr:cNvPr>
        <xdr:cNvPicPr>
          <a:picLocks noChangeAspect="1"/>
        </xdr:cNvPicPr>
      </xdr:nvPicPr>
      <xdr:blipFill>
        <a:blip xmlns:r="http://schemas.openxmlformats.org/officeDocument/2006/relationships" r:embed="rId9"/>
        <a:stretch>
          <a:fillRect/>
        </a:stretch>
      </xdr:blipFill>
      <xdr:spPr>
        <a:xfrm>
          <a:off x="1" y="1170786"/>
          <a:ext cx="4017033" cy="4216234"/>
        </a:xfrm>
        <a:prstGeom prst="rect">
          <a:avLst/>
        </a:prstGeom>
      </xdr:spPr>
    </xdr:pic>
    <xdr:clientData/>
  </xdr:twoCellAnchor>
  <xdr:twoCellAnchor editAs="oneCell">
    <xdr:from>
      <xdr:col>9</xdr:col>
      <xdr:colOff>29952</xdr:colOff>
      <xdr:row>4</xdr:row>
      <xdr:rowOff>47077</xdr:rowOff>
    </xdr:from>
    <xdr:to>
      <xdr:col>18</xdr:col>
      <xdr:colOff>215922</xdr:colOff>
      <xdr:row>13</xdr:row>
      <xdr:rowOff>8806</xdr:rowOff>
    </xdr:to>
    <xdr:pic>
      <xdr:nvPicPr>
        <xdr:cNvPr id="11" name="Picture 10">
          <a:extLst>
            <a:ext uri="{FF2B5EF4-FFF2-40B4-BE49-F238E27FC236}">
              <a16:creationId xmlns:a16="http://schemas.microsoft.com/office/drawing/2014/main" id="{1E9B87DA-E479-454B-91F1-49CACDD4B619}"/>
            </a:ext>
          </a:extLst>
        </xdr:cNvPr>
        <xdr:cNvPicPr>
          <a:picLocks noChangeAspect="1"/>
        </xdr:cNvPicPr>
      </xdr:nvPicPr>
      <xdr:blipFill>
        <a:blip xmlns:r="http://schemas.openxmlformats.org/officeDocument/2006/relationships" r:embed="rId10"/>
        <a:stretch>
          <a:fillRect/>
        </a:stretch>
      </xdr:blipFill>
      <xdr:spPr>
        <a:xfrm>
          <a:off x="5516352" y="1183727"/>
          <a:ext cx="7453545" cy="16222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5928783" cy="770196"/>
    <xdr:pic>
      <xdr:nvPicPr>
        <xdr:cNvPr id="2" name="Picture 1">
          <a:extLst>
            <a:ext uri="{FF2B5EF4-FFF2-40B4-BE49-F238E27FC236}">
              <a16:creationId xmlns:a16="http://schemas.microsoft.com/office/drawing/2014/main" id="{4C247950-D3F6-4CE0-8CA9-54C3401C2FCB}"/>
            </a:ext>
          </a:extLst>
        </xdr:cNvPr>
        <xdr:cNvPicPr>
          <a:picLocks noChangeAspect="1"/>
        </xdr:cNvPicPr>
      </xdr:nvPicPr>
      <xdr:blipFill>
        <a:blip xmlns:r="http://schemas.openxmlformats.org/officeDocument/2006/relationships" r:embed="rId1"/>
        <a:stretch>
          <a:fillRect/>
        </a:stretch>
      </xdr:blipFill>
      <xdr:spPr>
        <a:xfrm>
          <a:off x="0" y="0"/>
          <a:ext cx="5928783" cy="770196"/>
        </a:xfrm>
        <a:prstGeom prst="rect">
          <a:avLst/>
        </a:prstGeom>
      </xdr:spPr>
    </xdr:pic>
    <xdr:clientData/>
  </xdr:oneCellAnchor>
  <xdr:oneCellAnchor>
    <xdr:from>
      <xdr:col>0</xdr:col>
      <xdr:colOff>0</xdr:colOff>
      <xdr:row>4</xdr:row>
      <xdr:rowOff>156622</xdr:rowOff>
    </xdr:from>
    <xdr:ext cx="4641850" cy="2755571"/>
    <xdr:pic>
      <xdr:nvPicPr>
        <xdr:cNvPr id="3" name="Picture 2">
          <a:extLst>
            <a:ext uri="{FF2B5EF4-FFF2-40B4-BE49-F238E27FC236}">
              <a16:creationId xmlns:a16="http://schemas.microsoft.com/office/drawing/2014/main" id="{0D2F39A2-BE67-4080-9FF1-159ADB280E60}"/>
            </a:ext>
          </a:extLst>
        </xdr:cNvPr>
        <xdr:cNvPicPr>
          <a:picLocks noChangeAspect="1"/>
        </xdr:cNvPicPr>
      </xdr:nvPicPr>
      <xdr:blipFill>
        <a:blip xmlns:r="http://schemas.openxmlformats.org/officeDocument/2006/relationships" r:embed="rId2"/>
        <a:stretch>
          <a:fillRect/>
        </a:stretch>
      </xdr:blipFill>
      <xdr:spPr>
        <a:xfrm>
          <a:off x="0" y="893222"/>
          <a:ext cx="4641850" cy="27555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cfonline.sharepoint.com/teams/OPPTTSCASupport/Shared%20Documents/General/3_Exposure%20Assessment/A.%20Phthalates/Consumer%20-%20CEM/TD%2010%20DCHP,%20DEHP,%20DIBP,%20DBP,%20BBP/BBP/20240813%20Delivered%20to%20EPA/BBP%20COU_Product_Scenario%20Crosswalk.xlsx" TargetMode="External"/><Relationship Id="rId2" Type="http://schemas.microsoft.com/office/2019/04/relationships/externalLinkLongPath" Target="https://icfonline.sharepoint.com/teams/OPPTTSCASupport/Shared%20Documents/General/3_Exposure%20Assessment/A.%20Phthalates/Consumer%20-%20CEM/TD%2010%20DCHP,%20DEHP,%20DIBP,%20DBP,%20BBP/BBP/20240813%20Delivered%20to%20EPA/BBP%20COU_Product_Scenario%20Crosswalk.xlsx?1D51AC95" TargetMode="External"/><Relationship Id="rId1" Type="http://schemas.openxmlformats.org/officeDocument/2006/relationships/externalLinkPath" Target="file:///\\1D51AC95\BBP%20COU_Product_Scenario%20Crosswal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BP Crosswalk"/>
      <sheetName val="TOC"/>
      <sheetName val="COU BBP"/>
      <sheetName val="BBP Product Review"/>
      <sheetName val="BBP literature"/>
      <sheetName val="WA PTD"/>
      <sheetName val="HPCDS"/>
    </sheetNames>
    <sheetDataSet>
      <sheetData sheetId="0" refreshError="1"/>
      <sheetData sheetId="1" refreshError="1"/>
      <sheetData sheetId="2" refreshError="1"/>
      <sheetData sheetId="3" refreshError="1"/>
      <sheetData sheetId="4">
        <row r="3">
          <cell r="G3">
            <v>3.9820000000000001E-2</v>
          </cell>
        </row>
        <row r="4">
          <cell r="G4">
            <v>1.73E-3</v>
          </cell>
        </row>
        <row r="5">
          <cell r="G5">
            <v>1.4999999999999999E-2</v>
          </cell>
        </row>
        <row r="6">
          <cell r="G6">
            <v>2E-3</v>
          </cell>
        </row>
        <row r="17">
          <cell r="G17">
            <v>2.5999999999999998E-5</v>
          </cell>
        </row>
        <row r="19">
          <cell r="G19">
            <v>1E-4</v>
          </cell>
        </row>
        <row r="25">
          <cell r="G25">
            <v>0.02</v>
          </cell>
        </row>
        <row r="26">
          <cell r="G26">
            <v>2.6749999999999999E-2</v>
          </cell>
        </row>
        <row r="27">
          <cell r="G27">
            <v>3.3000000000000002E-2</v>
          </cell>
        </row>
        <row r="29">
          <cell r="G29">
            <v>5.0000000000000002E-5</v>
          </cell>
        </row>
      </sheetData>
      <sheetData sheetId="5">
        <row r="15">
          <cell r="Z15">
            <v>3.6999999999999998E-5</v>
          </cell>
          <cell r="AA15">
            <v>3.6999999999999998E-5</v>
          </cell>
          <cell r="AB15">
            <v>3.6999999999999998E-5</v>
          </cell>
        </row>
        <row r="16">
          <cell r="Z16">
            <v>1.2999999999999999E-5</v>
          </cell>
          <cell r="AA16">
            <v>1.2999999999999999E-5</v>
          </cell>
          <cell r="AB16">
            <v>1.2999999999999999E-5</v>
          </cell>
        </row>
        <row r="17">
          <cell r="Z17">
            <v>1.29E-5</v>
          </cell>
          <cell r="AA17">
            <v>1.29E-5</v>
          </cell>
          <cell r="AB17">
            <v>1.29E-5</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ipolymer.com/pdf/PVC.pdf" TargetMode="External"/><Relationship Id="rId7" Type="http://schemas.openxmlformats.org/officeDocument/2006/relationships/printerSettings" Target="../printerSettings/printerSettings11.bin"/><Relationship Id="rId2" Type="http://schemas.openxmlformats.org/officeDocument/2006/relationships/hyperlink" Target="https://www.nature.com/articles/s41370-021-00354-0" TargetMode="External"/><Relationship Id="rId1" Type="http://schemas.openxmlformats.org/officeDocument/2006/relationships/hyperlink" Target="https://www.ansys.com/content/dam/amp/2021/august/webpage-requests/education-resources-dam-upload-batch-2/material-property-data-for-eng-materials-BOKENGEN21.pdf" TargetMode="External"/><Relationship Id="rId6" Type="http://schemas.openxmlformats.org/officeDocument/2006/relationships/hyperlink" Target="https://www.scientific.net/AMM.672-674.2165" TargetMode="External"/><Relationship Id="rId5" Type="http://schemas.openxmlformats.org/officeDocument/2006/relationships/hyperlink" Target="https://www.bobrick.com/wp-content/uploads/204-2-3_td.pdf" TargetMode="External"/><Relationship Id="rId4" Type="http://schemas.openxmlformats.org/officeDocument/2006/relationships/hyperlink" Target="https://www.matec-conferences.org/articles/matecconf/pdf/2018/34/matecconf_ifcae-iot2018_0301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i.org/10.1038%2Fs41370-021-00354-0" TargetMode="External"/><Relationship Id="rId1" Type="http://schemas.openxmlformats.org/officeDocument/2006/relationships/hyperlink" Target="https://doi.org/10.1111/ina.12395"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mazon.com/Permatex-80729-Brake-Quiet-Pouches/dp/B000HBGH3G?th=1" TargetMode="External"/><Relationship Id="rId13" Type="http://schemas.openxmlformats.org/officeDocument/2006/relationships/hyperlink" Target="https://shop.smooth-on.com/flexerr-epoxy-flexibilizer" TargetMode="External"/><Relationship Id="rId18" Type="http://schemas.openxmlformats.org/officeDocument/2006/relationships/hyperlink" Target="https://shop.smooth-on.com/pmc-724" TargetMode="External"/><Relationship Id="rId26" Type="http://schemas.openxmlformats.org/officeDocument/2006/relationships/hyperlink" Target="https://www.amazon.com/Smooth-Smooth-Cast-ColorMatch-Plastic-Compound/dp/B004BNC9R4" TargetMode="External"/><Relationship Id="rId3" Type="http://schemas.openxmlformats.org/officeDocument/2006/relationships/hyperlink" Target="https://www.amazon.com/Elmers-E1013-Model-Cement-1-Ounce/dp/B000MVOX2S" TargetMode="External"/><Relationship Id="rId21" Type="http://schemas.openxmlformats.org/officeDocument/2006/relationships/hyperlink" Target="https://www.dhcsupplies.com/protecto-wrap-white-ps25xl-sealant-10-1oz.html" TargetMode="External"/><Relationship Id="rId7" Type="http://schemas.openxmlformats.org/officeDocument/2006/relationships/hyperlink" Target="https://www.homedepot.com/p/Quikrete-1-Qt-Patch-Pre-Mixed-Stucco-865032/202092198?g_store=&amp;source=shoppingads&amp;locale=en-US&amp;pla&amp;mtc=SHOPPING-BF-CDP-GGL-D22-022_009_CONCRETE-NA-NA-NA-PMAX-NA-NA-NA-NA-NBR-NA-NA-NEW-NA-JControl24&amp;cm_mmc=SHOPPING-BF-CDP-GGL-D22-022_009_CONCRETE-NA-NA-NA-PMAX-NA-NA-NA-NA-NBR-NA-NA-NEW-NA-JControl24-71700000112622853--&amp;gad_source=1&amp;gclid=EAIaIQobChMI0Z-ppZ_FhgMV3IrCCB1A7zOQEAQYAiABEgIKmfD_BwE&amp;gclsrc=aw.ds" TargetMode="External"/><Relationship Id="rId12" Type="http://schemas.openxmlformats.org/officeDocument/2006/relationships/hyperlink" Target="https://www.amazon.com/White-Tremco-DyMonic-Polyurethane-Sealant/dp/B001G0VUSY/ref=asc_df_B001G0VUSY/?tag=hyprod-20&amp;linkCode=df0&amp;hvadid=693675076686&amp;hvpos=&amp;hvnetw=g&amp;hvrand=17815307025089204601&amp;hvpone=&amp;hvptwo=&amp;hvqmt=&amp;hvdev=c&amp;hvdvcmdl=&amp;hvlocint=&amp;hvlocphy=9003590&amp;hvtargid=pla-1948460955346&amp;psc=1&amp;mcid=824ec925c23a31e893150ba171c4f557&amp;gad_source=1" TargetMode="External"/><Relationship Id="rId17" Type="http://schemas.openxmlformats.org/officeDocument/2006/relationships/hyperlink" Target="https://www.cjponyparts.com/ford-motorcraft-lacquer-touch-up-paint/p/PTTU-V/" TargetMode="External"/><Relationship Id="rId25" Type="http://schemas.openxmlformats.org/officeDocument/2006/relationships/hyperlink" Target="https://www.officedepot.com/a/products/390755/Identity-Group-Replacement-Ink-Pad-For/" TargetMode="External"/><Relationship Id="rId2" Type="http://schemas.openxmlformats.org/officeDocument/2006/relationships/hyperlink" Target="https://www.amazon.com/Quikrete-Concrete-Patching-Compound-Qt/dp/B00QU5X84E/ref=asc_df_B00QU5X84E/?tag=hyprod-20&amp;linkCode=df0&amp;hvadid=693501891059&amp;hvpos=&amp;hvnetw=g&amp;hvrand=1886473386334712242&amp;hvpone=&amp;hvptwo=&amp;hvqmt=&amp;hvdev=c&amp;hvdvcmdl=&amp;hvlocint=&amp;hvlocphy=9003590&amp;hvtargid=pla-1969402891624&amp;psc=1&amp;mcid=73705320ae70362597cb472380970cce&amp;gad_source=1" TargetMode="External"/><Relationship Id="rId16" Type="http://schemas.openxmlformats.org/officeDocument/2006/relationships/hyperlink" Target="https://www.ideaautorepair.com/product/klean-strip-mask-peel-spray-booth-coating-cmp229/auto-paint-supply?utm_source=feed&amp;utm_medium=free&amp;utm_campaign=shopping&amp;gad_source=1&amp;gclid=EAIaIQobChMIofqP7LnHhgMVAkpHAR1ufAQeEAQYASABEgLPyvD_BwE" TargetMode="External"/><Relationship Id="rId20" Type="http://schemas.openxmlformats.org/officeDocument/2006/relationships/hyperlink" Target="https://shop.biosb.com/permamounter-p1429.aspx" TargetMode="External"/><Relationship Id="rId1" Type="http://schemas.openxmlformats.org/officeDocument/2006/relationships/hyperlink" Target="https://www.amazon.com/SAKRETE-AMERICA-863005-BLKtop-Repair/dp/B000DZF33Q" TargetMode="External"/><Relationship Id="rId6" Type="http://schemas.openxmlformats.org/officeDocument/2006/relationships/hyperlink" Target="https://www.amazon.com/18816-Polyurethane-Construction-Adhesive-Sealant/dp/B0006B684A/ref=asc_df_B0006B684A/?tag=hyprod-20&amp;linkCode=df0&amp;hvadid=693071814376&amp;hvpos=&amp;hvnetw=g&amp;hvrand=7468954415716761375&amp;hvpone=&amp;hvptwo=&amp;hvqmt=&amp;hvdev=c&amp;hvdvcmdl=&amp;hvlocint=&amp;hvlocphy=9003590&amp;hvtargid=pla-312852352467&amp;mcid=209402ce7c173a73a6a45eda129e5592&amp;gad_source=1&amp;th=1" TargetMode="External"/><Relationship Id="rId11" Type="http://schemas.openxmlformats.org/officeDocument/2006/relationships/hyperlink" Target="https://www.perigeedirect.com/products/hardman-double-bubble-d50-green-beige-label-04022-high-shear-strength-beige-urethane-adhesive?variant=37817085657266&#164;cy=USD&amp;utm_medium=product_sync&amp;utm_source=google&amp;utm_content=sag_organic&amp;utm_campaign=sag_organic&amp;utm_campaign=gs-2019-03-03&amp;utm_source=google&amp;utm_medium=smart_campaign&amp;gad_source=1&amp;gclid=EAIaIQobChMIv7fi3ZLHhgMVyGdHAR0AeQM3EAQYAiABEgL3uPD_BwE" TargetMode="External"/><Relationship Id="rId24" Type="http://schemas.openxmlformats.org/officeDocument/2006/relationships/hyperlink" Target="https://www.lowes.com/pd/Wilsonart-5-oz-Pearl-Soapstone-Paintable-Silicone-Caulk/1000392667" TargetMode="External"/><Relationship Id="rId5" Type="http://schemas.openxmlformats.org/officeDocument/2006/relationships/hyperlink" Target="https://www.amazon.com/STP-17925-Power-Steering-Fluid/dp/B0009PCPRW" TargetMode="External"/><Relationship Id="rId15" Type="http://schemas.openxmlformats.org/officeDocument/2006/relationships/hyperlink" Target="https://www.homedepot.com/p/Hercules-5-5-oz-Bright-White-Plumber-s-Caulk-256052/205930691" TargetMode="External"/><Relationship Id="rId23" Type="http://schemas.openxmlformats.org/officeDocument/2006/relationships/hyperlink" Target="https://www.homedepot.com/p/Seal-Krete-5-gal-Satin-Clear-Seal-Concrete-Protective-Sealer-604005/203494520" TargetMode="External"/><Relationship Id="rId28" Type="http://schemas.openxmlformats.org/officeDocument/2006/relationships/printerSettings" Target="../printerSettings/printerSettings5.bin"/><Relationship Id="rId10" Type="http://schemas.openxmlformats.org/officeDocument/2006/relationships/hyperlink" Target="https://metrosealant.com/product/henry-air-bloc-33mr/" TargetMode="External"/><Relationship Id="rId19" Type="http://schemas.openxmlformats.org/officeDocument/2006/relationships/hyperlink" Target="https://shop.smooth-on.com/task-9" TargetMode="External"/><Relationship Id="rId4" Type="http://schemas.openxmlformats.org/officeDocument/2006/relationships/hyperlink" Target="https://www.homedepot.com/p/Quikrete-10-oz-Mortar-Repair-Sealant-862009/100318502" TargetMode="External"/><Relationship Id="rId9" Type="http://schemas.openxmlformats.org/officeDocument/2006/relationships/hyperlink" Target="https://bjbmaterials.com/6840-ultra-black-pigment/" TargetMode="External"/><Relationship Id="rId14" Type="http://schemas.openxmlformats.org/officeDocument/2006/relationships/hyperlink" Target="https://www.homedepot.com/p/GE-Silicone-2-Paintable-Silicone-10-1-oz-White-Paintable-Caulk-GE7000/100012232" TargetMode="External"/><Relationship Id="rId22" Type="http://schemas.openxmlformats.org/officeDocument/2006/relationships/hyperlink" Target="https://www.amazon.com/Multitech-Surface-Repair-Tile-Refinishing/dp/B00HFGN8OW" TargetMode="External"/><Relationship Id="rId27" Type="http://schemas.openxmlformats.org/officeDocument/2006/relationships/hyperlink" Target="https://www.whatsinproducts.com/types/type_detail/1/19980/standard/div%20id=%22cke_pastebin%22%3ERust-Oleum%20American%20Accents%20Craft%20&amp;amp;%20Hobby%20Enamel,%20Silver-08/25/2016/div%3E/18-010-319"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ublicinterestnetwork.org/wp-content/uploads/2013/05/Hidden_Hazards_USPIRG.pdf" TargetMode="External"/><Relationship Id="rId2" Type="http://schemas.openxmlformats.org/officeDocument/2006/relationships/hyperlink" Target="https://www.researchgate.net/publication/238724408_Determination_of_the_Magnitude_of_Clay_to_Skin_and_Skin_to_Mouth_Transfer_of_Phthalates_Associated_with_the_Use_of_Polymer_Clays" TargetMode="External"/><Relationship Id="rId1" Type="http://schemas.openxmlformats.org/officeDocument/2006/relationships/hyperlink" Target="https://doi.org/10.1186%2Fs43591-023-00054-6"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apps.ecology.wa.gov/ptdbreporting/reports/ReportViewer.aspx?ReportName=ResultDetail&amp;id=%20225" TargetMode="External"/><Relationship Id="rId21" Type="http://schemas.openxmlformats.org/officeDocument/2006/relationships/hyperlink" Target="https://apps.ecology.wa.gov/ptdbreporting/reports/ReportViewer.aspx?ReportName=ResultDetail&amp;id=%20826" TargetMode="External"/><Relationship Id="rId324" Type="http://schemas.openxmlformats.org/officeDocument/2006/relationships/hyperlink" Target="https://apps.ecology.wa.gov/ptdbreporting/reports/ReportViewer.aspx?ReportName=ResultDetail&amp;id=%2031309" TargetMode="External"/><Relationship Id="rId531" Type="http://schemas.openxmlformats.org/officeDocument/2006/relationships/hyperlink" Target="https://apps.ecology.wa.gov/ptdbreporting/reports/ReportViewer.aspx?ReportName=ResultDetail&amp;id=%20189503" TargetMode="External"/><Relationship Id="rId170" Type="http://schemas.openxmlformats.org/officeDocument/2006/relationships/hyperlink" Target="https://apps.ecology.wa.gov/ptdbreporting/reports/ReportViewer.aspx?ReportName=ResultDetail&amp;id=%201106" TargetMode="External"/><Relationship Id="rId268" Type="http://schemas.openxmlformats.org/officeDocument/2006/relationships/hyperlink" Target="https://apps.ecology.wa.gov/ptdbreporting/reports/ReportViewer.aspx?ReportName=ResultDetail&amp;id=%2031778" TargetMode="External"/><Relationship Id="rId475" Type="http://schemas.openxmlformats.org/officeDocument/2006/relationships/hyperlink" Target="https://apps.ecology.wa.gov/ptdbreporting/reports/ReportViewer.aspx?ReportName=ResultDetail&amp;id=%20189018" TargetMode="External"/><Relationship Id="rId32" Type="http://schemas.openxmlformats.org/officeDocument/2006/relationships/hyperlink" Target="https://apps.ecology.wa.gov/ptdbreporting/reports/ReportViewer.aspx?ReportName=ResultDetail&amp;id=%201210" TargetMode="External"/><Relationship Id="rId128" Type="http://schemas.openxmlformats.org/officeDocument/2006/relationships/hyperlink" Target="https://apps.ecology.wa.gov/ptdbreporting/reports/ReportViewer.aspx?ReportName=ResultDetail&amp;id=%201130" TargetMode="External"/><Relationship Id="rId335" Type="http://schemas.openxmlformats.org/officeDocument/2006/relationships/hyperlink" Target="https://apps.ecology.wa.gov/ptdbreporting/reports/ReportViewer.aspx?ReportName=ResultDetail&amp;id=%2031197" TargetMode="External"/><Relationship Id="rId542" Type="http://schemas.openxmlformats.org/officeDocument/2006/relationships/hyperlink" Target="https://apps.ecology.wa.gov/ptdbreporting/reports/ReportViewer.aspx?ReportName=ResultDetail&amp;id=%20189810" TargetMode="External"/><Relationship Id="rId181" Type="http://schemas.openxmlformats.org/officeDocument/2006/relationships/hyperlink" Target="https://apps.ecology.wa.gov/ptdbreporting/reports/ReportViewer.aspx?ReportName=ResultDetail&amp;id=%201784" TargetMode="External"/><Relationship Id="rId402" Type="http://schemas.openxmlformats.org/officeDocument/2006/relationships/hyperlink" Target="https://apps.ecology.wa.gov/ptdbreporting/reports/ReportViewer.aspx?ReportName=ResultDetail&amp;id=%20102618" TargetMode="External"/><Relationship Id="rId279" Type="http://schemas.openxmlformats.org/officeDocument/2006/relationships/hyperlink" Target="https://apps.ecology.wa.gov/ptdbreporting/reports/ReportViewer.aspx?ReportName=ResultDetail&amp;id=%2025049" TargetMode="External"/><Relationship Id="rId486" Type="http://schemas.openxmlformats.org/officeDocument/2006/relationships/hyperlink" Target="https://apps.ecology.wa.gov/ptdbreporting/reports/ReportViewer.aspx?ReportName=ResultDetail&amp;id=%20189474" TargetMode="External"/><Relationship Id="rId43" Type="http://schemas.openxmlformats.org/officeDocument/2006/relationships/hyperlink" Target="https://apps.ecology.wa.gov/ptdbreporting/reports/ReportViewer.aspx?ReportName=ResultDetail&amp;id=%201882" TargetMode="External"/><Relationship Id="rId139" Type="http://schemas.openxmlformats.org/officeDocument/2006/relationships/hyperlink" Target="https://apps.ecology.wa.gov/ptdbreporting/reports/ReportViewer.aspx?ReportName=ResultDetail&amp;id=%201186" TargetMode="External"/><Relationship Id="rId346" Type="http://schemas.openxmlformats.org/officeDocument/2006/relationships/hyperlink" Target="https://apps.ecology.wa.gov/ptdbreporting/reports/ReportViewer.aspx?ReportName=ResultDetail&amp;id=%2032968" TargetMode="External"/><Relationship Id="rId553" Type="http://schemas.openxmlformats.org/officeDocument/2006/relationships/hyperlink" Target="https://apps.ecology.wa.gov/ptdbreporting/reports/ReportViewer.aspx?ReportName=ResultDetail&amp;id=%20189603" TargetMode="External"/><Relationship Id="rId192" Type="http://schemas.openxmlformats.org/officeDocument/2006/relationships/hyperlink" Target="https://apps.ecology.wa.gov/ptdbreporting/reports/ReportViewer.aspx?ReportName=ResultDetail&amp;id=%201114" TargetMode="External"/><Relationship Id="rId206" Type="http://schemas.openxmlformats.org/officeDocument/2006/relationships/hyperlink" Target="https://apps.ecology.wa.gov/ptdbreporting/reports/ReportViewer.aspx?ReportName=ResultDetail&amp;id=%2025015" TargetMode="External"/><Relationship Id="rId413" Type="http://schemas.openxmlformats.org/officeDocument/2006/relationships/hyperlink" Target="https://apps.ecology.wa.gov/ptdbreporting/reports/ReportViewer.aspx?ReportName=ResultDetail&amp;id=%20136058" TargetMode="External"/><Relationship Id="rId497" Type="http://schemas.openxmlformats.org/officeDocument/2006/relationships/hyperlink" Target="https://apps.ecology.wa.gov/ptdbreporting/reports/ReportViewer.aspx?ReportName=ResultDetail&amp;id=%20188901" TargetMode="External"/><Relationship Id="rId357" Type="http://schemas.openxmlformats.org/officeDocument/2006/relationships/hyperlink" Target="https://apps.ecology.wa.gov/ptdbreporting/reports/ReportViewer.aspx?ReportName=ResultDetail&amp;id=%2032896" TargetMode="External"/><Relationship Id="rId54" Type="http://schemas.openxmlformats.org/officeDocument/2006/relationships/hyperlink" Target="https://apps.ecology.wa.gov/ptdbreporting/reports/ReportViewer.aspx?ReportName=ResultDetail&amp;id=%20970" TargetMode="External"/><Relationship Id="rId217" Type="http://schemas.openxmlformats.org/officeDocument/2006/relationships/hyperlink" Target="https://apps.ecology.wa.gov/ptdbreporting/reports/ReportViewer.aspx?ReportName=ResultDetail&amp;id=%2025084" TargetMode="External"/><Relationship Id="rId564" Type="http://schemas.openxmlformats.org/officeDocument/2006/relationships/hyperlink" Target="https://apps.ecology.wa.gov/ptdbreporting/reports/ReportViewer.aspx?ReportName=ResultDetail&amp;id=%20189702" TargetMode="External"/><Relationship Id="rId424" Type="http://schemas.openxmlformats.org/officeDocument/2006/relationships/hyperlink" Target="https://apps.ecology.wa.gov/ptdbreporting/reports/ReportViewer.aspx?ReportName=ResultDetail&amp;id=%20135941" TargetMode="External"/><Relationship Id="rId270" Type="http://schemas.openxmlformats.org/officeDocument/2006/relationships/hyperlink" Target="https://apps.ecology.wa.gov/ptdbreporting/reports/ReportViewer.aspx?ReportName=ResultDetail&amp;id=%2031918" TargetMode="External"/><Relationship Id="rId65" Type="http://schemas.openxmlformats.org/officeDocument/2006/relationships/hyperlink" Target="https://apps.ecology.wa.gov/ptdbreporting/reports/ReportViewer.aspx?ReportName=ResultDetail&amp;id=%201521" TargetMode="External"/><Relationship Id="rId130" Type="http://schemas.openxmlformats.org/officeDocument/2006/relationships/hyperlink" Target="https://apps.ecology.wa.gov/ptdbreporting/reports/ReportViewer.aspx?ReportName=ResultDetail&amp;id=%201002" TargetMode="External"/><Relationship Id="rId368" Type="http://schemas.openxmlformats.org/officeDocument/2006/relationships/hyperlink" Target="https://apps.ecology.wa.gov/ptdbreporting/reports/ReportViewer.aspx?ReportName=ResultDetail&amp;id=%2032808" TargetMode="External"/><Relationship Id="rId575" Type="http://schemas.openxmlformats.org/officeDocument/2006/relationships/hyperlink" Target="https://apps.ecology.wa.gov/ptdbreporting/reports/ReportViewer.aspx?ReportName=ResultDetail&amp;id=%203257" TargetMode="External"/><Relationship Id="rId228" Type="http://schemas.openxmlformats.org/officeDocument/2006/relationships/hyperlink" Target="https://apps.ecology.wa.gov/ptdbreporting/reports/ReportViewer.aspx?ReportName=ResultDetail&amp;id=%2024410" TargetMode="External"/><Relationship Id="rId435" Type="http://schemas.openxmlformats.org/officeDocument/2006/relationships/hyperlink" Target="https://apps.ecology.wa.gov/ptdbreporting/reports/ReportViewer.aspx?ReportName=ResultDetail&amp;id=%20135896" TargetMode="External"/><Relationship Id="rId281" Type="http://schemas.openxmlformats.org/officeDocument/2006/relationships/hyperlink" Target="https://apps.ecology.wa.gov/ptdbreporting/reports/ReportViewer.aspx?ReportName=ResultDetail&amp;id=%2031886" TargetMode="External"/><Relationship Id="rId502" Type="http://schemas.openxmlformats.org/officeDocument/2006/relationships/hyperlink" Target="https://apps.ecology.wa.gov/ptdbreporting/reports/ReportViewer.aspx?ReportName=ResultDetail&amp;id=%20189433" TargetMode="External"/><Relationship Id="rId76" Type="http://schemas.openxmlformats.org/officeDocument/2006/relationships/hyperlink" Target="https://apps.ecology.wa.gov/ptdbreporting/reports/ReportViewer.aspx?ReportName=ResultDetail&amp;id=%201322" TargetMode="External"/><Relationship Id="rId141" Type="http://schemas.openxmlformats.org/officeDocument/2006/relationships/hyperlink" Target="https://apps.ecology.wa.gov/ptdbreporting/reports/ReportViewer.aspx?ReportName=ResultDetail&amp;id=%20666" TargetMode="External"/><Relationship Id="rId379" Type="http://schemas.openxmlformats.org/officeDocument/2006/relationships/hyperlink" Target="https://apps.ecology.wa.gov/ptdbreporting/reports/ReportViewer.aspx?ReportName=ResultDetail&amp;id=%20135670" TargetMode="External"/><Relationship Id="rId586" Type="http://schemas.openxmlformats.org/officeDocument/2006/relationships/hyperlink" Target="https://apps.ecology.wa.gov/ptdbreporting/reports/ReportViewer.aspx?ReportName=ResultDetail&amp;id=%203295" TargetMode="External"/><Relationship Id="rId7" Type="http://schemas.openxmlformats.org/officeDocument/2006/relationships/hyperlink" Target="https://apps.ecology.wa.gov/ptdbreporting/reports/ReportViewer.aspx?ReportName=ResultDetail&amp;id=%201657" TargetMode="External"/><Relationship Id="rId239" Type="http://schemas.openxmlformats.org/officeDocument/2006/relationships/hyperlink" Target="https://apps.ecology.wa.gov/ptdbreporting/reports/ReportViewer.aspx?ReportName=ResultDetail&amp;id=%2024446" TargetMode="External"/><Relationship Id="rId446" Type="http://schemas.openxmlformats.org/officeDocument/2006/relationships/hyperlink" Target="https://apps.ecology.wa.gov/ptdbreporting/reports/ReportViewer.aspx?ReportName=ResultDetail&amp;id=%20160018" TargetMode="External"/><Relationship Id="rId292" Type="http://schemas.openxmlformats.org/officeDocument/2006/relationships/hyperlink" Target="https://apps.ecology.wa.gov/ptdbreporting/reports/ReportViewer.aspx?ReportName=ResultDetail&amp;id=%2030578" TargetMode="External"/><Relationship Id="rId306" Type="http://schemas.openxmlformats.org/officeDocument/2006/relationships/hyperlink" Target="https://apps.ecology.wa.gov/ptdbreporting/reports/ReportViewer.aspx?ReportName=ResultDetail&amp;id=%2030553" TargetMode="External"/><Relationship Id="rId87" Type="http://schemas.openxmlformats.org/officeDocument/2006/relationships/hyperlink" Target="https://apps.ecology.wa.gov/ptdbreporting/reports/ReportViewer.aspx?ReportName=ResultDetail&amp;id=%201330" TargetMode="External"/><Relationship Id="rId513" Type="http://schemas.openxmlformats.org/officeDocument/2006/relationships/hyperlink" Target="https://apps.ecology.wa.gov/ptdbreporting/reports/ReportViewer.aspx?ReportName=ResultDetail&amp;id=%20189232" TargetMode="External"/><Relationship Id="rId597" Type="http://schemas.openxmlformats.org/officeDocument/2006/relationships/hyperlink" Target="https://apps.ecology.wa.gov/ptdbreporting/reports/ReportViewer.aspx?ReportName=ResultDetail&amp;id=%203239" TargetMode="External"/><Relationship Id="rId152" Type="http://schemas.openxmlformats.org/officeDocument/2006/relationships/hyperlink" Target="https://apps.ecology.wa.gov/ptdbreporting/reports/ReportViewer.aspx?ReportName=ResultDetail&amp;id=%201050" TargetMode="External"/><Relationship Id="rId457" Type="http://schemas.openxmlformats.org/officeDocument/2006/relationships/hyperlink" Target="https://apps.ecology.wa.gov/ptdbreporting/reports/ReportViewer.aspx?ReportName=ResultDetail&amp;id=%20160150" TargetMode="External"/><Relationship Id="rId14" Type="http://schemas.openxmlformats.org/officeDocument/2006/relationships/hyperlink" Target="https://apps.ecology.wa.gov/ptdbreporting/reports/ReportViewer.aspx?ReportName=ResultDetail&amp;id=%20810" TargetMode="External"/><Relationship Id="rId317" Type="http://schemas.openxmlformats.org/officeDocument/2006/relationships/hyperlink" Target="https://apps.ecology.wa.gov/ptdbreporting/reports/ReportViewer.aspx?ReportName=ResultDetail&amp;id=%2031381" TargetMode="External"/><Relationship Id="rId524" Type="http://schemas.openxmlformats.org/officeDocument/2006/relationships/hyperlink" Target="https://apps.ecology.wa.gov/ptdbreporting/reports/ReportViewer.aspx?ReportName=ResultDetail&amp;id=%20189187" TargetMode="External"/><Relationship Id="rId98" Type="http://schemas.openxmlformats.org/officeDocument/2006/relationships/hyperlink" Target="https://apps.ecology.wa.gov/ptdbreporting/reports/ReportViewer.aspx?ReportName=ResultDetail&amp;id=%20706" TargetMode="External"/><Relationship Id="rId163" Type="http://schemas.openxmlformats.org/officeDocument/2006/relationships/hyperlink" Target="https://apps.ecology.wa.gov/ptdbreporting/reports/ReportViewer.aspx?ReportName=ResultDetail&amp;id=%201074" TargetMode="External"/><Relationship Id="rId370" Type="http://schemas.openxmlformats.org/officeDocument/2006/relationships/hyperlink" Target="https://apps.ecology.wa.gov/ptdbreporting/reports/ReportViewer.aspx?ReportName=ResultDetail&amp;id=%2033040" TargetMode="External"/><Relationship Id="rId230" Type="http://schemas.openxmlformats.org/officeDocument/2006/relationships/hyperlink" Target="https://apps.ecology.wa.gov/ptdbreporting/reports/ReportViewer.aspx?ReportName=ResultDetail&amp;id=%2024371" TargetMode="External"/><Relationship Id="rId468" Type="http://schemas.openxmlformats.org/officeDocument/2006/relationships/hyperlink" Target="https://apps.ecology.wa.gov/ptdbreporting/reports/ReportViewer.aspx?ReportName=ResultDetail&amp;id=%20160167" TargetMode="External"/><Relationship Id="rId25" Type="http://schemas.openxmlformats.org/officeDocument/2006/relationships/hyperlink" Target="https://apps.ecology.wa.gov/ptdbreporting/reports/ReportViewer.aspx?ReportName=ResultDetail&amp;id=%20850" TargetMode="External"/><Relationship Id="rId67" Type="http://schemas.openxmlformats.org/officeDocument/2006/relationships/hyperlink" Target="https://apps.ecology.wa.gov/ptdbreporting/reports/ReportViewer.aspx?ReportName=ResultDetail&amp;id=%201537" TargetMode="External"/><Relationship Id="rId272" Type="http://schemas.openxmlformats.org/officeDocument/2006/relationships/hyperlink" Target="https://apps.ecology.wa.gov/ptdbreporting/reports/ReportViewer.aspx?ReportName=ResultDetail&amp;id=%2031872" TargetMode="External"/><Relationship Id="rId328" Type="http://schemas.openxmlformats.org/officeDocument/2006/relationships/hyperlink" Target="https://apps.ecology.wa.gov/ptdbreporting/reports/ReportViewer.aspx?ReportName=ResultDetail&amp;id=%2031373" TargetMode="External"/><Relationship Id="rId535" Type="http://schemas.openxmlformats.org/officeDocument/2006/relationships/hyperlink" Target="https://apps.ecology.wa.gov/ptdbreporting/reports/ReportViewer.aspx?ReportName=ResultDetail&amp;id=%20189540" TargetMode="External"/><Relationship Id="rId577" Type="http://schemas.openxmlformats.org/officeDocument/2006/relationships/hyperlink" Target="https://apps.ecology.wa.gov/ptdbreporting/reports/ReportViewer.aspx?ReportName=ResultDetail&amp;id=%203104" TargetMode="External"/><Relationship Id="rId132" Type="http://schemas.openxmlformats.org/officeDocument/2006/relationships/hyperlink" Target="https://apps.ecology.wa.gov/ptdbreporting/reports/ReportViewer.aspx?ReportName=ResultDetail&amp;id=%203" TargetMode="External"/><Relationship Id="rId174" Type="http://schemas.openxmlformats.org/officeDocument/2006/relationships/hyperlink" Target="https://apps.ecology.wa.gov/ptdbreporting/reports/ReportViewer.aspx?ReportName=ResultDetail&amp;id=%20249" TargetMode="External"/><Relationship Id="rId381" Type="http://schemas.openxmlformats.org/officeDocument/2006/relationships/hyperlink" Target="https://apps.ecology.wa.gov/ptdbreporting/reports/ReportViewer.aspx?ReportName=ResultDetail&amp;id=%20135688" TargetMode="External"/><Relationship Id="rId602" Type="http://schemas.openxmlformats.org/officeDocument/2006/relationships/hyperlink" Target="https://apps.ecology.wa.gov/ptdbreporting/reports/ReportViewer.aspx?ReportName=ResultDetail&amp;id=%205912" TargetMode="External"/><Relationship Id="rId241" Type="http://schemas.openxmlformats.org/officeDocument/2006/relationships/hyperlink" Target="https://apps.ecology.wa.gov/ptdbreporting/reports/ReportViewer.aspx?ReportName=ResultDetail&amp;id=%2024844" TargetMode="External"/><Relationship Id="rId437" Type="http://schemas.openxmlformats.org/officeDocument/2006/relationships/hyperlink" Target="https://apps.ecology.wa.gov/ptdbreporting/reports/ReportViewer.aspx?ReportName=ResultDetail&amp;id=%20136004" TargetMode="External"/><Relationship Id="rId479" Type="http://schemas.openxmlformats.org/officeDocument/2006/relationships/hyperlink" Target="https://apps.ecology.wa.gov/ptdbreporting/reports/ReportViewer.aspx?ReportName=ResultDetail&amp;id=%20188991" TargetMode="External"/><Relationship Id="rId36" Type="http://schemas.openxmlformats.org/officeDocument/2006/relationships/hyperlink" Target="https://apps.ecology.wa.gov/ptdbreporting/reports/ReportViewer.aspx?ReportName=ResultDetail&amp;id=%201242" TargetMode="External"/><Relationship Id="rId283" Type="http://schemas.openxmlformats.org/officeDocument/2006/relationships/hyperlink" Target="https://apps.ecology.wa.gov/ptdbreporting/reports/ReportViewer.aspx?ReportName=ResultDetail&amp;id=%2030652" TargetMode="External"/><Relationship Id="rId339" Type="http://schemas.openxmlformats.org/officeDocument/2006/relationships/hyperlink" Target="https://apps.ecology.wa.gov/ptdbreporting/reports/ReportViewer.aspx?ReportName=ResultDetail&amp;id=%2031389" TargetMode="External"/><Relationship Id="rId490" Type="http://schemas.openxmlformats.org/officeDocument/2006/relationships/hyperlink" Target="https://apps.ecology.wa.gov/ptdbreporting/reports/ReportViewer.aspx?ReportName=ResultDetail&amp;id=%20189407" TargetMode="External"/><Relationship Id="rId504" Type="http://schemas.openxmlformats.org/officeDocument/2006/relationships/hyperlink" Target="https://apps.ecology.wa.gov/ptdbreporting/reports/ReportViewer.aspx?ReportName=ResultDetail&amp;id=%20189072" TargetMode="External"/><Relationship Id="rId546" Type="http://schemas.openxmlformats.org/officeDocument/2006/relationships/hyperlink" Target="https://apps.ecology.wa.gov/ptdbreporting/reports/ReportViewer.aspx?ReportName=ResultDetail&amp;id=%20189756" TargetMode="External"/><Relationship Id="rId78" Type="http://schemas.openxmlformats.org/officeDocument/2006/relationships/hyperlink" Target="https://apps.ecology.wa.gov/ptdbreporting/reports/ReportViewer.aspx?ReportName=ResultDetail&amp;id=%201593" TargetMode="External"/><Relationship Id="rId101" Type="http://schemas.openxmlformats.org/officeDocument/2006/relationships/hyperlink" Target="https://apps.ecology.wa.gov/ptdbreporting/reports/ReportViewer.aspx?ReportName=ResultDetail&amp;id=%20722" TargetMode="External"/><Relationship Id="rId143" Type="http://schemas.openxmlformats.org/officeDocument/2006/relationships/hyperlink" Target="https://apps.ecology.wa.gov/ptdbreporting/reports/ReportViewer.aspx?ReportName=ResultDetail&amp;id=%20674" TargetMode="External"/><Relationship Id="rId185" Type="http://schemas.openxmlformats.org/officeDocument/2006/relationships/hyperlink" Target="https://apps.ecology.wa.gov/ptdbreporting/reports/ReportViewer.aspx?ReportName=ResultDetail&amp;id=%201808" TargetMode="External"/><Relationship Id="rId350" Type="http://schemas.openxmlformats.org/officeDocument/2006/relationships/hyperlink" Target="https://apps.ecology.wa.gov/ptdbreporting/reports/ReportViewer.aspx?ReportName=ResultDetail&amp;id=%2032864" TargetMode="External"/><Relationship Id="rId406" Type="http://schemas.openxmlformats.org/officeDocument/2006/relationships/hyperlink" Target="https://apps.ecology.wa.gov/ptdbreporting/reports/ReportViewer.aspx?ReportName=ResultDetail&amp;id=%20102546" TargetMode="External"/><Relationship Id="rId588" Type="http://schemas.openxmlformats.org/officeDocument/2006/relationships/hyperlink" Target="https://apps.ecology.wa.gov/ptdbreporting/reports/ReportViewer.aspx?ReportName=ResultDetail&amp;id=%203227" TargetMode="External"/><Relationship Id="rId9" Type="http://schemas.openxmlformats.org/officeDocument/2006/relationships/hyperlink" Target="https://apps.ecology.wa.gov/ptdbreporting/reports/ReportViewer.aspx?ReportName=ResultDetail&amp;id=%201354" TargetMode="External"/><Relationship Id="rId210" Type="http://schemas.openxmlformats.org/officeDocument/2006/relationships/hyperlink" Target="https://apps.ecology.wa.gov/ptdbreporting/reports/ReportViewer.aspx?ReportName=ResultDetail&amp;id=%2025002" TargetMode="External"/><Relationship Id="rId392" Type="http://schemas.openxmlformats.org/officeDocument/2006/relationships/hyperlink" Target="https://apps.ecology.wa.gov/ptdbreporting/reports/ReportViewer.aspx?ReportName=ResultDetail&amp;id=%20102501" TargetMode="External"/><Relationship Id="rId448" Type="http://schemas.openxmlformats.org/officeDocument/2006/relationships/hyperlink" Target="https://apps.ecology.wa.gov/ptdbreporting/reports/ReportViewer.aspx?ReportName=ResultDetail&amp;id=%20160043" TargetMode="External"/><Relationship Id="rId252" Type="http://schemas.openxmlformats.org/officeDocument/2006/relationships/hyperlink" Target="https://apps.ecology.wa.gov/ptdbreporting/reports/ReportViewer.aspx?ReportName=ResultDetail&amp;id=%2031915" TargetMode="External"/><Relationship Id="rId294" Type="http://schemas.openxmlformats.org/officeDocument/2006/relationships/hyperlink" Target="https://apps.ecology.wa.gov/ptdbreporting/reports/ReportViewer.aspx?ReportName=ResultDetail&amp;id=%2030475" TargetMode="External"/><Relationship Id="rId308" Type="http://schemas.openxmlformats.org/officeDocument/2006/relationships/hyperlink" Target="https://apps.ecology.wa.gov/ptdbreporting/reports/ReportViewer.aspx?ReportName=ResultDetail&amp;id=%2030535" TargetMode="External"/><Relationship Id="rId515" Type="http://schemas.openxmlformats.org/officeDocument/2006/relationships/hyperlink" Target="https://apps.ecology.wa.gov/ptdbreporting/reports/ReportViewer.aspx?ReportName=ResultDetail&amp;id=%20189457" TargetMode="External"/><Relationship Id="rId47" Type="http://schemas.openxmlformats.org/officeDocument/2006/relationships/hyperlink" Target="https://apps.ecology.wa.gov/ptdbreporting/reports/ReportViewer.aspx?ReportName=ResultDetail&amp;id=%20962" TargetMode="External"/><Relationship Id="rId89" Type="http://schemas.openxmlformats.org/officeDocument/2006/relationships/hyperlink" Target="https://apps.ecology.wa.gov/ptdbreporting/reports/ReportViewer.aspx?ReportName=ResultDetail&amp;id=%2027" TargetMode="External"/><Relationship Id="rId112" Type="http://schemas.openxmlformats.org/officeDocument/2006/relationships/hyperlink" Target="https://apps.ecology.wa.gov/ptdbreporting/reports/ReportViewer.aspx?ReportName=ResultDetail&amp;id=%201418" TargetMode="External"/><Relationship Id="rId154" Type="http://schemas.openxmlformats.org/officeDocument/2006/relationships/hyperlink" Target="https://apps.ecology.wa.gov/ptdbreporting/reports/ReportViewer.aspx?ReportName=ResultDetail&amp;id=%201705" TargetMode="External"/><Relationship Id="rId361" Type="http://schemas.openxmlformats.org/officeDocument/2006/relationships/hyperlink" Target="https://apps.ecology.wa.gov/ptdbreporting/reports/ReportViewer.aspx?ReportName=ResultDetail&amp;id=%2032904" TargetMode="External"/><Relationship Id="rId557" Type="http://schemas.openxmlformats.org/officeDocument/2006/relationships/hyperlink" Target="https://apps.ecology.wa.gov/ptdbreporting/reports/ReportViewer.aspx?ReportName=ResultDetail&amp;id=%20189684" TargetMode="External"/><Relationship Id="rId599" Type="http://schemas.openxmlformats.org/officeDocument/2006/relationships/hyperlink" Target="https://apps.ecology.wa.gov/ptdbreporting/reports/ReportViewer.aspx?ReportName=ResultDetail&amp;id=%203090" TargetMode="External"/><Relationship Id="rId196" Type="http://schemas.openxmlformats.org/officeDocument/2006/relationships/hyperlink" Target="https://apps.ecology.wa.gov/ptdbreporting/reports/ReportViewer.aspx?ReportName=ResultDetail&amp;id=%201840" TargetMode="External"/><Relationship Id="rId417" Type="http://schemas.openxmlformats.org/officeDocument/2006/relationships/hyperlink" Target="https://apps.ecology.wa.gov/ptdbreporting/reports/ReportViewer.aspx?ReportName=ResultDetail&amp;id=%20135977" TargetMode="External"/><Relationship Id="rId459" Type="http://schemas.openxmlformats.org/officeDocument/2006/relationships/hyperlink" Target="https://apps.ecology.wa.gov/ptdbreporting/reports/ReportViewer.aspx?ReportName=ResultDetail&amp;id=%20159894" TargetMode="External"/><Relationship Id="rId16" Type="http://schemas.openxmlformats.org/officeDocument/2006/relationships/hyperlink" Target="https://apps.ecology.wa.gov/ptdbreporting/reports/ReportViewer.aspx?ReportName=ResultDetail&amp;id=%201010" TargetMode="External"/><Relationship Id="rId221" Type="http://schemas.openxmlformats.org/officeDocument/2006/relationships/hyperlink" Target="https://apps.ecology.wa.gov/ptdbreporting/reports/ReportViewer.aspx?ReportName=ResultDetail&amp;id=%2024462" TargetMode="External"/><Relationship Id="rId263" Type="http://schemas.openxmlformats.org/officeDocument/2006/relationships/hyperlink" Target="https://apps.ecology.wa.gov/ptdbreporting/reports/ReportViewer.aspx?ReportName=ResultDetail&amp;id=%2031824" TargetMode="External"/><Relationship Id="rId319" Type="http://schemas.openxmlformats.org/officeDocument/2006/relationships/hyperlink" Target="https://apps.ecology.wa.gov/ptdbreporting/reports/ReportViewer.aspx?ReportName=ResultDetail&amp;id=%2031261" TargetMode="External"/><Relationship Id="rId470" Type="http://schemas.openxmlformats.org/officeDocument/2006/relationships/hyperlink" Target="https://apps.ecology.wa.gov/ptdbreporting/reports/ReportViewer.aspx?ReportName=ResultDetail&amp;id=%20189381" TargetMode="External"/><Relationship Id="rId526" Type="http://schemas.openxmlformats.org/officeDocument/2006/relationships/hyperlink" Target="https://apps.ecology.wa.gov/ptdbreporting/reports/ReportViewer.aspx?ReportName=ResultDetail&amp;id=%20189441" TargetMode="External"/><Relationship Id="rId58" Type="http://schemas.openxmlformats.org/officeDocument/2006/relationships/hyperlink" Target="https://apps.ecology.wa.gov/ptdbreporting/reports/ReportViewer.aspx?ReportName=ResultDetail&amp;id=%201481" TargetMode="External"/><Relationship Id="rId123" Type="http://schemas.openxmlformats.org/officeDocument/2006/relationships/hyperlink" Target="https://apps.ecology.wa.gov/ptdbreporting/reports/ReportViewer.aspx?ReportName=ResultDetail&amp;id=%20754" TargetMode="External"/><Relationship Id="rId330" Type="http://schemas.openxmlformats.org/officeDocument/2006/relationships/hyperlink" Target="https://apps.ecology.wa.gov/ptdbreporting/reports/ReportViewer.aspx?ReportName=ResultDetail&amp;id=%2031165" TargetMode="External"/><Relationship Id="rId568" Type="http://schemas.openxmlformats.org/officeDocument/2006/relationships/hyperlink" Target="https://apps.ecology.wa.gov/ptdbreporting/reports/ReportViewer.aspx?ReportName=ResultDetail&amp;id=%20189693" TargetMode="External"/><Relationship Id="rId165" Type="http://schemas.openxmlformats.org/officeDocument/2006/relationships/hyperlink" Target="https://apps.ecology.wa.gov/ptdbreporting/reports/ReportViewer.aspx?ReportName=ResultDetail&amp;id=%201090" TargetMode="External"/><Relationship Id="rId372" Type="http://schemas.openxmlformats.org/officeDocument/2006/relationships/hyperlink" Target="https://apps.ecology.wa.gov/ptdbreporting/reports/ReportViewer.aspx?ReportName=ResultDetail&amp;id=%20135616" TargetMode="External"/><Relationship Id="rId428" Type="http://schemas.openxmlformats.org/officeDocument/2006/relationships/hyperlink" Target="https://apps.ecology.wa.gov/ptdbreporting/reports/ReportViewer.aspx?ReportName=ResultDetail&amp;id=%20135860" TargetMode="External"/><Relationship Id="rId232" Type="http://schemas.openxmlformats.org/officeDocument/2006/relationships/hyperlink" Target="https://apps.ecology.wa.gov/ptdbreporting/reports/ReportViewer.aspx?ReportName=ResultDetail&amp;id=%2024899" TargetMode="External"/><Relationship Id="rId274" Type="http://schemas.openxmlformats.org/officeDocument/2006/relationships/hyperlink" Target="https://apps.ecology.wa.gov/ptdbreporting/reports/ReportViewer.aspx?ReportName=ResultDetail&amp;id=%2031954" TargetMode="External"/><Relationship Id="rId481" Type="http://schemas.openxmlformats.org/officeDocument/2006/relationships/hyperlink" Target="https://apps.ecology.wa.gov/ptdbreporting/reports/ReportViewer.aspx?ReportName=ResultDetail&amp;id=%20189063" TargetMode="External"/><Relationship Id="rId27" Type="http://schemas.openxmlformats.org/officeDocument/2006/relationships/hyperlink" Target="https://apps.ecology.wa.gov/ptdbreporting/reports/ReportViewer.aspx?ReportName=ResultDetail&amp;id=%201681" TargetMode="External"/><Relationship Id="rId69" Type="http://schemas.openxmlformats.org/officeDocument/2006/relationships/hyperlink" Target="https://apps.ecology.wa.gov/ptdbreporting/reports/ReportViewer.aspx?ReportName=ResultDetail&amp;id=%201561" TargetMode="External"/><Relationship Id="rId134" Type="http://schemas.openxmlformats.org/officeDocument/2006/relationships/hyperlink" Target="https://apps.ecology.wa.gov/ptdbreporting/reports/ReportViewer.aspx?ReportName=ResultDetail&amp;id=%201154" TargetMode="External"/><Relationship Id="rId537" Type="http://schemas.openxmlformats.org/officeDocument/2006/relationships/hyperlink" Target="https://apps.ecology.wa.gov/ptdbreporting/reports/ReportViewer.aspx?ReportName=ResultDetail&amp;id=%20189792" TargetMode="External"/><Relationship Id="rId579" Type="http://schemas.openxmlformats.org/officeDocument/2006/relationships/hyperlink" Target="https://apps.ecology.wa.gov/ptdbreporting/reports/ReportViewer.aspx?ReportName=ResultDetail&amp;id=%203200" TargetMode="External"/><Relationship Id="rId80" Type="http://schemas.openxmlformats.org/officeDocument/2006/relationships/hyperlink" Target="https://apps.ecology.wa.gov/ptdbreporting/reports/ReportViewer.aspx?ReportName=ResultDetail&amp;id=%201282" TargetMode="External"/><Relationship Id="rId176" Type="http://schemas.openxmlformats.org/officeDocument/2006/relationships/hyperlink" Target="https://apps.ecology.wa.gov/ptdbreporting/reports/ReportViewer.aspx?ReportName=ResultDetail&amp;id=%201752" TargetMode="External"/><Relationship Id="rId341" Type="http://schemas.openxmlformats.org/officeDocument/2006/relationships/hyperlink" Target="https://apps.ecology.wa.gov/ptdbreporting/reports/ReportViewer.aspx?ReportName=ResultDetail&amp;id=%2031341" TargetMode="External"/><Relationship Id="rId383" Type="http://schemas.openxmlformats.org/officeDocument/2006/relationships/hyperlink" Target="https://apps.ecology.wa.gov/ptdbreporting/reports/ReportViewer.aspx?ReportName=ResultDetail&amp;id=%20135724" TargetMode="External"/><Relationship Id="rId439" Type="http://schemas.openxmlformats.org/officeDocument/2006/relationships/hyperlink" Target="https://apps.ecology.wa.gov/ptdbreporting/reports/ReportViewer.aspx?ReportName=ResultDetail&amp;id=%20136049" TargetMode="External"/><Relationship Id="rId590" Type="http://schemas.openxmlformats.org/officeDocument/2006/relationships/hyperlink" Target="https://apps.ecology.wa.gov/ptdbreporting/reports/ReportViewer.aspx?ReportName=ResultDetail&amp;id=%203280" TargetMode="External"/><Relationship Id="rId604" Type="http://schemas.openxmlformats.org/officeDocument/2006/relationships/hyperlink" Target="https://apps.ecology.wa.gov/ptdbreporting/reports/ReportViewer.aspx?ReportName=ResultDetail&amp;id=%205922" TargetMode="External"/><Relationship Id="rId201" Type="http://schemas.openxmlformats.org/officeDocument/2006/relationships/hyperlink" Target="https://apps.ecology.wa.gov/ptdbreporting/reports/ReportViewer.aspx?ReportName=ResultDetail&amp;id=%20698" TargetMode="External"/><Relationship Id="rId243" Type="http://schemas.openxmlformats.org/officeDocument/2006/relationships/hyperlink" Target="https://apps.ecology.wa.gov/ptdbreporting/reports/ReportViewer.aspx?ReportName=ResultDetail&amp;id=%2024807" TargetMode="External"/><Relationship Id="rId285" Type="http://schemas.openxmlformats.org/officeDocument/2006/relationships/hyperlink" Target="https://apps.ecology.wa.gov/ptdbreporting/reports/ReportViewer.aspx?ReportName=ResultDetail&amp;id=%2030660" TargetMode="External"/><Relationship Id="rId450" Type="http://schemas.openxmlformats.org/officeDocument/2006/relationships/hyperlink" Target="https://apps.ecology.wa.gov/ptdbreporting/reports/ReportViewer.aspx?ReportName=ResultDetail&amp;id=%20160027" TargetMode="External"/><Relationship Id="rId506" Type="http://schemas.openxmlformats.org/officeDocument/2006/relationships/hyperlink" Target="https://apps.ecology.wa.gov/ptdbreporting/reports/ReportViewer.aspx?ReportName=ResultDetail&amp;id=%20189337" TargetMode="External"/><Relationship Id="rId38" Type="http://schemas.openxmlformats.org/officeDocument/2006/relationships/hyperlink" Target="https://apps.ecology.wa.gov/ptdbreporting/reports/ReportViewer.aspx?ReportName=ResultDetail&amp;id=%201258" TargetMode="External"/><Relationship Id="rId103" Type="http://schemas.openxmlformats.org/officeDocument/2006/relationships/hyperlink" Target="https://apps.ecology.wa.gov/ptdbreporting/reports/ReportViewer.aspx?ReportName=ResultDetail&amp;id=%20738" TargetMode="External"/><Relationship Id="rId310" Type="http://schemas.openxmlformats.org/officeDocument/2006/relationships/hyperlink" Target="https://apps.ecology.wa.gov/ptdbreporting/reports/ReportViewer.aspx?ReportName=ResultDetail&amp;id=%2030571" TargetMode="External"/><Relationship Id="rId492" Type="http://schemas.openxmlformats.org/officeDocument/2006/relationships/hyperlink" Target="https://apps.ecology.wa.gov/ptdbreporting/reports/ReportViewer.aspx?ReportName=ResultDetail&amp;id=%20188910" TargetMode="External"/><Relationship Id="rId548" Type="http://schemas.openxmlformats.org/officeDocument/2006/relationships/hyperlink" Target="https://apps.ecology.wa.gov/ptdbreporting/reports/ReportViewer.aspx?ReportName=ResultDetail&amp;id=%20189720" TargetMode="External"/><Relationship Id="rId91" Type="http://schemas.openxmlformats.org/officeDocument/2006/relationships/hyperlink" Target="https://apps.ecology.wa.gov/ptdbreporting/reports/ReportViewer.aspx?ReportName=ResultDetail&amp;id=%2035" TargetMode="External"/><Relationship Id="rId145" Type="http://schemas.openxmlformats.org/officeDocument/2006/relationships/hyperlink" Target="https://apps.ecology.wa.gov/ptdbreporting/reports/ReportViewer.aspx?ReportName=ResultDetail&amp;id=%20786" TargetMode="External"/><Relationship Id="rId187" Type="http://schemas.openxmlformats.org/officeDocument/2006/relationships/hyperlink" Target="https://apps.ecology.wa.gov/ptdbreporting/reports/ReportViewer.aspx?ReportName=ResultDetail&amp;id=%20449" TargetMode="External"/><Relationship Id="rId352" Type="http://schemas.openxmlformats.org/officeDocument/2006/relationships/hyperlink" Target="https://apps.ecology.wa.gov/ptdbreporting/reports/ReportViewer.aspx?ReportName=ResultDetail&amp;id=%2032880" TargetMode="External"/><Relationship Id="rId394" Type="http://schemas.openxmlformats.org/officeDocument/2006/relationships/hyperlink" Target="https://apps.ecology.wa.gov/ptdbreporting/reports/ReportViewer.aspx?ReportName=ResultDetail&amp;id=%20102537" TargetMode="External"/><Relationship Id="rId408" Type="http://schemas.openxmlformats.org/officeDocument/2006/relationships/hyperlink" Target="https://apps.ecology.wa.gov/ptdbreporting/reports/ReportViewer.aspx?ReportName=ResultDetail&amp;id=%20102510" TargetMode="External"/><Relationship Id="rId212" Type="http://schemas.openxmlformats.org/officeDocument/2006/relationships/hyperlink" Target="https://apps.ecology.wa.gov/ptdbreporting/reports/ReportViewer.aspx?ReportName=ResultDetail&amp;id=%2024282" TargetMode="External"/><Relationship Id="rId254" Type="http://schemas.openxmlformats.org/officeDocument/2006/relationships/hyperlink" Target="https://apps.ecology.wa.gov/ptdbreporting/reports/ReportViewer.aspx?ReportName=ResultDetail&amp;id=%2031849" TargetMode="External"/><Relationship Id="rId49" Type="http://schemas.openxmlformats.org/officeDocument/2006/relationships/hyperlink" Target="https://apps.ecology.wa.gov/ptdbreporting/reports/ReportViewer.aspx?ReportName=ResultDetail&amp;id=%20746" TargetMode="External"/><Relationship Id="rId114" Type="http://schemas.openxmlformats.org/officeDocument/2006/relationships/hyperlink" Target="https://apps.ecology.wa.gov/ptdbreporting/reports/ReportViewer.aspx?ReportName=ResultDetail&amp;id=%20281" TargetMode="External"/><Relationship Id="rId296" Type="http://schemas.openxmlformats.org/officeDocument/2006/relationships/hyperlink" Target="https://apps.ecology.wa.gov/ptdbreporting/reports/ReportViewer.aspx?ReportName=ResultDetail&amp;id=%2030697" TargetMode="External"/><Relationship Id="rId461" Type="http://schemas.openxmlformats.org/officeDocument/2006/relationships/hyperlink" Target="https://apps.ecology.wa.gov/ptdbreporting/reports/ReportViewer.aspx?ReportName=ResultDetail&amp;id=%20160256" TargetMode="External"/><Relationship Id="rId517" Type="http://schemas.openxmlformats.org/officeDocument/2006/relationships/hyperlink" Target="https://apps.ecology.wa.gov/ptdbreporting/reports/ReportViewer.aspx?ReportName=ResultDetail&amp;id=%20189293" TargetMode="External"/><Relationship Id="rId559" Type="http://schemas.openxmlformats.org/officeDocument/2006/relationships/hyperlink" Target="https://apps.ecology.wa.gov/ptdbreporting/reports/ReportViewer.aspx?ReportName=ResultDetail&amp;id=%20189585" TargetMode="External"/><Relationship Id="rId60" Type="http://schemas.openxmlformats.org/officeDocument/2006/relationships/hyperlink" Target="https://apps.ecology.wa.gov/ptdbreporting/reports/ReportViewer.aspx?ReportName=ResultDetail&amp;id=%20329" TargetMode="External"/><Relationship Id="rId156" Type="http://schemas.openxmlformats.org/officeDocument/2006/relationships/hyperlink" Target="https://apps.ecology.wa.gov/ptdbreporting/reports/ReportViewer.aspx?ReportName=ResultDetail&amp;id=%201058" TargetMode="External"/><Relationship Id="rId198" Type="http://schemas.openxmlformats.org/officeDocument/2006/relationships/hyperlink" Target="https://apps.ecology.wa.gov/ptdbreporting/reports/ReportViewer.aspx?ReportName=ResultDetail&amp;id=%201856" TargetMode="External"/><Relationship Id="rId321" Type="http://schemas.openxmlformats.org/officeDocument/2006/relationships/hyperlink" Target="https://apps.ecology.wa.gov/ptdbreporting/reports/ReportViewer.aspx?ReportName=ResultDetail&amp;id=%2031293" TargetMode="External"/><Relationship Id="rId363" Type="http://schemas.openxmlformats.org/officeDocument/2006/relationships/hyperlink" Target="https://apps.ecology.wa.gov/ptdbreporting/reports/ReportViewer.aspx?ReportName=ResultDetail&amp;id=%2032984" TargetMode="External"/><Relationship Id="rId419" Type="http://schemas.openxmlformats.org/officeDocument/2006/relationships/hyperlink" Target="https://apps.ecology.wa.gov/ptdbreporting/reports/ReportViewer.aspx?ReportName=ResultDetail&amp;id=%20135923" TargetMode="External"/><Relationship Id="rId570" Type="http://schemas.openxmlformats.org/officeDocument/2006/relationships/hyperlink" Target="https://apps.ecology.wa.gov/ptdbreporting/reports/ReportViewer.aspx?ReportName=ResultDetail&amp;id=%203308" TargetMode="External"/><Relationship Id="rId223" Type="http://schemas.openxmlformats.org/officeDocument/2006/relationships/hyperlink" Target="https://apps.ecology.wa.gov/ptdbreporting/reports/ReportViewer.aspx?ReportName=ResultDetail&amp;id=%2024389" TargetMode="External"/><Relationship Id="rId430" Type="http://schemas.openxmlformats.org/officeDocument/2006/relationships/hyperlink" Target="https://apps.ecology.wa.gov/ptdbreporting/reports/ReportViewer.aspx?ReportName=ResultDetail&amp;id=%20135869" TargetMode="External"/><Relationship Id="rId18" Type="http://schemas.openxmlformats.org/officeDocument/2006/relationships/hyperlink" Target="https://apps.ecology.wa.gov/ptdbreporting/reports/ReportViewer.aspx?ReportName=ResultDetail&amp;id=%201018" TargetMode="External"/><Relationship Id="rId265" Type="http://schemas.openxmlformats.org/officeDocument/2006/relationships/hyperlink" Target="https://apps.ecology.wa.gov/ptdbreporting/reports/ReportViewer.aspx?ReportName=ResultDetail&amp;id=%2031833" TargetMode="External"/><Relationship Id="rId472" Type="http://schemas.openxmlformats.org/officeDocument/2006/relationships/hyperlink" Target="https://apps.ecology.wa.gov/ptdbreporting/reports/ReportViewer.aspx?ReportName=ResultDetail&amp;id=%20188928" TargetMode="External"/><Relationship Id="rId528" Type="http://schemas.openxmlformats.org/officeDocument/2006/relationships/hyperlink" Target="https://apps.ecology.wa.gov/ptdbreporting/reports/ReportViewer.aspx?ReportName=ResultDetail&amp;id=%20189501" TargetMode="External"/><Relationship Id="rId125" Type="http://schemas.openxmlformats.org/officeDocument/2006/relationships/hyperlink" Target="https://apps.ecology.wa.gov/ptdbreporting/reports/ReportViewer.aspx?ReportName=ResultDetail&amp;id=%20770" TargetMode="External"/><Relationship Id="rId167" Type="http://schemas.openxmlformats.org/officeDocument/2006/relationships/hyperlink" Target="https://apps.ecology.wa.gov/ptdbreporting/reports/ReportViewer.aspx?ReportName=ResultDetail&amp;id=%201721" TargetMode="External"/><Relationship Id="rId332" Type="http://schemas.openxmlformats.org/officeDocument/2006/relationships/hyperlink" Target="https://apps.ecology.wa.gov/ptdbreporting/reports/ReportViewer.aspx?ReportName=ResultDetail&amp;id=%2031173" TargetMode="External"/><Relationship Id="rId374" Type="http://schemas.openxmlformats.org/officeDocument/2006/relationships/hyperlink" Target="https://apps.ecology.wa.gov/ptdbreporting/reports/ReportViewer.aspx?ReportName=ResultDetail&amp;id=%20135625" TargetMode="External"/><Relationship Id="rId581" Type="http://schemas.openxmlformats.org/officeDocument/2006/relationships/hyperlink" Target="https://apps.ecology.wa.gov/ptdbreporting/reports/ReportViewer.aspx?ReportName=ResultDetail&amp;id=%203297" TargetMode="External"/><Relationship Id="rId71" Type="http://schemas.openxmlformats.org/officeDocument/2006/relationships/hyperlink" Target="https://apps.ecology.wa.gov/ptdbreporting/reports/ReportViewer.aspx?ReportName=ResultDetail&amp;id=%20353" TargetMode="External"/><Relationship Id="rId234" Type="http://schemas.openxmlformats.org/officeDocument/2006/relationships/hyperlink" Target="https://apps.ecology.wa.gov/ptdbreporting/reports/ReportViewer.aspx?ReportName=ResultDetail&amp;id=%2025028" TargetMode="External"/><Relationship Id="rId2" Type="http://schemas.openxmlformats.org/officeDocument/2006/relationships/hyperlink" Target="https://apps.ecology.wa.gov/ptdbreporting/reports/ReportViewer.aspx?ReportName=ResultDetail&amp;id=%201553" TargetMode="External"/><Relationship Id="rId29" Type="http://schemas.openxmlformats.org/officeDocument/2006/relationships/hyperlink" Target="https://apps.ecology.wa.gov/ptdbreporting/reports/ReportViewer.aspx?ReportName=ResultDetail&amp;id=%20409" TargetMode="External"/><Relationship Id="rId276" Type="http://schemas.openxmlformats.org/officeDocument/2006/relationships/hyperlink" Target="https://apps.ecology.wa.gov/ptdbreporting/reports/ReportViewer.aspx?ReportName=ResultDetail&amp;id=%2031841" TargetMode="External"/><Relationship Id="rId441" Type="http://schemas.openxmlformats.org/officeDocument/2006/relationships/hyperlink" Target="https://apps.ecology.wa.gov/ptdbreporting/reports/ReportViewer.aspx?ReportName=ResultDetail&amp;id=%20159910" TargetMode="External"/><Relationship Id="rId483" Type="http://schemas.openxmlformats.org/officeDocument/2006/relationships/hyperlink" Target="https://apps.ecology.wa.gov/ptdbreporting/reports/ReportViewer.aspx?ReportName=ResultDetail&amp;id=%20189390" TargetMode="External"/><Relationship Id="rId539" Type="http://schemas.openxmlformats.org/officeDocument/2006/relationships/hyperlink" Target="https://apps.ecology.wa.gov/ptdbreporting/reports/ReportViewer.aspx?ReportName=ResultDetail&amp;id=%20189657" TargetMode="External"/><Relationship Id="rId40" Type="http://schemas.openxmlformats.org/officeDocument/2006/relationships/hyperlink" Target="https://apps.ecology.wa.gov/ptdbreporting/reports/ReportViewer.aspx?ReportName=ResultDetail&amp;id=%201914" TargetMode="External"/><Relationship Id="rId136" Type="http://schemas.openxmlformats.org/officeDocument/2006/relationships/hyperlink" Target="https://apps.ecology.wa.gov/ptdbreporting/reports/ReportViewer.aspx?ReportName=ResultDetail&amp;id=%201138" TargetMode="External"/><Relationship Id="rId178" Type="http://schemas.openxmlformats.org/officeDocument/2006/relationships/hyperlink" Target="https://apps.ecology.wa.gov/ptdbreporting/reports/ReportViewer.aspx?ReportName=ResultDetail&amp;id=%201768" TargetMode="External"/><Relationship Id="rId301" Type="http://schemas.openxmlformats.org/officeDocument/2006/relationships/hyperlink" Target="https://apps.ecology.wa.gov/ptdbreporting/reports/ReportViewer.aspx?ReportName=ResultDetail&amp;id=%2030630" TargetMode="External"/><Relationship Id="rId343" Type="http://schemas.openxmlformats.org/officeDocument/2006/relationships/hyperlink" Target="https://apps.ecology.wa.gov/ptdbreporting/reports/ReportViewer.aspx?ReportName=ResultDetail&amp;id=%2032824" TargetMode="External"/><Relationship Id="rId550" Type="http://schemas.openxmlformats.org/officeDocument/2006/relationships/hyperlink" Target="https://apps.ecology.wa.gov/ptdbreporting/reports/ReportViewer.aspx?ReportName=ResultDetail&amp;id=%20189765" TargetMode="External"/><Relationship Id="rId82" Type="http://schemas.openxmlformats.org/officeDocument/2006/relationships/hyperlink" Target="https://apps.ecology.wa.gov/ptdbreporting/reports/ReportViewer.aspx?ReportName=ResultDetail&amp;id=%20369" TargetMode="External"/><Relationship Id="rId203" Type="http://schemas.openxmlformats.org/officeDocument/2006/relationships/hyperlink" Target="https://apps.ecology.wa.gov/ptdbreporting/reports/ReportViewer.aspx?ReportName=ResultDetail&amp;id=%2024939" TargetMode="External"/><Relationship Id="rId385" Type="http://schemas.openxmlformats.org/officeDocument/2006/relationships/hyperlink" Target="https://apps.ecology.wa.gov/ptdbreporting/reports/ReportViewer.aspx?ReportName=ResultDetail&amp;id=%20135715" TargetMode="External"/><Relationship Id="rId592" Type="http://schemas.openxmlformats.org/officeDocument/2006/relationships/hyperlink" Target="https://apps.ecology.wa.gov/ptdbreporting/reports/ReportViewer.aspx?ReportName=ResultDetail&amp;id=%203109" TargetMode="External"/><Relationship Id="rId606" Type="http://schemas.openxmlformats.org/officeDocument/2006/relationships/hyperlink" Target="https://apps.ecology.wa.gov/ptdbreporting/reports/ReportViewer.aspx?ReportName=ResultDetail&amp;id=%205940" TargetMode="External"/><Relationship Id="rId245" Type="http://schemas.openxmlformats.org/officeDocument/2006/relationships/hyperlink" Target="https://apps.ecology.wa.gov/ptdbreporting/reports/ReportViewer.aspx?ReportName=ResultDetail&amp;id=%2024978" TargetMode="External"/><Relationship Id="rId287" Type="http://schemas.openxmlformats.org/officeDocument/2006/relationships/hyperlink" Target="https://apps.ecology.wa.gov/ptdbreporting/reports/ReportViewer.aspx?ReportName=ResultDetail&amp;id=%2030688" TargetMode="External"/><Relationship Id="rId410" Type="http://schemas.openxmlformats.org/officeDocument/2006/relationships/hyperlink" Target="https://apps.ecology.wa.gov/ptdbreporting/reports/ReportViewer.aspx?ReportName=ResultDetail&amp;id=%20102591" TargetMode="External"/><Relationship Id="rId452" Type="http://schemas.openxmlformats.org/officeDocument/2006/relationships/hyperlink" Target="https://apps.ecology.wa.gov/ptdbreporting/reports/ReportViewer.aspx?ReportName=ResultDetail&amp;id=%20159901" TargetMode="External"/><Relationship Id="rId494" Type="http://schemas.openxmlformats.org/officeDocument/2006/relationships/hyperlink" Target="https://apps.ecology.wa.gov/ptdbreporting/reports/ReportViewer.aspx?ReportName=ResultDetail&amp;id=%20189241" TargetMode="External"/><Relationship Id="rId508" Type="http://schemas.openxmlformats.org/officeDocument/2006/relationships/hyperlink" Target="https://apps.ecology.wa.gov/ptdbreporting/reports/ReportViewer.aspx?ReportName=ResultDetail&amp;id=%20189372" TargetMode="External"/><Relationship Id="rId105" Type="http://schemas.openxmlformats.org/officeDocument/2006/relationships/hyperlink" Target="https://apps.ecology.wa.gov/ptdbreporting/reports/ReportViewer.aspx?ReportName=ResultDetail&amp;id=%20265" TargetMode="External"/><Relationship Id="rId147" Type="http://schemas.openxmlformats.org/officeDocument/2006/relationships/hyperlink" Target="https://apps.ecology.wa.gov/ptdbreporting/reports/ReportViewer.aspx?ReportName=ResultDetail&amp;id=%20802" TargetMode="External"/><Relationship Id="rId312" Type="http://schemas.openxmlformats.org/officeDocument/2006/relationships/hyperlink" Target="https://apps.ecology.wa.gov/ptdbreporting/reports/ReportViewer.aspx?ReportName=ResultDetail&amp;id=%2031245" TargetMode="External"/><Relationship Id="rId354" Type="http://schemas.openxmlformats.org/officeDocument/2006/relationships/hyperlink" Target="https://apps.ecology.wa.gov/ptdbreporting/reports/ReportViewer.aspx?ReportName=ResultDetail&amp;id=%2032920" TargetMode="External"/><Relationship Id="rId51" Type="http://schemas.openxmlformats.org/officeDocument/2006/relationships/hyperlink" Target="https://apps.ecology.wa.gov/ptdbreporting/reports/ReportViewer.aspx?ReportName=ResultDetail&amp;id=%201458" TargetMode="External"/><Relationship Id="rId93" Type="http://schemas.openxmlformats.org/officeDocument/2006/relationships/hyperlink" Target="https://apps.ecology.wa.gov/ptdbreporting/reports/ReportViewer.aspx?ReportName=ResultDetail&amp;id=%201922" TargetMode="External"/><Relationship Id="rId189" Type="http://schemas.openxmlformats.org/officeDocument/2006/relationships/hyperlink" Target="https://apps.ecology.wa.gov/ptdbreporting/reports/ReportViewer.aspx?ReportName=ResultDetail&amp;id=%20457" TargetMode="External"/><Relationship Id="rId396" Type="http://schemas.openxmlformats.org/officeDocument/2006/relationships/hyperlink" Target="https://apps.ecology.wa.gov/ptdbreporting/reports/ReportViewer.aspx?ReportName=ResultDetail&amp;id=%20102519" TargetMode="External"/><Relationship Id="rId561" Type="http://schemas.openxmlformats.org/officeDocument/2006/relationships/hyperlink" Target="https://apps.ecology.wa.gov/ptdbreporting/reports/ReportViewer.aspx?ReportName=ResultDetail&amp;id=%20189675" TargetMode="External"/><Relationship Id="rId214" Type="http://schemas.openxmlformats.org/officeDocument/2006/relationships/hyperlink" Target="https://apps.ecology.wa.gov/ptdbreporting/reports/ReportViewer.aspx?ReportName=ResultDetail&amp;id=%2025101" TargetMode="External"/><Relationship Id="rId256" Type="http://schemas.openxmlformats.org/officeDocument/2006/relationships/hyperlink" Target="https://apps.ecology.wa.gov/ptdbreporting/reports/ReportViewer.aspx?ReportName=ResultDetail&amp;id=%2031989" TargetMode="External"/><Relationship Id="rId298" Type="http://schemas.openxmlformats.org/officeDocument/2006/relationships/hyperlink" Target="https://apps.ecology.wa.gov/ptdbreporting/reports/ReportViewer.aspx?ReportName=ResultDetail&amp;id=%2030621" TargetMode="External"/><Relationship Id="rId421" Type="http://schemas.openxmlformats.org/officeDocument/2006/relationships/hyperlink" Target="https://apps.ecology.wa.gov/ptdbreporting/reports/ReportViewer.aspx?ReportName=ResultDetail&amp;id=%20135914" TargetMode="External"/><Relationship Id="rId463" Type="http://schemas.openxmlformats.org/officeDocument/2006/relationships/hyperlink" Target="https://apps.ecology.wa.gov/ptdbreporting/reports/ReportViewer.aspx?ReportName=ResultDetail&amp;id=%20160002" TargetMode="External"/><Relationship Id="rId519" Type="http://schemas.openxmlformats.org/officeDocument/2006/relationships/hyperlink" Target="https://apps.ecology.wa.gov/ptdbreporting/reports/ReportViewer.aspx?ReportName=ResultDetail&amp;id=%20189492" TargetMode="External"/><Relationship Id="rId116" Type="http://schemas.openxmlformats.org/officeDocument/2006/relationships/hyperlink" Target="https://apps.ecology.wa.gov/ptdbreporting/reports/ReportViewer.aspx?ReportName=ResultDetail&amp;id=%20289" TargetMode="External"/><Relationship Id="rId158" Type="http://schemas.openxmlformats.org/officeDocument/2006/relationships/hyperlink" Target="https://apps.ecology.wa.gov/ptdbreporting/reports/ReportViewer.aspx?ReportName=ResultDetail&amp;id=%201713" TargetMode="External"/><Relationship Id="rId323" Type="http://schemas.openxmlformats.org/officeDocument/2006/relationships/hyperlink" Target="https://apps.ecology.wa.gov/ptdbreporting/reports/ReportViewer.aspx?ReportName=ResultDetail&amp;id=%2031325" TargetMode="External"/><Relationship Id="rId530" Type="http://schemas.openxmlformats.org/officeDocument/2006/relationships/hyperlink" Target="https://apps.ecology.wa.gov/ptdbreporting/reports/ReportViewer.aspx?ReportName=ResultDetail&amp;id=%20189801" TargetMode="External"/><Relationship Id="rId20" Type="http://schemas.openxmlformats.org/officeDocument/2006/relationships/hyperlink" Target="https://apps.ecology.wa.gov/ptdbreporting/reports/ReportViewer.aspx?ReportName=ResultDetail&amp;id=%201026" TargetMode="External"/><Relationship Id="rId62" Type="http://schemas.openxmlformats.org/officeDocument/2006/relationships/hyperlink" Target="https://apps.ecology.wa.gov/ptdbreporting/reports/ReportViewer.aspx?ReportName=ResultDetail&amp;id=%201505" TargetMode="External"/><Relationship Id="rId365" Type="http://schemas.openxmlformats.org/officeDocument/2006/relationships/hyperlink" Target="https://apps.ecology.wa.gov/ptdbreporting/reports/ReportViewer.aspx?ReportName=ResultDetail&amp;id=%2033000" TargetMode="External"/><Relationship Id="rId572" Type="http://schemas.openxmlformats.org/officeDocument/2006/relationships/hyperlink" Target="https://apps.ecology.wa.gov/ptdbreporting/reports/ReportViewer.aspx?ReportName=ResultDetail&amp;id=%203096" TargetMode="External"/><Relationship Id="rId225" Type="http://schemas.openxmlformats.org/officeDocument/2006/relationships/hyperlink" Target="https://apps.ecology.wa.gov/ptdbreporting/reports/ReportViewer.aspx?ReportName=ResultDetail&amp;id=%2024965" TargetMode="External"/><Relationship Id="rId267" Type="http://schemas.openxmlformats.org/officeDocument/2006/relationships/hyperlink" Target="https://apps.ecology.wa.gov/ptdbreporting/reports/ReportViewer.aspx?ReportName=ResultDetail&amp;id=%2031964" TargetMode="External"/><Relationship Id="rId432" Type="http://schemas.openxmlformats.org/officeDocument/2006/relationships/hyperlink" Target="https://apps.ecology.wa.gov/ptdbreporting/reports/ReportViewer.aspx?ReportName=ResultDetail&amp;id=%20136022" TargetMode="External"/><Relationship Id="rId474" Type="http://schemas.openxmlformats.org/officeDocument/2006/relationships/hyperlink" Target="https://apps.ecology.wa.gov/ptdbreporting/reports/ReportViewer.aspx?ReportName=ResultDetail&amp;id=%20189054" TargetMode="External"/><Relationship Id="rId127" Type="http://schemas.openxmlformats.org/officeDocument/2006/relationships/hyperlink" Target="https://apps.ecology.wa.gov/ptdbreporting/reports/ReportViewer.aspx?ReportName=ResultDetail&amp;id=%201146" TargetMode="External"/><Relationship Id="rId31" Type="http://schemas.openxmlformats.org/officeDocument/2006/relationships/hyperlink" Target="https://apps.ecology.wa.gov/ptdbreporting/reports/ReportViewer.aspx?ReportName=ResultDetail&amp;id=%201202" TargetMode="External"/><Relationship Id="rId73" Type="http://schemas.openxmlformats.org/officeDocument/2006/relationships/hyperlink" Target="https://apps.ecology.wa.gov/ptdbreporting/reports/ReportViewer.aspx?ReportName=ResultDetail&amp;id=%201569" TargetMode="External"/><Relationship Id="rId169" Type="http://schemas.openxmlformats.org/officeDocument/2006/relationships/hyperlink" Target="https://apps.ecology.wa.gov/ptdbreporting/reports/ReportViewer.aspx?ReportName=ResultDetail&amp;id=%20938" TargetMode="External"/><Relationship Id="rId334" Type="http://schemas.openxmlformats.org/officeDocument/2006/relationships/hyperlink" Target="https://apps.ecology.wa.gov/ptdbreporting/reports/ReportViewer.aspx?ReportName=ResultDetail&amp;id=%2031301" TargetMode="External"/><Relationship Id="rId376" Type="http://schemas.openxmlformats.org/officeDocument/2006/relationships/hyperlink" Target="https://apps.ecology.wa.gov/ptdbreporting/reports/ReportViewer.aspx?ReportName=ResultDetail&amp;id=%20135643" TargetMode="External"/><Relationship Id="rId541" Type="http://schemas.openxmlformats.org/officeDocument/2006/relationships/hyperlink" Target="https://apps.ecology.wa.gov/ptdbreporting/reports/ReportViewer.aspx?ReportName=ResultDetail&amp;id=%20189738" TargetMode="External"/><Relationship Id="rId583" Type="http://schemas.openxmlformats.org/officeDocument/2006/relationships/hyperlink" Target="https://apps.ecology.wa.gov/ptdbreporting/reports/ReportViewer.aspx?ReportName=ResultDetail&amp;id=%203143" TargetMode="External"/><Relationship Id="rId4" Type="http://schemas.openxmlformats.org/officeDocument/2006/relationships/hyperlink" Target="https://apps.ecology.wa.gov/ptdbreporting/reports/ReportViewer.aspx?ReportName=ResultDetail&amp;id=%201617" TargetMode="External"/><Relationship Id="rId180" Type="http://schemas.openxmlformats.org/officeDocument/2006/relationships/hyperlink" Target="https://apps.ecology.wa.gov/ptdbreporting/reports/ReportViewer.aspx?ReportName=ResultDetail&amp;id=%20425" TargetMode="External"/><Relationship Id="rId236" Type="http://schemas.openxmlformats.org/officeDocument/2006/relationships/hyperlink" Target="https://apps.ecology.wa.gov/ptdbreporting/reports/ReportViewer.aspx?ReportName=ResultDetail&amp;id=%2024433" TargetMode="External"/><Relationship Id="rId278" Type="http://schemas.openxmlformats.org/officeDocument/2006/relationships/hyperlink" Target="https://apps.ecology.wa.gov/ptdbreporting/reports/ReportViewer.aspx?ReportName=ResultDetail&amp;id=%2024779" TargetMode="External"/><Relationship Id="rId401" Type="http://schemas.openxmlformats.org/officeDocument/2006/relationships/hyperlink" Target="https://apps.ecology.wa.gov/ptdbreporting/reports/ReportViewer.aspx?ReportName=ResultDetail&amp;id=%20102627" TargetMode="External"/><Relationship Id="rId443" Type="http://schemas.openxmlformats.org/officeDocument/2006/relationships/hyperlink" Target="https://apps.ecology.wa.gov/ptdbreporting/reports/ReportViewer.aspx?ReportName=ResultDetail&amp;id=%20159860" TargetMode="External"/><Relationship Id="rId303" Type="http://schemas.openxmlformats.org/officeDocument/2006/relationships/hyperlink" Target="https://apps.ecology.wa.gov/ptdbreporting/reports/ReportViewer.aspx?ReportName=ResultDetail&amp;id=%2030544" TargetMode="External"/><Relationship Id="rId485" Type="http://schemas.openxmlformats.org/officeDocument/2006/relationships/hyperlink" Target="https://apps.ecology.wa.gov/ptdbreporting/reports/ReportViewer.aspx?ReportName=ResultDetail&amp;id=%20189465" TargetMode="External"/><Relationship Id="rId42" Type="http://schemas.openxmlformats.org/officeDocument/2006/relationships/hyperlink" Target="https://apps.ecology.wa.gov/ptdbreporting/reports/ReportViewer.aspx?ReportName=ResultDetail&amp;id=%201890" TargetMode="External"/><Relationship Id="rId84" Type="http://schemas.openxmlformats.org/officeDocument/2006/relationships/hyperlink" Target="https://apps.ecology.wa.gov/ptdbreporting/reports/ReportViewer.aspx?ReportName=ResultDetail&amp;id=%20385" TargetMode="External"/><Relationship Id="rId138" Type="http://schemas.openxmlformats.org/officeDocument/2006/relationships/hyperlink" Target="https://apps.ecology.wa.gov/ptdbreporting/reports/ReportViewer.aspx?ReportName=ResultDetail&amp;id=%201178" TargetMode="External"/><Relationship Id="rId345" Type="http://schemas.openxmlformats.org/officeDocument/2006/relationships/hyperlink" Target="https://apps.ecology.wa.gov/ptdbreporting/reports/ReportViewer.aspx?ReportName=ResultDetail&amp;id=%2032848" TargetMode="External"/><Relationship Id="rId387" Type="http://schemas.openxmlformats.org/officeDocument/2006/relationships/hyperlink" Target="https://apps.ecology.wa.gov/ptdbreporting/reports/ReportViewer.aspx?ReportName=ResultDetail&amp;id=%20135733" TargetMode="External"/><Relationship Id="rId510" Type="http://schemas.openxmlformats.org/officeDocument/2006/relationships/hyperlink" Target="https://apps.ecology.wa.gov/ptdbreporting/reports/ReportViewer.aspx?ReportName=ResultDetail&amp;id=%20189160" TargetMode="External"/><Relationship Id="rId552" Type="http://schemas.openxmlformats.org/officeDocument/2006/relationships/hyperlink" Target="https://apps.ecology.wa.gov/ptdbreporting/reports/ReportViewer.aspx?ReportName=ResultDetail&amp;id=%20189594" TargetMode="External"/><Relationship Id="rId594" Type="http://schemas.openxmlformats.org/officeDocument/2006/relationships/hyperlink" Target="https://apps.ecology.wa.gov/ptdbreporting/reports/ReportViewer.aspx?ReportName=ResultDetail&amp;id=%203532" TargetMode="External"/><Relationship Id="rId608" Type="http://schemas.openxmlformats.org/officeDocument/2006/relationships/hyperlink" Target="https://apps.ecology.wa.gov/ptdbreporting/reports/ReportViewer.aspx?ReportName=ResultDetail&amp;id=%205958" TargetMode="External"/><Relationship Id="rId191" Type="http://schemas.openxmlformats.org/officeDocument/2006/relationships/hyperlink" Target="https://apps.ecology.wa.gov/ptdbreporting/reports/ReportViewer.aspx?ReportName=ResultDetail&amp;id=%201824" TargetMode="External"/><Relationship Id="rId205" Type="http://schemas.openxmlformats.org/officeDocument/2006/relationships/hyperlink" Target="https://apps.ecology.wa.gov/ptdbreporting/reports/ReportViewer.aspx?ReportName=ResultDetail&amp;id=%2024474" TargetMode="External"/><Relationship Id="rId247" Type="http://schemas.openxmlformats.org/officeDocument/2006/relationships/hyperlink" Target="https://apps.ecology.wa.gov/ptdbreporting/reports/ReportViewer.aspx?ReportName=ResultDetail&amp;id=%2024362" TargetMode="External"/><Relationship Id="rId412" Type="http://schemas.openxmlformats.org/officeDocument/2006/relationships/hyperlink" Target="https://apps.ecology.wa.gov/ptdbreporting/reports/ReportViewer.aspx?ReportName=ResultDetail&amp;id=%20136067" TargetMode="External"/><Relationship Id="rId107" Type="http://schemas.openxmlformats.org/officeDocument/2006/relationships/hyperlink" Target="https://apps.ecology.wa.gov/ptdbreporting/reports/ReportViewer.aspx?ReportName=ResultDetail&amp;id=%201386" TargetMode="External"/><Relationship Id="rId289" Type="http://schemas.openxmlformats.org/officeDocument/2006/relationships/hyperlink" Target="https://apps.ecology.wa.gov/ptdbreporting/reports/ReportViewer.aspx?ReportName=ResultDetail&amp;id=%2030709" TargetMode="External"/><Relationship Id="rId454" Type="http://schemas.openxmlformats.org/officeDocument/2006/relationships/hyperlink" Target="https://apps.ecology.wa.gov/ptdbreporting/reports/ReportViewer.aspx?ReportName=ResultDetail&amp;id=%20159985" TargetMode="External"/><Relationship Id="rId496" Type="http://schemas.openxmlformats.org/officeDocument/2006/relationships/hyperlink" Target="https://apps.ecology.wa.gov/ptdbreporting/reports/ReportViewer.aspx?ReportName=ResultDetail&amp;id=%20189268" TargetMode="External"/><Relationship Id="rId11" Type="http://schemas.openxmlformats.org/officeDocument/2006/relationships/hyperlink" Target="https://apps.ecology.wa.gov/ptdbreporting/reports/ReportViewer.aspx?ReportName=ResultDetail&amp;id=%201728" TargetMode="External"/><Relationship Id="rId53" Type="http://schemas.openxmlformats.org/officeDocument/2006/relationships/hyperlink" Target="https://apps.ecology.wa.gov/ptdbreporting/reports/ReportViewer.aspx?ReportName=ResultDetail&amp;id=%20305" TargetMode="External"/><Relationship Id="rId149" Type="http://schemas.openxmlformats.org/officeDocument/2006/relationships/hyperlink" Target="https://apps.ecology.wa.gov/ptdbreporting/reports/ReportViewer.aspx?ReportName=ResultDetail&amp;id=%201689" TargetMode="External"/><Relationship Id="rId314" Type="http://schemas.openxmlformats.org/officeDocument/2006/relationships/hyperlink" Target="https://apps.ecology.wa.gov/ptdbreporting/reports/ReportViewer.aspx?ReportName=ResultDetail&amp;id=%2031349" TargetMode="External"/><Relationship Id="rId356" Type="http://schemas.openxmlformats.org/officeDocument/2006/relationships/hyperlink" Target="https://apps.ecology.wa.gov/ptdbreporting/reports/ReportViewer.aspx?ReportName=ResultDetail&amp;id=%2032888" TargetMode="External"/><Relationship Id="rId398" Type="http://schemas.openxmlformats.org/officeDocument/2006/relationships/hyperlink" Target="https://apps.ecology.wa.gov/ptdbreporting/reports/ReportViewer.aspx?ReportName=ResultDetail&amp;id=%20102600" TargetMode="External"/><Relationship Id="rId521" Type="http://schemas.openxmlformats.org/officeDocument/2006/relationships/hyperlink" Target="https://apps.ecology.wa.gov/ptdbreporting/reports/ReportViewer.aspx?ReportName=ResultDetail&amp;id=%20189169" TargetMode="External"/><Relationship Id="rId563" Type="http://schemas.openxmlformats.org/officeDocument/2006/relationships/hyperlink" Target="https://apps.ecology.wa.gov/ptdbreporting/reports/ReportViewer.aspx?ReportName=ResultDetail&amp;id=%20189783" TargetMode="External"/><Relationship Id="rId95" Type="http://schemas.openxmlformats.org/officeDocument/2006/relationships/hyperlink" Target="https://apps.ecology.wa.gov/ptdbreporting/reports/ReportViewer.aspx?ReportName=ResultDetail&amp;id=%2051" TargetMode="External"/><Relationship Id="rId160" Type="http://schemas.openxmlformats.org/officeDocument/2006/relationships/hyperlink" Target="https://apps.ecology.wa.gov/ptdbreporting/reports/ReportViewer.aspx?ReportName=ResultDetail&amp;id=%201066" TargetMode="External"/><Relationship Id="rId216" Type="http://schemas.openxmlformats.org/officeDocument/2006/relationships/hyperlink" Target="https://apps.ecology.wa.gov/ptdbreporting/reports/ReportViewer.aspx?ReportName=ResultDetail&amp;id=%2025074" TargetMode="External"/><Relationship Id="rId423" Type="http://schemas.openxmlformats.org/officeDocument/2006/relationships/hyperlink" Target="https://apps.ecology.wa.gov/ptdbreporting/reports/ReportViewer.aspx?ReportName=ResultDetail&amp;id=%20135950" TargetMode="External"/><Relationship Id="rId258" Type="http://schemas.openxmlformats.org/officeDocument/2006/relationships/hyperlink" Target="https://apps.ecology.wa.gov/ptdbreporting/reports/ReportViewer.aspx?ReportName=ResultDetail&amp;id=%2032012" TargetMode="External"/><Relationship Id="rId465" Type="http://schemas.openxmlformats.org/officeDocument/2006/relationships/hyperlink" Target="https://apps.ecology.wa.gov/ptdbreporting/reports/ReportViewer.aspx?ReportName=ResultDetail&amp;id=%20160236" TargetMode="External"/><Relationship Id="rId22" Type="http://schemas.openxmlformats.org/officeDocument/2006/relationships/hyperlink" Target="https://apps.ecology.wa.gov/ptdbreporting/reports/ReportViewer.aspx?ReportName=ResultDetail&amp;id=%20834" TargetMode="External"/><Relationship Id="rId64" Type="http://schemas.openxmlformats.org/officeDocument/2006/relationships/hyperlink" Target="https://apps.ecology.wa.gov/ptdbreporting/reports/ReportViewer.aspx?ReportName=ResultDetail&amp;id=%201513" TargetMode="External"/><Relationship Id="rId118" Type="http://schemas.openxmlformats.org/officeDocument/2006/relationships/hyperlink" Target="https://apps.ecology.wa.gov/ptdbreporting/reports/ReportViewer.aspx?ReportName=ResultDetail&amp;id=%201442" TargetMode="External"/><Relationship Id="rId325" Type="http://schemas.openxmlformats.org/officeDocument/2006/relationships/hyperlink" Target="https://apps.ecology.wa.gov/ptdbreporting/reports/ReportViewer.aspx?ReportName=ResultDetail&amp;id=%2031213" TargetMode="External"/><Relationship Id="rId367" Type="http://schemas.openxmlformats.org/officeDocument/2006/relationships/hyperlink" Target="https://apps.ecology.wa.gov/ptdbreporting/reports/ReportViewer.aspx?ReportName=ResultDetail&amp;id=%2033016" TargetMode="External"/><Relationship Id="rId532" Type="http://schemas.openxmlformats.org/officeDocument/2006/relationships/hyperlink" Target="https://apps.ecology.wa.gov/ptdbreporting/reports/ReportViewer.aspx?ReportName=ResultDetail&amp;id=%20189513" TargetMode="External"/><Relationship Id="rId574" Type="http://schemas.openxmlformats.org/officeDocument/2006/relationships/hyperlink" Target="https://apps.ecology.wa.gov/ptdbreporting/reports/ReportViewer.aspx?ReportName=ResultDetail&amp;id=%203146" TargetMode="External"/><Relationship Id="rId171" Type="http://schemas.openxmlformats.org/officeDocument/2006/relationships/hyperlink" Target="https://apps.ecology.wa.gov/ptdbreporting/reports/ReportViewer.aspx?ReportName=ResultDetail&amp;id=%20417" TargetMode="External"/><Relationship Id="rId227" Type="http://schemas.openxmlformats.org/officeDocument/2006/relationships/hyperlink" Target="https://apps.ecology.wa.gov/ptdbreporting/reports/ReportViewer.aspx?ReportName=ResultDetail&amp;id=%2024993" TargetMode="External"/><Relationship Id="rId269" Type="http://schemas.openxmlformats.org/officeDocument/2006/relationships/hyperlink" Target="https://apps.ecology.wa.gov/ptdbreporting/reports/ReportViewer.aspx?ReportName=ResultDetail&amp;id=%2031762" TargetMode="External"/><Relationship Id="rId434" Type="http://schemas.openxmlformats.org/officeDocument/2006/relationships/hyperlink" Target="https://apps.ecology.wa.gov/ptdbreporting/reports/ReportViewer.aspx?ReportName=ResultDetail&amp;id=%20135805" TargetMode="External"/><Relationship Id="rId476" Type="http://schemas.openxmlformats.org/officeDocument/2006/relationships/hyperlink" Target="https://apps.ecology.wa.gov/ptdbreporting/reports/ReportViewer.aspx?ReportName=ResultDetail&amp;id=%20189009" TargetMode="External"/><Relationship Id="rId33" Type="http://schemas.openxmlformats.org/officeDocument/2006/relationships/hyperlink" Target="https://apps.ecology.wa.gov/ptdbreporting/reports/ReportViewer.aspx?ReportName=ResultDetail&amp;id=%201218" TargetMode="External"/><Relationship Id="rId129" Type="http://schemas.openxmlformats.org/officeDocument/2006/relationships/hyperlink" Target="https://apps.ecology.wa.gov/ptdbreporting/reports/ReportViewer.aspx?ReportName=ResultDetail&amp;id=%20994" TargetMode="External"/><Relationship Id="rId280" Type="http://schemas.openxmlformats.org/officeDocument/2006/relationships/hyperlink" Target="https://apps.ecology.wa.gov/ptdbreporting/reports/ReportViewer.aspx?ReportName=ResultDetail&amp;id=%2031797" TargetMode="External"/><Relationship Id="rId336" Type="http://schemas.openxmlformats.org/officeDocument/2006/relationships/hyperlink" Target="https://apps.ecology.wa.gov/ptdbreporting/reports/ReportViewer.aspx?ReportName=ResultDetail&amp;id=%2031205" TargetMode="External"/><Relationship Id="rId501" Type="http://schemas.openxmlformats.org/officeDocument/2006/relationships/hyperlink" Target="https://apps.ecology.wa.gov/ptdbreporting/reports/ReportViewer.aspx?ReportName=ResultDetail&amp;id=%20189398" TargetMode="External"/><Relationship Id="rId543" Type="http://schemas.openxmlformats.org/officeDocument/2006/relationships/hyperlink" Target="https://apps.ecology.wa.gov/ptdbreporting/reports/ReportViewer.aspx?ReportName=ResultDetail&amp;id=%20189819" TargetMode="External"/><Relationship Id="rId75" Type="http://schemas.openxmlformats.org/officeDocument/2006/relationships/hyperlink" Target="https://apps.ecology.wa.gov/ptdbreporting/reports/ReportViewer.aspx?ReportName=ResultDetail&amp;id=%201274" TargetMode="External"/><Relationship Id="rId140" Type="http://schemas.openxmlformats.org/officeDocument/2006/relationships/hyperlink" Target="https://apps.ecology.wa.gov/ptdbreporting/reports/ReportViewer.aspx?ReportName=ResultDetail&amp;id=%20658" TargetMode="External"/><Relationship Id="rId182" Type="http://schemas.openxmlformats.org/officeDocument/2006/relationships/hyperlink" Target="https://apps.ecology.wa.gov/ptdbreporting/reports/ReportViewer.aspx?ReportName=ResultDetail&amp;id=%201792" TargetMode="External"/><Relationship Id="rId378" Type="http://schemas.openxmlformats.org/officeDocument/2006/relationships/hyperlink" Target="https://apps.ecology.wa.gov/ptdbreporting/reports/ReportViewer.aspx?ReportName=ResultDetail&amp;id=%20135661" TargetMode="External"/><Relationship Id="rId403" Type="http://schemas.openxmlformats.org/officeDocument/2006/relationships/hyperlink" Target="https://apps.ecology.wa.gov/ptdbreporting/reports/ReportViewer.aspx?ReportName=ResultDetail&amp;id=%20102582" TargetMode="External"/><Relationship Id="rId585" Type="http://schemas.openxmlformats.org/officeDocument/2006/relationships/hyperlink" Target="https://apps.ecology.wa.gov/ptdbreporting/reports/ReportViewer.aspx?ReportName=ResultDetail&amp;id=%203173" TargetMode="External"/><Relationship Id="rId6" Type="http://schemas.openxmlformats.org/officeDocument/2006/relationships/hyperlink" Target="https://apps.ecology.wa.gov/ptdbreporting/reports/ReportViewer.aspx?ReportName=ResultDetail&amp;id=%201649" TargetMode="External"/><Relationship Id="rId238" Type="http://schemas.openxmlformats.org/officeDocument/2006/relationships/hyperlink" Target="https://apps.ecology.wa.gov/ptdbreporting/reports/ReportViewer.aspx?ReportName=ResultDetail&amp;id=%2024339" TargetMode="External"/><Relationship Id="rId445" Type="http://schemas.openxmlformats.org/officeDocument/2006/relationships/hyperlink" Target="https://apps.ecology.wa.gov/ptdbreporting/reports/ReportViewer.aspx?ReportName=ResultDetail&amp;id=%20160159" TargetMode="External"/><Relationship Id="rId487" Type="http://schemas.openxmlformats.org/officeDocument/2006/relationships/hyperlink" Target="https://apps.ecology.wa.gov/ptdbreporting/reports/ReportViewer.aspx?ReportName=ResultDetail&amp;id=%20189483" TargetMode="External"/><Relationship Id="rId291" Type="http://schemas.openxmlformats.org/officeDocument/2006/relationships/hyperlink" Target="https://apps.ecology.wa.gov/ptdbreporting/reports/ReportViewer.aspx?ReportName=ResultDetail&amp;id=%2030598" TargetMode="External"/><Relationship Id="rId305" Type="http://schemas.openxmlformats.org/officeDocument/2006/relationships/hyperlink" Target="https://apps.ecology.wa.gov/ptdbreporting/reports/ReportViewer.aspx?ReportName=ResultDetail&amp;id=%2030516" TargetMode="External"/><Relationship Id="rId347" Type="http://schemas.openxmlformats.org/officeDocument/2006/relationships/hyperlink" Target="https://apps.ecology.wa.gov/ptdbreporting/reports/ReportViewer.aspx?ReportName=ResultDetail&amp;id=%2032976" TargetMode="External"/><Relationship Id="rId512" Type="http://schemas.openxmlformats.org/officeDocument/2006/relationships/hyperlink" Target="https://apps.ecology.wa.gov/ptdbreporting/reports/ReportViewer.aspx?ReportName=ResultDetail&amp;id=%20189223" TargetMode="External"/><Relationship Id="rId44" Type="http://schemas.openxmlformats.org/officeDocument/2006/relationships/hyperlink" Target="https://apps.ecology.wa.gov/ptdbreporting/reports/ReportViewer.aspx?ReportName=ResultDetail&amp;id=%201906" TargetMode="External"/><Relationship Id="rId86" Type="http://schemas.openxmlformats.org/officeDocument/2006/relationships/hyperlink" Target="https://apps.ecology.wa.gov/ptdbreporting/reports/ReportViewer.aspx?ReportName=ResultDetail&amp;id=%20393" TargetMode="External"/><Relationship Id="rId151" Type="http://schemas.openxmlformats.org/officeDocument/2006/relationships/hyperlink" Target="https://apps.ecology.wa.gov/ptdbreporting/reports/ReportViewer.aspx?ReportName=ResultDetail&amp;id=%20874" TargetMode="External"/><Relationship Id="rId389" Type="http://schemas.openxmlformats.org/officeDocument/2006/relationships/hyperlink" Target="https://apps.ecology.wa.gov/ptdbreporting/reports/ReportViewer.aspx?ReportName=ResultDetail&amp;id=%20135579" TargetMode="External"/><Relationship Id="rId554" Type="http://schemas.openxmlformats.org/officeDocument/2006/relationships/hyperlink" Target="https://apps.ecology.wa.gov/ptdbreporting/reports/ReportViewer.aspx?ReportName=ResultDetail&amp;id=%20189612" TargetMode="External"/><Relationship Id="rId596" Type="http://schemas.openxmlformats.org/officeDocument/2006/relationships/hyperlink" Target="https://apps.ecology.wa.gov/ptdbreporting/reports/ReportViewer.aspx?ReportName=ResultDetail&amp;id=%203215" TargetMode="External"/><Relationship Id="rId193" Type="http://schemas.openxmlformats.org/officeDocument/2006/relationships/hyperlink" Target="https://apps.ecology.wa.gov/ptdbreporting/reports/ReportViewer.aspx?ReportName=ResultDetail&amp;id=%201122" TargetMode="External"/><Relationship Id="rId207" Type="http://schemas.openxmlformats.org/officeDocument/2006/relationships/hyperlink" Target="https://apps.ecology.wa.gov/ptdbreporting/reports/ReportViewer.aspx?ReportName=ResultDetail&amp;id=%2024301" TargetMode="External"/><Relationship Id="rId249" Type="http://schemas.openxmlformats.org/officeDocument/2006/relationships/hyperlink" Target="https://apps.ecology.wa.gov/ptdbreporting/reports/ReportViewer.aspx?ReportName=ResultDetail&amp;id=%2024857" TargetMode="External"/><Relationship Id="rId414" Type="http://schemas.openxmlformats.org/officeDocument/2006/relationships/hyperlink" Target="https://apps.ecology.wa.gov/ptdbreporting/reports/ReportViewer.aspx?ReportName=ResultDetail&amp;id=%20136040" TargetMode="External"/><Relationship Id="rId456" Type="http://schemas.openxmlformats.org/officeDocument/2006/relationships/hyperlink" Target="https://apps.ecology.wa.gov/ptdbreporting/reports/ReportViewer.aspx?ReportName=ResultDetail&amp;id=%20159976" TargetMode="External"/><Relationship Id="rId498" Type="http://schemas.openxmlformats.org/officeDocument/2006/relationships/hyperlink" Target="https://apps.ecology.wa.gov/ptdbreporting/reports/ReportViewer.aspx?ReportName=ResultDetail&amp;id=%20189416" TargetMode="External"/><Relationship Id="rId13" Type="http://schemas.openxmlformats.org/officeDocument/2006/relationships/hyperlink" Target="https://apps.ecology.wa.gov/ptdbreporting/reports/ReportViewer.aspx?ReportName=ResultDetail&amp;id=%2024249" TargetMode="External"/><Relationship Id="rId109" Type="http://schemas.openxmlformats.org/officeDocument/2006/relationships/hyperlink" Target="https://apps.ecology.wa.gov/ptdbreporting/reports/ReportViewer.aspx?ReportName=ResultDetail&amp;id=%201394" TargetMode="External"/><Relationship Id="rId260" Type="http://schemas.openxmlformats.org/officeDocument/2006/relationships/hyperlink" Target="https://apps.ecology.wa.gov/ptdbreporting/reports/ReportViewer.aspx?ReportName=ResultDetail&amp;id=%2031931" TargetMode="External"/><Relationship Id="rId316" Type="http://schemas.openxmlformats.org/officeDocument/2006/relationships/hyperlink" Target="https://apps.ecology.wa.gov/ptdbreporting/reports/ReportViewer.aspx?ReportName=ResultDetail&amp;id=%2031365" TargetMode="External"/><Relationship Id="rId523" Type="http://schemas.openxmlformats.org/officeDocument/2006/relationships/hyperlink" Target="https://apps.ecology.wa.gov/ptdbreporting/reports/ReportViewer.aspx?ReportName=ResultDetail&amp;id=%20189250" TargetMode="External"/><Relationship Id="rId55" Type="http://schemas.openxmlformats.org/officeDocument/2006/relationships/hyperlink" Target="https://apps.ecology.wa.gov/ptdbreporting/reports/ReportViewer.aspx?ReportName=ResultDetail&amp;id=%201465" TargetMode="External"/><Relationship Id="rId97" Type="http://schemas.openxmlformats.org/officeDocument/2006/relationships/hyperlink" Target="https://apps.ecology.wa.gov/ptdbreporting/reports/ReportViewer.aspx?ReportName=ResultDetail&amp;id=%201370" TargetMode="External"/><Relationship Id="rId120" Type="http://schemas.openxmlformats.org/officeDocument/2006/relationships/hyperlink" Target="https://apps.ecology.wa.gov/ptdbreporting/reports/ReportViewer.aspx?ReportName=ResultDetail&amp;id=%20297" TargetMode="External"/><Relationship Id="rId358" Type="http://schemas.openxmlformats.org/officeDocument/2006/relationships/hyperlink" Target="https://apps.ecology.wa.gov/ptdbreporting/reports/ReportViewer.aspx?ReportName=ResultDetail&amp;id=%2032992" TargetMode="External"/><Relationship Id="rId565" Type="http://schemas.openxmlformats.org/officeDocument/2006/relationships/hyperlink" Target="https://apps.ecology.wa.gov/ptdbreporting/reports/ReportViewer.aspx?ReportName=ResultDetail&amp;id=%20189711" TargetMode="External"/><Relationship Id="rId162" Type="http://schemas.openxmlformats.org/officeDocument/2006/relationships/hyperlink" Target="https://apps.ecology.wa.gov/ptdbreporting/reports/ReportViewer.aspx?ReportName=ResultDetail&amp;id=%20922" TargetMode="External"/><Relationship Id="rId218" Type="http://schemas.openxmlformats.org/officeDocument/2006/relationships/hyperlink" Target="https://apps.ecology.wa.gov/ptdbreporting/reports/ReportViewer.aspx?ReportName=ResultDetail&amp;id=%2025091" TargetMode="External"/><Relationship Id="rId425" Type="http://schemas.openxmlformats.org/officeDocument/2006/relationships/hyperlink" Target="https://apps.ecology.wa.gov/ptdbreporting/reports/ReportViewer.aspx?ReportName=ResultDetail&amp;id=%20135905" TargetMode="External"/><Relationship Id="rId467" Type="http://schemas.openxmlformats.org/officeDocument/2006/relationships/hyperlink" Target="https://apps.ecology.wa.gov/ptdbreporting/reports/ReportViewer.aspx?ReportName=ResultDetail&amp;id=%20160176" TargetMode="External"/><Relationship Id="rId271" Type="http://schemas.openxmlformats.org/officeDocument/2006/relationships/hyperlink" Target="https://apps.ecology.wa.gov/ptdbreporting/reports/ReportViewer.aspx?ReportName=ResultDetail&amp;id=%2031806" TargetMode="External"/><Relationship Id="rId24" Type="http://schemas.openxmlformats.org/officeDocument/2006/relationships/hyperlink" Target="https://apps.ecology.wa.gov/ptdbreporting/reports/ReportViewer.aspx?ReportName=ResultDetail&amp;id=%20842" TargetMode="External"/><Relationship Id="rId66" Type="http://schemas.openxmlformats.org/officeDocument/2006/relationships/hyperlink" Target="https://apps.ecology.wa.gov/ptdbreporting/reports/ReportViewer.aspx?ReportName=ResultDetail&amp;id=%201529" TargetMode="External"/><Relationship Id="rId131" Type="http://schemas.openxmlformats.org/officeDocument/2006/relationships/hyperlink" Target="https://apps.ecology.wa.gov/ptdbreporting/reports/ReportViewer.aspx?ReportName=ResultDetail&amp;id=%20778" TargetMode="External"/><Relationship Id="rId327" Type="http://schemas.openxmlformats.org/officeDocument/2006/relationships/hyperlink" Target="https://apps.ecology.wa.gov/ptdbreporting/reports/ReportViewer.aspx?ReportName=ResultDetail&amp;id=%2031189" TargetMode="External"/><Relationship Id="rId369" Type="http://schemas.openxmlformats.org/officeDocument/2006/relationships/hyperlink" Target="https://apps.ecology.wa.gov/ptdbreporting/reports/ReportViewer.aspx?ReportName=ResultDetail&amp;id=%2033032" TargetMode="External"/><Relationship Id="rId534" Type="http://schemas.openxmlformats.org/officeDocument/2006/relationships/hyperlink" Target="https://apps.ecology.wa.gov/ptdbreporting/reports/ReportViewer.aspx?ReportName=ResultDetail&amp;id=%20189531" TargetMode="External"/><Relationship Id="rId576" Type="http://schemas.openxmlformats.org/officeDocument/2006/relationships/hyperlink" Target="https://apps.ecology.wa.gov/ptdbreporting/reports/ReportViewer.aspx?ReportName=ResultDetail&amp;id=%203533" TargetMode="External"/><Relationship Id="rId173" Type="http://schemas.openxmlformats.org/officeDocument/2006/relationships/hyperlink" Target="https://apps.ecology.wa.gov/ptdbreporting/reports/ReportViewer.aspx?ReportName=ResultDetail&amp;id=%201736" TargetMode="External"/><Relationship Id="rId229" Type="http://schemas.openxmlformats.org/officeDocument/2006/relationships/hyperlink" Target="https://apps.ecology.wa.gov/ptdbreporting/reports/ReportViewer.aspx?ReportName=ResultDetail&amp;id=%2024793" TargetMode="External"/><Relationship Id="rId380" Type="http://schemas.openxmlformats.org/officeDocument/2006/relationships/hyperlink" Target="https://apps.ecology.wa.gov/ptdbreporting/reports/ReportViewer.aspx?ReportName=ResultDetail&amp;id=%20135679" TargetMode="External"/><Relationship Id="rId436" Type="http://schemas.openxmlformats.org/officeDocument/2006/relationships/hyperlink" Target="https://apps.ecology.wa.gov/ptdbreporting/reports/ReportViewer.aspx?ReportName=ResultDetail&amp;id=%20135833" TargetMode="External"/><Relationship Id="rId601" Type="http://schemas.openxmlformats.org/officeDocument/2006/relationships/hyperlink" Target="https://apps.ecology.wa.gov/ptdbreporting/reports/ReportViewer.aspx?ReportName=ResultDetail&amp;id=%205901" TargetMode="External"/><Relationship Id="rId240" Type="http://schemas.openxmlformats.org/officeDocument/2006/relationships/hyperlink" Target="https://apps.ecology.wa.gov/ptdbreporting/reports/ReportViewer.aspx?ReportName=ResultDetail&amp;id=%2025033" TargetMode="External"/><Relationship Id="rId478" Type="http://schemas.openxmlformats.org/officeDocument/2006/relationships/hyperlink" Target="https://apps.ecology.wa.gov/ptdbreporting/reports/ReportViewer.aspx?ReportName=ResultDetail&amp;id=%20189027" TargetMode="External"/><Relationship Id="rId35" Type="http://schemas.openxmlformats.org/officeDocument/2006/relationships/hyperlink" Target="https://apps.ecology.wa.gov/ptdbreporting/reports/ReportViewer.aspx?ReportName=ResultDetail&amp;id=%201234" TargetMode="External"/><Relationship Id="rId77" Type="http://schemas.openxmlformats.org/officeDocument/2006/relationships/hyperlink" Target="https://apps.ecology.wa.gov/ptdbreporting/reports/ReportViewer.aspx?ReportName=ResultDetail&amp;id=%201585" TargetMode="External"/><Relationship Id="rId100" Type="http://schemas.openxmlformats.org/officeDocument/2006/relationships/hyperlink" Target="https://apps.ecology.wa.gov/ptdbreporting/reports/ReportViewer.aspx?ReportName=ResultDetail&amp;id=%20946" TargetMode="External"/><Relationship Id="rId282" Type="http://schemas.openxmlformats.org/officeDocument/2006/relationships/hyperlink" Target="https://apps.ecology.wa.gov/ptdbreporting/reports/ReportViewer.aspx?ReportName=ResultDetail&amp;id=%2030717" TargetMode="External"/><Relationship Id="rId338" Type="http://schemas.openxmlformats.org/officeDocument/2006/relationships/hyperlink" Target="https://apps.ecology.wa.gov/ptdbreporting/reports/ReportViewer.aspx?ReportName=ResultDetail&amp;id=%2031285" TargetMode="External"/><Relationship Id="rId503" Type="http://schemas.openxmlformats.org/officeDocument/2006/relationships/hyperlink" Target="https://apps.ecology.wa.gov/ptdbreporting/reports/ReportViewer.aspx?ReportName=ResultDetail&amp;id=%20189081" TargetMode="External"/><Relationship Id="rId545" Type="http://schemas.openxmlformats.org/officeDocument/2006/relationships/hyperlink" Target="https://apps.ecology.wa.gov/ptdbreporting/reports/ReportViewer.aspx?ReportName=ResultDetail&amp;id=%20189747" TargetMode="External"/><Relationship Id="rId587" Type="http://schemas.openxmlformats.org/officeDocument/2006/relationships/hyperlink" Target="https://apps.ecology.wa.gov/ptdbreporting/reports/ReportViewer.aspx?ReportName=ResultDetail&amp;id=%203133" TargetMode="External"/><Relationship Id="rId8" Type="http://schemas.openxmlformats.org/officeDocument/2006/relationships/hyperlink" Target="https://apps.ecology.wa.gov/ptdbreporting/reports/ReportViewer.aspx?ReportName=ResultDetail&amp;id=%201338" TargetMode="External"/><Relationship Id="rId142" Type="http://schemas.openxmlformats.org/officeDocument/2006/relationships/hyperlink" Target="https://apps.ecology.wa.gov/ptdbreporting/reports/ReportViewer.aspx?ReportName=ResultDetail&amp;id=%2011" TargetMode="External"/><Relationship Id="rId184" Type="http://schemas.openxmlformats.org/officeDocument/2006/relationships/hyperlink" Target="https://apps.ecology.wa.gov/ptdbreporting/reports/ReportViewer.aspx?ReportName=ResultDetail&amp;id=%201800" TargetMode="External"/><Relationship Id="rId391" Type="http://schemas.openxmlformats.org/officeDocument/2006/relationships/hyperlink" Target="https://apps.ecology.wa.gov/ptdbreporting/reports/ReportViewer.aspx?ReportName=ResultDetail&amp;id=%20102492" TargetMode="External"/><Relationship Id="rId405" Type="http://schemas.openxmlformats.org/officeDocument/2006/relationships/hyperlink" Target="https://apps.ecology.wa.gov/ptdbreporting/reports/ReportViewer.aspx?ReportName=ResultDetail&amp;id=%20102645" TargetMode="External"/><Relationship Id="rId447" Type="http://schemas.openxmlformats.org/officeDocument/2006/relationships/hyperlink" Target="https://apps.ecology.wa.gov/ptdbreporting/reports/ReportViewer.aspx?ReportName=ResultDetail&amp;id=%20160009" TargetMode="External"/><Relationship Id="rId251" Type="http://schemas.openxmlformats.org/officeDocument/2006/relationships/hyperlink" Target="https://apps.ecology.wa.gov/ptdbreporting/reports/ReportViewer.aspx?ReportName=ResultDetail&amp;id=%2031898" TargetMode="External"/><Relationship Id="rId489" Type="http://schemas.openxmlformats.org/officeDocument/2006/relationships/hyperlink" Target="https://apps.ecology.wa.gov/ptdbreporting/reports/ReportViewer.aspx?ReportName=ResultDetail&amp;id=%20188964" TargetMode="External"/><Relationship Id="rId46" Type="http://schemas.openxmlformats.org/officeDocument/2006/relationships/hyperlink" Target="https://apps.ecology.wa.gov/ptdbreporting/reports/ReportViewer.aspx?ReportName=ResultDetail&amp;id=%20954" TargetMode="External"/><Relationship Id="rId293" Type="http://schemas.openxmlformats.org/officeDocument/2006/relationships/hyperlink" Target="https://apps.ecology.wa.gov/ptdbreporting/reports/ReportViewer.aspx?ReportName=ResultDetail&amp;id=%2030588" TargetMode="External"/><Relationship Id="rId307" Type="http://schemas.openxmlformats.org/officeDocument/2006/relationships/hyperlink" Target="https://apps.ecology.wa.gov/ptdbreporting/reports/ReportViewer.aspx?ReportName=ResultDetail&amp;id=%2030561" TargetMode="External"/><Relationship Id="rId349" Type="http://schemas.openxmlformats.org/officeDocument/2006/relationships/hyperlink" Target="https://apps.ecology.wa.gov/ptdbreporting/reports/ReportViewer.aspx?ReportName=ResultDetail&amp;id=%2032936" TargetMode="External"/><Relationship Id="rId514" Type="http://schemas.openxmlformats.org/officeDocument/2006/relationships/hyperlink" Target="https://apps.ecology.wa.gov/ptdbreporting/reports/ReportViewer.aspx?ReportName=ResultDetail&amp;id=%20189214" TargetMode="External"/><Relationship Id="rId556" Type="http://schemas.openxmlformats.org/officeDocument/2006/relationships/hyperlink" Target="https://apps.ecology.wa.gov/ptdbreporting/reports/ReportViewer.aspx?ReportName=ResultDetail&amp;id=%20189630" TargetMode="External"/><Relationship Id="rId88" Type="http://schemas.openxmlformats.org/officeDocument/2006/relationships/hyperlink" Target="https://apps.ecology.wa.gov/ptdbreporting/reports/ReportViewer.aspx?ReportName=ResultDetail&amp;id=%201665" TargetMode="External"/><Relationship Id="rId111" Type="http://schemas.openxmlformats.org/officeDocument/2006/relationships/hyperlink" Target="https://apps.ecology.wa.gov/ptdbreporting/reports/ReportViewer.aspx?ReportName=ResultDetail&amp;id=%201410" TargetMode="External"/><Relationship Id="rId153" Type="http://schemas.openxmlformats.org/officeDocument/2006/relationships/hyperlink" Target="https://apps.ecology.wa.gov/ptdbreporting/reports/ReportViewer.aspx?ReportName=ResultDetail&amp;id=%20882" TargetMode="External"/><Relationship Id="rId195" Type="http://schemas.openxmlformats.org/officeDocument/2006/relationships/hyperlink" Target="https://apps.ecology.wa.gov/ptdbreporting/reports/ReportViewer.aspx?ReportName=ResultDetail&amp;id=%201298" TargetMode="External"/><Relationship Id="rId209" Type="http://schemas.openxmlformats.org/officeDocument/2006/relationships/hyperlink" Target="https://apps.ecology.wa.gov/ptdbreporting/reports/ReportViewer.aspx?ReportName=ResultDetail&amp;id=%2024415" TargetMode="External"/><Relationship Id="rId360" Type="http://schemas.openxmlformats.org/officeDocument/2006/relationships/hyperlink" Target="https://apps.ecology.wa.gov/ptdbreporting/reports/ReportViewer.aspx?ReportName=ResultDetail&amp;id=%2032952" TargetMode="External"/><Relationship Id="rId416" Type="http://schemas.openxmlformats.org/officeDocument/2006/relationships/hyperlink" Target="https://apps.ecology.wa.gov/ptdbreporting/reports/ReportViewer.aspx?ReportName=ResultDetail&amp;id=%20136031" TargetMode="External"/><Relationship Id="rId598" Type="http://schemas.openxmlformats.org/officeDocument/2006/relationships/hyperlink" Target="https://apps.ecology.wa.gov/ptdbreporting/reports/ReportViewer.aspx?ReportName=ResultDetail&amp;id=%203244" TargetMode="External"/><Relationship Id="rId220" Type="http://schemas.openxmlformats.org/officeDocument/2006/relationships/hyperlink" Target="https://apps.ecology.wa.gov/ptdbreporting/reports/ReportViewer.aspx?ReportName=ResultDetail&amp;id=%2024451" TargetMode="External"/><Relationship Id="rId458" Type="http://schemas.openxmlformats.org/officeDocument/2006/relationships/hyperlink" Target="https://apps.ecology.wa.gov/ptdbreporting/reports/ReportViewer.aspx?ReportName=ResultDetail&amp;id=%20159885" TargetMode="External"/><Relationship Id="rId15" Type="http://schemas.openxmlformats.org/officeDocument/2006/relationships/hyperlink" Target="https://apps.ecology.wa.gov/ptdbreporting/reports/ReportViewer.aspx?ReportName=ResultDetail&amp;id=%20401" TargetMode="External"/><Relationship Id="rId57" Type="http://schemas.openxmlformats.org/officeDocument/2006/relationships/hyperlink" Target="https://apps.ecology.wa.gov/ptdbreporting/reports/ReportViewer.aspx?ReportName=ResultDetail&amp;id=%20313" TargetMode="External"/><Relationship Id="rId262" Type="http://schemas.openxmlformats.org/officeDocument/2006/relationships/hyperlink" Target="https://apps.ecology.wa.gov/ptdbreporting/reports/ReportViewer.aspx?ReportName=ResultDetail&amp;id=%2031971" TargetMode="External"/><Relationship Id="rId318" Type="http://schemas.openxmlformats.org/officeDocument/2006/relationships/hyperlink" Target="https://apps.ecology.wa.gov/ptdbreporting/reports/ReportViewer.aspx?ReportName=ResultDetail&amp;id=%2031397" TargetMode="External"/><Relationship Id="rId525" Type="http://schemas.openxmlformats.org/officeDocument/2006/relationships/hyperlink" Target="https://apps.ecology.wa.gov/ptdbreporting/reports/ReportViewer.aspx?ReportName=ResultDetail&amp;id=%20189196" TargetMode="External"/><Relationship Id="rId567" Type="http://schemas.openxmlformats.org/officeDocument/2006/relationships/hyperlink" Target="https://apps.ecology.wa.gov/ptdbreporting/reports/ReportViewer.aspx?ReportName=ResultDetail&amp;id=%20189639" TargetMode="External"/><Relationship Id="rId99" Type="http://schemas.openxmlformats.org/officeDocument/2006/relationships/hyperlink" Target="https://apps.ecology.wa.gov/ptdbreporting/reports/ReportViewer.aspx?ReportName=ResultDetail&amp;id=%20714" TargetMode="External"/><Relationship Id="rId122" Type="http://schemas.openxmlformats.org/officeDocument/2006/relationships/hyperlink" Target="https://apps.ecology.wa.gov/ptdbreporting/reports/ReportViewer.aspx?ReportName=ResultDetail&amp;id=%20978" TargetMode="External"/><Relationship Id="rId164" Type="http://schemas.openxmlformats.org/officeDocument/2006/relationships/hyperlink" Target="https://apps.ecology.wa.gov/ptdbreporting/reports/ReportViewer.aspx?ReportName=ResultDetail&amp;id=%201082" TargetMode="External"/><Relationship Id="rId371" Type="http://schemas.openxmlformats.org/officeDocument/2006/relationships/hyperlink" Target="https://apps.ecology.wa.gov/ptdbreporting/reports/ReportViewer.aspx?ReportName=ResultDetail&amp;id=%2032816" TargetMode="External"/><Relationship Id="rId427" Type="http://schemas.openxmlformats.org/officeDocument/2006/relationships/hyperlink" Target="https://apps.ecology.wa.gov/ptdbreporting/reports/ReportViewer.aspx?ReportName=ResultDetail&amp;id=%20135851" TargetMode="External"/><Relationship Id="rId469" Type="http://schemas.openxmlformats.org/officeDocument/2006/relationships/hyperlink" Target="https://apps.ecology.wa.gov/ptdbreporting/reports/ReportViewer.aspx?ReportName=ResultDetail&amp;id=%20159993" TargetMode="External"/><Relationship Id="rId26" Type="http://schemas.openxmlformats.org/officeDocument/2006/relationships/hyperlink" Target="https://apps.ecology.wa.gov/ptdbreporting/reports/ReportViewer.aspx?ReportName=ResultDetail&amp;id=%201042" TargetMode="External"/><Relationship Id="rId231" Type="http://schemas.openxmlformats.org/officeDocument/2006/relationships/hyperlink" Target="https://apps.ecology.wa.gov/ptdbreporting/reports/ReportViewer.aspx?ReportName=ResultDetail&amp;id=%2024878" TargetMode="External"/><Relationship Id="rId273" Type="http://schemas.openxmlformats.org/officeDocument/2006/relationships/hyperlink" Target="https://apps.ecology.wa.gov/ptdbreporting/reports/ReportViewer.aspx?ReportName=ResultDetail&amp;id=%2031949" TargetMode="External"/><Relationship Id="rId329" Type="http://schemas.openxmlformats.org/officeDocument/2006/relationships/hyperlink" Target="https://apps.ecology.wa.gov/ptdbreporting/reports/ReportViewer.aspx?ReportName=ResultDetail&amp;id=%2031333" TargetMode="External"/><Relationship Id="rId480" Type="http://schemas.openxmlformats.org/officeDocument/2006/relationships/hyperlink" Target="https://apps.ecology.wa.gov/ptdbreporting/reports/ReportViewer.aspx?ReportName=ResultDetail&amp;id=%20189036" TargetMode="External"/><Relationship Id="rId536" Type="http://schemas.openxmlformats.org/officeDocument/2006/relationships/hyperlink" Target="https://apps.ecology.wa.gov/ptdbreporting/reports/ReportViewer.aspx?ReportName=ResultDetail&amp;id=%20189549" TargetMode="External"/><Relationship Id="rId68" Type="http://schemas.openxmlformats.org/officeDocument/2006/relationships/hyperlink" Target="https://apps.ecology.wa.gov/ptdbreporting/reports/ReportViewer.aspx?ReportName=ResultDetail&amp;id=%201545" TargetMode="External"/><Relationship Id="rId133" Type="http://schemas.openxmlformats.org/officeDocument/2006/relationships/hyperlink" Target="https://apps.ecology.wa.gov/ptdbreporting/reports/ReportViewer.aspx?ReportName=ResultDetail&amp;id=%2059" TargetMode="External"/><Relationship Id="rId175" Type="http://schemas.openxmlformats.org/officeDocument/2006/relationships/hyperlink" Target="https://apps.ecology.wa.gov/ptdbreporting/reports/ReportViewer.aspx?ReportName=ResultDetail&amp;id=%201744" TargetMode="External"/><Relationship Id="rId340" Type="http://schemas.openxmlformats.org/officeDocument/2006/relationships/hyperlink" Target="https://apps.ecology.wa.gov/ptdbreporting/reports/ReportViewer.aspx?ReportName=ResultDetail&amp;id=%2031229" TargetMode="External"/><Relationship Id="rId578" Type="http://schemas.openxmlformats.org/officeDocument/2006/relationships/hyperlink" Target="https://apps.ecology.wa.gov/ptdbreporting/reports/ReportViewer.aspx?ReportName=ResultDetail&amp;id=%203108" TargetMode="External"/><Relationship Id="rId200" Type="http://schemas.openxmlformats.org/officeDocument/2006/relationships/hyperlink" Target="https://apps.ecology.wa.gov/ptdbreporting/reports/ReportViewer.aspx?ReportName=ResultDetail&amp;id=%20690" TargetMode="External"/><Relationship Id="rId382" Type="http://schemas.openxmlformats.org/officeDocument/2006/relationships/hyperlink" Target="https://apps.ecology.wa.gov/ptdbreporting/reports/ReportViewer.aspx?ReportName=ResultDetail&amp;id=%20135697" TargetMode="External"/><Relationship Id="rId438" Type="http://schemas.openxmlformats.org/officeDocument/2006/relationships/hyperlink" Target="https://apps.ecology.wa.gov/ptdbreporting/reports/ReportViewer.aspx?ReportName=ResultDetail&amp;id=%20135842" TargetMode="External"/><Relationship Id="rId603" Type="http://schemas.openxmlformats.org/officeDocument/2006/relationships/hyperlink" Target="https://apps.ecology.wa.gov/ptdbreporting/reports/ReportViewer.aspx?ReportName=ResultDetail&amp;id=%205968" TargetMode="External"/><Relationship Id="rId242" Type="http://schemas.openxmlformats.org/officeDocument/2006/relationships/hyperlink" Target="https://apps.ecology.wa.gov/ptdbreporting/reports/ReportViewer.aspx?ReportName=ResultDetail&amp;id=%2025105" TargetMode="External"/><Relationship Id="rId284" Type="http://schemas.openxmlformats.org/officeDocument/2006/relationships/hyperlink" Target="https://apps.ecology.wa.gov/ptdbreporting/reports/ReportViewer.aspx?ReportName=ResultDetail&amp;id=%2030732" TargetMode="External"/><Relationship Id="rId491" Type="http://schemas.openxmlformats.org/officeDocument/2006/relationships/hyperlink" Target="https://apps.ecology.wa.gov/ptdbreporting/reports/ReportViewer.aspx?ReportName=ResultDetail&amp;id=%20189425" TargetMode="External"/><Relationship Id="rId505" Type="http://schemas.openxmlformats.org/officeDocument/2006/relationships/hyperlink" Target="https://apps.ecology.wa.gov/ptdbreporting/reports/ReportViewer.aspx?ReportName=ResultDetail&amp;id=%20189345" TargetMode="External"/><Relationship Id="rId37" Type="http://schemas.openxmlformats.org/officeDocument/2006/relationships/hyperlink" Target="https://apps.ecology.wa.gov/ptdbreporting/reports/ReportViewer.aspx?ReportName=ResultDetail&amp;id=%201250" TargetMode="External"/><Relationship Id="rId79" Type="http://schemas.openxmlformats.org/officeDocument/2006/relationships/hyperlink" Target="https://apps.ecology.wa.gov/ptdbreporting/reports/ReportViewer.aspx?ReportName=ResultDetail&amp;id=%201601" TargetMode="External"/><Relationship Id="rId102" Type="http://schemas.openxmlformats.org/officeDocument/2006/relationships/hyperlink" Target="https://apps.ecology.wa.gov/ptdbreporting/reports/ReportViewer.aspx?ReportName=ResultDetail&amp;id=%20730" TargetMode="External"/><Relationship Id="rId144" Type="http://schemas.openxmlformats.org/officeDocument/2006/relationships/hyperlink" Target="https://apps.ecology.wa.gov/ptdbreporting/reports/ReportViewer.aspx?ReportName=ResultDetail&amp;id=%201930" TargetMode="External"/><Relationship Id="rId547" Type="http://schemas.openxmlformats.org/officeDocument/2006/relationships/hyperlink" Target="https://apps.ecology.wa.gov/ptdbreporting/reports/ReportViewer.aspx?ReportName=ResultDetail&amp;id=%20189567" TargetMode="External"/><Relationship Id="rId589" Type="http://schemas.openxmlformats.org/officeDocument/2006/relationships/hyperlink" Target="https://apps.ecology.wa.gov/ptdbreporting/reports/ReportViewer.aspx?ReportName=ResultDetail&amp;id=%203271" TargetMode="External"/><Relationship Id="rId90" Type="http://schemas.openxmlformats.org/officeDocument/2006/relationships/hyperlink" Target="https://apps.ecology.wa.gov/ptdbreporting/reports/ReportViewer.aspx?ReportName=ResultDetail&amp;id=%20682" TargetMode="External"/><Relationship Id="rId186" Type="http://schemas.openxmlformats.org/officeDocument/2006/relationships/hyperlink" Target="https://apps.ecology.wa.gov/ptdbreporting/reports/ReportViewer.aspx?ReportName=ResultDetail&amp;id=%20441" TargetMode="External"/><Relationship Id="rId351" Type="http://schemas.openxmlformats.org/officeDocument/2006/relationships/hyperlink" Target="https://apps.ecology.wa.gov/ptdbreporting/reports/ReportViewer.aspx?ReportName=ResultDetail&amp;id=%2032872" TargetMode="External"/><Relationship Id="rId393" Type="http://schemas.openxmlformats.org/officeDocument/2006/relationships/hyperlink" Target="https://apps.ecology.wa.gov/ptdbreporting/reports/ReportViewer.aspx?ReportName=ResultDetail&amp;id=%20102654" TargetMode="External"/><Relationship Id="rId407" Type="http://schemas.openxmlformats.org/officeDocument/2006/relationships/hyperlink" Target="https://apps.ecology.wa.gov/ptdbreporting/reports/ReportViewer.aspx?ReportName=ResultDetail&amp;id=%20102555" TargetMode="External"/><Relationship Id="rId449" Type="http://schemas.openxmlformats.org/officeDocument/2006/relationships/hyperlink" Target="https://apps.ecology.wa.gov/ptdbreporting/reports/ReportViewer.aspx?ReportName=ResultDetail&amp;id=%20160272" TargetMode="External"/><Relationship Id="rId211" Type="http://schemas.openxmlformats.org/officeDocument/2006/relationships/hyperlink" Target="https://apps.ecology.wa.gov/ptdbreporting/reports/ReportViewer.aspx?ReportName=ResultDetail&amp;id=%2025007" TargetMode="External"/><Relationship Id="rId253" Type="http://schemas.openxmlformats.org/officeDocument/2006/relationships/hyperlink" Target="https://apps.ecology.wa.gov/ptdbreporting/reports/ReportViewer.aspx?ReportName=ResultDetail&amp;id=%2031893" TargetMode="External"/><Relationship Id="rId295" Type="http://schemas.openxmlformats.org/officeDocument/2006/relationships/hyperlink" Target="https://apps.ecology.wa.gov/ptdbreporting/reports/ReportViewer.aspx?ReportName=ResultDetail&amp;id=%2030489" TargetMode="External"/><Relationship Id="rId309" Type="http://schemas.openxmlformats.org/officeDocument/2006/relationships/hyperlink" Target="https://apps.ecology.wa.gov/ptdbreporting/reports/ReportViewer.aspx?ReportName=ResultDetail&amp;id=%2030498" TargetMode="External"/><Relationship Id="rId460" Type="http://schemas.openxmlformats.org/officeDocument/2006/relationships/hyperlink" Target="https://apps.ecology.wa.gov/ptdbreporting/reports/ReportViewer.aspx?ReportName=ResultDetail&amp;id=%20160265" TargetMode="External"/><Relationship Id="rId516" Type="http://schemas.openxmlformats.org/officeDocument/2006/relationships/hyperlink" Target="https://apps.ecology.wa.gov/ptdbreporting/reports/ReportViewer.aspx?ReportName=ResultDetail&amp;id=%20189284" TargetMode="External"/><Relationship Id="rId48" Type="http://schemas.openxmlformats.org/officeDocument/2006/relationships/hyperlink" Target="https://apps.ecology.wa.gov/ptdbreporting/reports/ReportViewer.aspx?ReportName=ResultDetail&amp;id=%2019" TargetMode="External"/><Relationship Id="rId113" Type="http://schemas.openxmlformats.org/officeDocument/2006/relationships/hyperlink" Target="https://apps.ecology.wa.gov/ptdbreporting/reports/ReportViewer.aspx?ReportName=ResultDetail&amp;id=%201426" TargetMode="External"/><Relationship Id="rId320" Type="http://schemas.openxmlformats.org/officeDocument/2006/relationships/hyperlink" Target="https://apps.ecology.wa.gov/ptdbreporting/reports/ReportViewer.aspx?ReportName=ResultDetail&amp;id=%2031269" TargetMode="External"/><Relationship Id="rId558" Type="http://schemas.openxmlformats.org/officeDocument/2006/relationships/hyperlink" Target="https://apps.ecology.wa.gov/ptdbreporting/reports/ReportViewer.aspx?ReportName=ResultDetail&amp;id=%20189576" TargetMode="External"/><Relationship Id="rId155" Type="http://schemas.openxmlformats.org/officeDocument/2006/relationships/hyperlink" Target="https://apps.ecology.wa.gov/ptdbreporting/reports/ReportViewer.aspx?ReportName=ResultDetail&amp;id=%20890" TargetMode="External"/><Relationship Id="rId197" Type="http://schemas.openxmlformats.org/officeDocument/2006/relationships/hyperlink" Target="https://apps.ecology.wa.gov/ptdbreporting/reports/ReportViewer.aspx?ReportName=ResultDetail&amp;id=%201848" TargetMode="External"/><Relationship Id="rId362" Type="http://schemas.openxmlformats.org/officeDocument/2006/relationships/hyperlink" Target="https://apps.ecology.wa.gov/ptdbreporting/reports/ReportViewer.aspx?ReportName=ResultDetail&amp;id=%2032960" TargetMode="External"/><Relationship Id="rId418" Type="http://schemas.openxmlformats.org/officeDocument/2006/relationships/hyperlink" Target="https://apps.ecology.wa.gov/ptdbreporting/reports/ReportViewer.aspx?ReportName=ResultDetail&amp;id=%20135968" TargetMode="External"/><Relationship Id="rId222" Type="http://schemas.openxmlformats.org/officeDocument/2006/relationships/hyperlink" Target="https://apps.ecology.wa.gov/ptdbreporting/reports/ReportViewer.aspx?ReportName=ResultDetail&amp;id=%2024383" TargetMode="External"/><Relationship Id="rId264" Type="http://schemas.openxmlformats.org/officeDocument/2006/relationships/hyperlink" Target="https://apps.ecology.wa.gov/ptdbreporting/reports/ReportViewer.aspx?ReportName=ResultDetail&amp;id=%2031814" TargetMode="External"/><Relationship Id="rId471" Type="http://schemas.openxmlformats.org/officeDocument/2006/relationships/hyperlink" Target="https://apps.ecology.wa.gov/ptdbreporting/reports/ReportViewer.aspx?ReportName=ResultDetail&amp;id=%20189363" TargetMode="External"/><Relationship Id="rId17" Type="http://schemas.openxmlformats.org/officeDocument/2006/relationships/hyperlink" Target="https://apps.ecology.wa.gov/ptdbreporting/reports/ReportViewer.aspx?ReportName=ResultDetail&amp;id=%201673" TargetMode="External"/><Relationship Id="rId59" Type="http://schemas.openxmlformats.org/officeDocument/2006/relationships/hyperlink" Target="https://apps.ecology.wa.gov/ptdbreporting/reports/ReportViewer.aspx?ReportName=ResultDetail&amp;id=%20321" TargetMode="External"/><Relationship Id="rId124" Type="http://schemas.openxmlformats.org/officeDocument/2006/relationships/hyperlink" Target="https://apps.ecology.wa.gov/ptdbreporting/reports/ReportViewer.aspx?ReportName=ResultDetail&amp;id=%20762" TargetMode="External"/><Relationship Id="rId527" Type="http://schemas.openxmlformats.org/officeDocument/2006/relationships/hyperlink" Target="https://apps.ecology.wa.gov/ptdbreporting/reports/ReportViewer.aspx?ReportName=ResultDetail&amp;id=%20189302" TargetMode="External"/><Relationship Id="rId569" Type="http://schemas.openxmlformats.org/officeDocument/2006/relationships/hyperlink" Target="https://apps.ecology.wa.gov/ptdbreporting/reports/ReportViewer.aspx?ReportName=ResultDetail&amp;id=%20189558" TargetMode="External"/><Relationship Id="rId70" Type="http://schemas.openxmlformats.org/officeDocument/2006/relationships/hyperlink" Target="https://apps.ecology.wa.gov/ptdbreporting/reports/ReportViewer.aspx?ReportName=ResultDetail&amp;id=%20345" TargetMode="External"/><Relationship Id="rId166" Type="http://schemas.openxmlformats.org/officeDocument/2006/relationships/hyperlink" Target="https://apps.ecology.wa.gov/ptdbreporting/reports/ReportViewer.aspx?ReportName=ResultDetail&amp;id=%201098" TargetMode="External"/><Relationship Id="rId331" Type="http://schemas.openxmlformats.org/officeDocument/2006/relationships/hyperlink" Target="https://apps.ecology.wa.gov/ptdbreporting/reports/ReportViewer.aspx?ReportName=ResultDetail&amp;id=%2031181" TargetMode="External"/><Relationship Id="rId373" Type="http://schemas.openxmlformats.org/officeDocument/2006/relationships/hyperlink" Target="https://apps.ecology.wa.gov/ptdbreporting/reports/ReportViewer.aspx?ReportName=ResultDetail&amp;id=%20135607" TargetMode="External"/><Relationship Id="rId429" Type="http://schemas.openxmlformats.org/officeDocument/2006/relationships/hyperlink" Target="https://apps.ecology.wa.gov/ptdbreporting/reports/ReportViewer.aspx?ReportName=ResultDetail&amp;id=%20136013" TargetMode="External"/><Relationship Id="rId580" Type="http://schemas.openxmlformats.org/officeDocument/2006/relationships/hyperlink" Target="https://apps.ecology.wa.gov/ptdbreporting/reports/ReportViewer.aspx?ReportName=ResultDetail&amp;id=%203192" TargetMode="External"/><Relationship Id="rId1" Type="http://schemas.openxmlformats.org/officeDocument/2006/relationships/hyperlink" Target="https://apps.ecology.wa.gov/ptdbreporting/reports/ReportViewer.aspx?ReportName=ResultDetail&amp;id=%201489" TargetMode="External"/><Relationship Id="rId233" Type="http://schemas.openxmlformats.org/officeDocument/2006/relationships/hyperlink" Target="https://apps.ecology.wa.gov/ptdbreporting/reports/ReportViewer.aspx?ReportName=ResultDetail&amp;id=%2025048" TargetMode="External"/><Relationship Id="rId440" Type="http://schemas.openxmlformats.org/officeDocument/2006/relationships/hyperlink" Target="https://apps.ecology.wa.gov/ptdbreporting/reports/ReportViewer.aspx?ReportName=ResultDetail&amp;id=%20135824" TargetMode="External"/><Relationship Id="rId28" Type="http://schemas.openxmlformats.org/officeDocument/2006/relationships/hyperlink" Target="https://apps.ecology.wa.gov/ptdbreporting/reports/ReportViewer.aspx?ReportName=ResultDetail&amp;id=%20858" TargetMode="External"/><Relationship Id="rId275" Type="http://schemas.openxmlformats.org/officeDocument/2006/relationships/hyperlink" Target="https://apps.ecology.wa.gov/ptdbreporting/reports/ReportViewer.aspx?ReportName=ResultDetail&amp;id=%2031771" TargetMode="External"/><Relationship Id="rId300" Type="http://schemas.openxmlformats.org/officeDocument/2006/relationships/hyperlink" Target="https://apps.ecology.wa.gov/ptdbreporting/reports/ReportViewer.aspx?ReportName=ResultDetail&amp;id=%2030609" TargetMode="External"/><Relationship Id="rId482" Type="http://schemas.openxmlformats.org/officeDocument/2006/relationships/hyperlink" Target="https://apps.ecology.wa.gov/ptdbreporting/reports/ReportViewer.aspx?ReportName=ResultDetail&amp;id=%20188937" TargetMode="External"/><Relationship Id="rId538" Type="http://schemas.openxmlformats.org/officeDocument/2006/relationships/hyperlink" Target="https://apps.ecology.wa.gov/ptdbreporting/reports/ReportViewer.aspx?ReportName=ResultDetail&amp;id=%20189648" TargetMode="External"/><Relationship Id="rId81" Type="http://schemas.openxmlformats.org/officeDocument/2006/relationships/hyperlink" Target="https://apps.ecology.wa.gov/ptdbreporting/reports/ReportViewer.aspx?ReportName=ResultDetail&amp;id=%201625" TargetMode="External"/><Relationship Id="rId135" Type="http://schemas.openxmlformats.org/officeDocument/2006/relationships/hyperlink" Target="https://apps.ecology.wa.gov/ptdbreporting/reports/ReportViewer.aspx?ReportName=ResultDetail&amp;id=%201162" TargetMode="External"/><Relationship Id="rId177" Type="http://schemas.openxmlformats.org/officeDocument/2006/relationships/hyperlink" Target="https://apps.ecology.wa.gov/ptdbreporting/reports/ReportViewer.aspx?ReportName=ResultDetail&amp;id=%201760" TargetMode="External"/><Relationship Id="rId342" Type="http://schemas.openxmlformats.org/officeDocument/2006/relationships/hyperlink" Target="https://apps.ecology.wa.gov/ptdbreporting/reports/ReportViewer.aspx?ReportName=ResultDetail&amp;id=%2032856" TargetMode="External"/><Relationship Id="rId384" Type="http://schemas.openxmlformats.org/officeDocument/2006/relationships/hyperlink" Target="https://apps.ecology.wa.gov/ptdbreporting/reports/ReportViewer.aspx?ReportName=ResultDetail&amp;id=%20135706" TargetMode="External"/><Relationship Id="rId591" Type="http://schemas.openxmlformats.org/officeDocument/2006/relationships/hyperlink" Target="https://apps.ecology.wa.gov/ptdbreporting/reports/ReportViewer.aspx?ReportName=ResultDetail&amp;id=%203206" TargetMode="External"/><Relationship Id="rId605" Type="http://schemas.openxmlformats.org/officeDocument/2006/relationships/hyperlink" Target="https://apps.ecology.wa.gov/ptdbreporting/reports/ReportViewer.aspx?ReportName=ResultDetail&amp;id=%205931" TargetMode="External"/><Relationship Id="rId202" Type="http://schemas.openxmlformats.org/officeDocument/2006/relationships/hyperlink" Target="https://apps.ecology.wa.gov/ptdbreporting/reports/ReportViewer.aspx?ReportName=ResultDetail&amp;id=%205888" TargetMode="External"/><Relationship Id="rId244" Type="http://schemas.openxmlformats.org/officeDocument/2006/relationships/hyperlink" Target="https://apps.ecology.wa.gov/ptdbreporting/reports/ReportViewer.aspx?ReportName=ResultDetail&amp;id=%2024832" TargetMode="External"/><Relationship Id="rId39" Type="http://schemas.openxmlformats.org/officeDocument/2006/relationships/hyperlink" Target="https://apps.ecology.wa.gov/ptdbreporting/reports/ReportViewer.aspx?ReportName=ResultDetail&amp;id=%201266" TargetMode="External"/><Relationship Id="rId286" Type="http://schemas.openxmlformats.org/officeDocument/2006/relationships/hyperlink" Target="https://apps.ecology.wa.gov/ptdbreporting/reports/ReportViewer.aspx?ReportName=ResultDetail&amp;id=%2030671" TargetMode="External"/><Relationship Id="rId451" Type="http://schemas.openxmlformats.org/officeDocument/2006/relationships/hyperlink" Target="https://apps.ecology.wa.gov/ptdbreporting/reports/ReportViewer.aspx?ReportName=ResultDetail&amp;id=%20160281" TargetMode="External"/><Relationship Id="rId493" Type="http://schemas.openxmlformats.org/officeDocument/2006/relationships/hyperlink" Target="https://apps.ecology.wa.gov/ptdbreporting/reports/ReportViewer.aspx?ReportName=ResultDetail&amp;id=%20189205" TargetMode="External"/><Relationship Id="rId507" Type="http://schemas.openxmlformats.org/officeDocument/2006/relationships/hyperlink" Target="https://apps.ecology.wa.gov/ptdbreporting/reports/ReportViewer.aspx?ReportName=ResultDetail&amp;id=%20189354" TargetMode="External"/><Relationship Id="rId549" Type="http://schemas.openxmlformats.org/officeDocument/2006/relationships/hyperlink" Target="https://apps.ecology.wa.gov/ptdbreporting/reports/ReportViewer.aspx?ReportName=ResultDetail&amp;id=%20189729" TargetMode="External"/><Relationship Id="rId50" Type="http://schemas.openxmlformats.org/officeDocument/2006/relationships/hyperlink" Target="https://apps.ecology.wa.gov/ptdbreporting/reports/ReportViewer.aspx?ReportName=ResultDetail&amp;id=%201450" TargetMode="External"/><Relationship Id="rId104" Type="http://schemas.openxmlformats.org/officeDocument/2006/relationships/hyperlink" Target="https://apps.ecology.wa.gov/ptdbreporting/reports/ReportViewer.aspx?ReportName=ResultDetail&amp;id=%2067" TargetMode="External"/><Relationship Id="rId146" Type="http://schemas.openxmlformats.org/officeDocument/2006/relationships/hyperlink" Target="https://apps.ecology.wa.gov/ptdbreporting/reports/ReportViewer.aspx?ReportName=ResultDetail&amp;id=%20794" TargetMode="External"/><Relationship Id="rId188" Type="http://schemas.openxmlformats.org/officeDocument/2006/relationships/hyperlink" Target="https://apps.ecology.wa.gov/ptdbreporting/reports/ReportViewer.aspx?ReportName=ResultDetail&amp;id=%20257" TargetMode="External"/><Relationship Id="rId311" Type="http://schemas.openxmlformats.org/officeDocument/2006/relationships/hyperlink" Target="https://apps.ecology.wa.gov/ptdbreporting/reports/ReportViewer.aspx?ReportName=ResultDetail&amp;id=%2030678" TargetMode="External"/><Relationship Id="rId353" Type="http://schemas.openxmlformats.org/officeDocument/2006/relationships/hyperlink" Target="https://apps.ecology.wa.gov/ptdbreporting/reports/ReportViewer.aspx?ReportName=ResultDetail&amp;id=%2032912" TargetMode="External"/><Relationship Id="rId395" Type="http://schemas.openxmlformats.org/officeDocument/2006/relationships/hyperlink" Target="https://apps.ecology.wa.gov/ptdbreporting/reports/ReportViewer.aspx?ReportName=ResultDetail&amp;id=%20102528" TargetMode="External"/><Relationship Id="rId409" Type="http://schemas.openxmlformats.org/officeDocument/2006/relationships/hyperlink" Target="https://apps.ecology.wa.gov/ptdbreporting/reports/ReportViewer.aspx?ReportName=ResultDetail&amp;id=%20102636" TargetMode="External"/><Relationship Id="rId560" Type="http://schemas.openxmlformats.org/officeDocument/2006/relationships/hyperlink" Target="https://apps.ecology.wa.gov/ptdbreporting/reports/ReportViewer.aspx?ReportName=ResultDetail&amp;id=%20189837" TargetMode="External"/><Relationship Id="rId92" Type="http://schemas.openxmlformats.org/officeDocument/2006/relationships/hyperlink" Target="https://apps.ecology.wa.gov/ptdbreporting/reports/ReportViewer.aspx?ReportName=ResultDetail&amp;id=%2043" TargetMode="External"/><Relationship Id="rId213" Type="http://schemas.openxmlformats.org/officeDocument/2006/relationships/hyperlink" Target="https://apps.ecology.wa.gov/ptdbreporting/reports/ReportViewer.aspx?ReportName=ResultDetail&amp;id=%2025065" TargetMode="External"/><Relationship Id="rId420" Type="http://schemas.openxmlformats.org/officeDocument/2006/relationships/hyperlink" Target="https://apps.ecology.wa.gov/ptdbreporting/reports/ReportViewer.aspx?ReportName=ResultDetail&amp;id=%20135887" TargetMode="External"/><Relationship Id="rId255" Type="http://schemas.openxmlformats.org/officeDocument/2006/relationships/hyperlink" Target="https://apps.ecology.wa.gov/ptdbreporting/reports/ReportViewer.aspx?ReportName=ResultDetail&amp;id=%2031862" TargetMode="External"/><Relationship Id="rId297" Type="http://schemas.openxmlformats.org/officeDocument/2006/relationships/hyperlink" Target="https://apps.ecology.wa.gov/ptdbreporting/reports/ReportViewer.aspx?ReportName=ResultDetail&amp;id=%2030742" TargetMode="External"/><Relationship Id="rId462" Type="http://schemas.openxmlformats.org/officeDocument/2006/relationships/hyperlink" Target="https://apps.ecology.wa.gov/ptdbreporting/reports/ReportViewer.aspx?ReportName=ResultDetail&amp;id=%20160034" TargetMode="External"/><Relationship Id="rId518" Type="http://schemas.openxmlformats.org/officeDocument/2006/relationships/hyperlink" Target="https://apps.ecology.wa.gov/ptdbreporting/reports/ReportViewer.aspx?ReportName=ResultDetail&amp;id=%20188946" TargetMode="External"/><Relationship Id="rId115" Type="http://schemas.openxmlformats.org/officeDocument/2006/relationships/hyperlink" Target="https://apps.ecology.wa.gov/ptdbreporting/reports/ReportViewer.aspx?ReportName=ResultDetail&amp;id=%201434" TargetMode="External"/><Relationship Id="rId157" Type="http://schemas.openxmlformats.org/officeDocument/2006/relationships/hyperlink" Target="https://apps.ecology.wa.gov/ptdbreporting/reports/ReportViewer.aspx?ReportName=ResultDetail&amp;id=%20898" TargetMode="External"/><Relationship Id="rId322" Type="http://schemas.openxmlformats.org/officeDocument/2006/relationships/hyperlink" Target="https://apps.ecology.wa.gov/ptdbreporting/reports/ReportViewer.aspx?ReportName=ResultDetail&amp;id=%2031317" TargetMode="External"/><Relationship Id="rId364" Type="http://schemas.openxmlformats.org/officeDocument/2006/relationships/hyperlink" Target="https://apps.ecology.wa.gov/ptdbreporting/reports/ReportViewer.aspx?ReportName=ResultDetail&amp;id=%2033024" TargetMode="External"/><Relationship Id="rId61" Type="http://schemas.openxmlformats.org/officeDocument/2006/relationships/hyperlink" Target="https://apps.ecology.wa.gov/ptdbreporting/reports/ReportViewer.aspx?ReportName=ResultDetail&amp;id=%201497" TargetMode="External"/><Relationship Id="rId199" Type="http://schemas.openxmlformats.org/officeDocument/2006/relationships/hyperlink" Target="https://apps.ecology.wa.gov/ptdbreporting/reports/ReportViewer.aspx?ReportName=ResultDetail&amp;id=%201864" TargetMode="External"/><Relationship Id="rId571" Type="http://schemas.openxmlformats.org/officeDocument/2006/relationships/hyperlink" Target="https://apps.ecology.wa.gov/ptdbreporting/reports/ReportViewer.aspx?ReportName=ResultDetail&amp;id=%203534" TargetMode="External"/><Relationship Id="rId19" Type="http://schemas.openxmlformats.org/officeDocument/2006/relationships/hyperlink" Target="https://apps.ecology.wa.gov/ptdbreporting/reports/ReportViewer.aspx?ReportName=ResultDetail&amp;id=%20818" TargetMode="External"/><Relationship Id="rId224" Type="http://schemas.openxmlformats.org/officeDocument/2006/relationships/hyperlink" Target="https://apps.ecology.wa.gov/ptdbreporting/reports/ReportViewer.aspx?ReportName=ResultDetail&amp;id=%2024397" TargetMode="External"/><Relationship Id="rId266" Type="http://schemas.openxmlformats.org/officeDocument/2006/relationships/hyperlink" Target="https://apps.ecology.wa.gov/ptdbreporting/reports/ReportViewer.aspx?ReportName=ResultDetail&amp;id=%2031789" TargetMode="External"/><Relationship Id="rId431" Type="http://schemas.openxmlformats.org/officeDocument/2006/relationships/hyperlink" Target="https://apps.ecology.wa.gov/ptdbreporting/reports/ReportViewer.aspx?ReportName=ResultDetail&amp;id=%20135878" TargetMode="External"/><Relationship Id="rId473" Type="http://schemas.openxmlformats.org/officeDocument/2006/relationships/hyperlink" Target="https://apps.ecology.wa.gov/ptdbreporting/reports/ReportViewer.aspx?ReportName=ResultDetail&amp;id=%20188919" TargetMode="External"/><Relationship Id="rId529" Type="http://schemas.openxmlformats.org/officeDocument/2006/relationships/hyperlink" Target="https://apps.ecology.wa.gov/ptdbreporting/reports/ReportViewer.aspx?ReportName=ResultDetail&amp;id=%20189311" TargetMode="External"/><Relationship Id="rId30" Type="http://schemas.openxmlformats.org/officeDocument/2006/relationships/hyperlink" Target="https://apps.ecology.wa.gov/ptdbreporting/reports/ReportViewer.aspx?ReportName=ResultDetail&amp;id=%201194" TargetMode="External"/><Relationship Id="rId126" Type="http://schemas.openxmlformats.org/officeDocument/2006/relationships/hyperlink" Target="https://apps.ecology.wa.gov/ptdbreporting/reports/ReportViewer.aspx?ReportName=ResultDetail&amp;id=%201577" TargetMode="External"/><Relationship Id="rId168" Type="http://schemas.openxmlformats.org/officeDocument/2006/relationships/hyperlink" Target="https://apps.ecology.wa.gov/ptdbreporting/reports/ReportViewer.aspx?ReportName=ResultDetail&amp;id=%20930" TargetMode="External"/><Relationship Id="rId333" Type="http://schemas.openxmlformats.org/officeDocument/2006/relationships/hyperlink" Target="https://apps.ecology.wa.gov/ptdbreporting/reports/ReportViewer.aspx?ReportName=ResultDetail&amp;id=%2031277" TargetMode="External"/><Relationship Id="rId540" Type="http://schemas.openxmlformats.org/officeDocument/2006/relationships/hyperlink" Target="https://apps.ecology.wa.gov/ptdbreporting/reports/ReportViewer.aspx?ReportName=ResultDetail&amp;id=%20189666" TargetMode="External"/><Relationship Id="rId72" Type="http://schemas.openxmlformats.org/officeDocument/2006/relationships/hyperlink" Target="https://apps.ecology.wa.gov/ptdbreporting/reports/ReportViewer.aspx?ReportName=ResultDetail&amp;id=%20361" TargetMode="External"/><Relationship Id="rId375" Type="http://schemas.openxmlformats.org/officeDocument/2006/relationships/hyperlink" Target="https://apps.ecology.wa.gov/ptdbreporting/reports/ReportViewer.aspx?ReportName=ResultDetail&amp;id=%20135634" TargetMode="External"/><Relationship Id="rId582" Type="http://schemas.openxmlformats.org/officeDocument/2006/relationships/hyperlink" Target="https://apps.ecology.wa.gov/ptdbreporting/reports/ReportViewer.aspx?ReportName=ResultDetail&amp;id=%203123" TargetMode="External"/><Relationship Id="rId3" Type="http://schemas.openxmlformats.org/officeDocument/2006/relationships/hyperlink" Target="https://apps.ecology.wa.gov/ptdbreporting/reports/ReportViewer.aspx?ReportName=ResultDetail&amp;id=%201609" TargetMode="External"/><Relationship Id="rId235" Type="http://schemas.openxmlformats.org/officeDocument/2006/relationships/hyperlink" Target="https://apps.ecology.wa.gov/ptdbreporting/reports/ReportViewer.aspx?ReportName=ResultDetail&amp;id=%2024321" TargetMode="External"/><Relationship Id="rId277" Type="http://schemas.openxmlformats.org/officeDocument/2006/relationships/hyperlink" Target="https://apps.ecology.wa.gov/ptdbreporting/reports/ReportViewer.aspx?ReportName=ResultDetail&amp;id=%2031935" TargetMode="External"/><Relationship Id="rId400" Type="http://schemas.openxmlformats.org/officeDocument/2006/relationships/hyperlink" Target="https://apps.ecology.wa.gov/ptdbreporting/reports/ReportViewer.aspx?ReportName=ResultDetail&amp;id=%20102573" TargetMode="External"/><Relationship Id="rId442" Type="http://schemas.openxmlformats.org/officeDocument/2006/relationships/hyperlink" Target="https://apps.ecology.wa.gov/ptdbreporting/reports/ReportViewer.aspx?ReportName=ResultDetail&amp;id=%20159869" TargetMode="External"/><Relationship Id="rId484" Type="http://schemas.openxmlformats.org/officeDocument/2006/relationships/hyperlink" Target="https://apps.ecology.wa.gov/ptdbreporting/reports/ReportViewer.aspx?ReportName=ResultDetail&amp;id=%20189000" TargetMode="External"/><Relationship Id="rId137" Type="http://schemas.openxmlformats.org/officeDocument/2006/relationships/hyperlink" Target="https://apps.ecology.wa.gov/ptdbreporting/reports/ReportViewer.aspx?ReportName=ResultDetail&amp;id=%201170" TargetMode="External"/><Relationship Id="rId302" Type="http://schemas.openxmlformats.org/officeDocument/2006/relationships/hyperlink" Target="https://apps.ecology.wa.gov/ptdbreporting/reports/ReportViewer.aspx?ReportName=ResultDetail&amp;id=%2030642" TargetMode="External"/><Relationship Id="rId344" Type="http://schemas.openxmlformats.org/officeDocument/2006/relationships/hyperlink" Target="https://apps.ecology.wa.gov/ptdbreporting/reports/ReportViewer.aspx?ReportName=ResultDetail&amp;id=%2032832" TargetMode="External"/><Relationship Id="rId41" Type="http://schemas.openxmlformats.org/officeDocument/2006/relationships/hyperlink" Target="https://apps.ecology.wa.gov/ptdbreporting/reports/ReportViewer.aspx?ReportName=ResultDetail&amp;id=%201898" TargetMode="External"/><Relationship Id="rId83" Type="http://schemas.openxmlformats.org/officeDocument/2006/relationships/hyperlink" Target="https://apps.ecology.wa.gov/ptdbreporting/reports/ReportViewer.aspx?ReportName=ResultDetail&amp;id=%201633" TargetMode="External"/><Relationship Id="rId179" Type="http://schemas.openxmlformats.org/officeDocument/2006/relationships/hyperlink" Target="https://apps.ecology.wa.gov/ptdbreporting/reports/ReportViewer.aspx?ReportName=ResultDetail&amp;id=%201776" TargetMode="External"/><Relationship Id="rId386" Type="http://schemas.openxmlformats.org/officeDocument/2006/relationships/hyperlink" Target="https://apps.ecology.wa.gov/ptdbreporting/reports/ReportViewer.aspx?ReportName=ResultDetail&amp;id=%20135751" TargetMode="External"/><Relationship Id="rId551" Type="http://schemas.openxmlformats.org/officeDocument/2006/relationships/hyperlink" Target="https://apps.ecology.wa.gov/ptdbreporting/reports/ReportViewer.aspx?ReportName=ResultDetail&amp;id=%20189774" TargetMode="External"/><Relationship Id="rId593" Type="http://schemas.openxmlformats.org/officeDocument/2006/relationships/hyperlink" Target="https://apps.ecology.wa.gov/ptdbreporting/reports/ReportViewer.aspx?ReportName=ResultDetail&amp;id=%203142" TargetMode="External"/><Relationship Id="rId607" Type="http://schemas.openxmlformats.org/officeDocument/2006/relationships/hyperlink" Target="https://apps.ecology.wa.gov/ptdbreporting/reports/ReportViewer.aspx?ReportName=ResultDetail&amp;id=%205949" TargetMode="External"/><Relationship Id="rId190" Type="http://schemas.openxmlformats.org/officeDocument/2006/relationships/hyperlink" Target="https://apps.ecology.wa.gov/ptdbreporting/reports/ReportViewer.aspx?ReportName=ResultDetail&amp;id=%201816" TargetMode="External"/><Relationship Id="rId204" Type="http://schemas.openxmlformats.org/officeDocument/2006/relationships/hyperlink" Target="https://apps.ecology.wa.gov/ptdbreporting/reports/ReportViewer.aspx?ReportName=ResultDetail&amp;id=%2024948" TargetMode="External"/><Relationship Id="rId246" Type="http://schemas.openxmlformats.org/officeDocument/2006/relationships/hyperlink" Target="https://apps.ecology.wa.gov/ptdbreporting/reports/ReportViewer.aspx?ReportName=ResultDetail&amp;id=%2024263" TargetMode="External"/><Relationship Id="rId288" Type="http://schemas.openxmlformats.org/officeDocument/2006/relationships/hyperlink" Target="https://apps.ecology.wa.gov/ptdbreporting/reports/ReportViewer.aspx?ReportName=ResultDetail&amp;id=%2030707" TargetMode="External"/><Relationship Id="rId411" Type="http://schemas.openxmlformats.org/officeDocument/2006/relationships/hyperlink" Target="https://apps.ecology.wa.gov/ptdbreporting/reports/ReportViewer.aspx?ReportName=ResultDetail&amp;id=%20135932" TargetMode="External"/><Relationship Id="rId453" Type="http://schemas.openxmlformats.org/officeDocument/2006/relationships/hyperlink" Target="https://apps.ecology.wa.gov/ptdbreporting/reports/ReportViewer.aspx?ReportName=ResultDetail&amp;id=%20160143" TargetMode="External"/><Relationship Id="rId509" Type="http://schemas.openxmlformats.org/officeDocument/2006/relationships/hyperlink" Target="https://apps.ecology.wa.gov/ptdbreporting/reports/ReportViewer.aspx?ReportName=ResultDetail&amp;id=%20189449" TargetMode="External"/><Relationship Id="rId106" Type="http://schemas.openxmlformats.org/officeDocument/2006/relationships/hyperlink" Target="https://apps.ecology.wa.gov/ptdbreporting/reports/ReportViewer.aspx?ReportName=ResultDetail&amp;id=%201378" TargetMode="External"/><Relationship Id="rId313" Type="http://schemas.openxmlformats.org/officeDocument/2006/relationships/hyperlink" Target="https://apps.ecology.wa.gov/ptdbreporting/reports/ReportViewer.aspx?ReportName=ResultDetail&amp;id=%2031253" TargetMode="External"/><Relationship Id="rId495" Type="http://schemas.openxmlformats.org/officeDocument/2006/relationships/hyperlink" Target="https://apps.ecology.wa.gov/ptdbreporting/reports/ReportViewer.aspx?ReportName=ResultDetail&amp;id=%20189259" TargetMode="External"/><Relationship Id="rId10" Type="http://schemas.openxmlformats.org/officeDocument/2006/relationships/hyperlink" Target="https://apps.ecology.wa.gov/ptdbreporting/reports/ReportViewer.aspx?ReportName=ResultDetail&amp;id=%20986" TargetMode="External"/><Relationship Id="rId52" Type="http://schemas.openxmlformats.org/officeDocument/2006/relationships/hyperlink" Target="https://apps.ecology.wa.gov/ptdbreporting/reports/ReportViewer.aspx?ReportName=ResultDetail&amp;id=%20241" TargetMode="External"/><Relationship Id="rId94" Type="http://schemas.openxmlformats.org/officeDocument/2006/relationships/hyperlink" Target="https://apps.ecology.wa.gov/ptdbreporting/reports/ReportViewer.aspx?ReportName=ResultDetail&amp;id=%201346" TargetMode="External"/><Relationship Id="rId148" Type="http://schemas.openxmlformats.org/officeDocument/2006/relationships/hyperlink" Target="https://apps.ecology.wa.gov/ptdbreporting/reports/ReportViewer.aspx?ReportName=ResultDetail&amp;id=%20866" TargetMode="External"/><Relationship Id="rId355" Type="http://schemas.openxmlformats.org/officeDocument/2006/relationships/hyperlink" Target="https://apps.ecology.wa.gov/ptdbreporting/reports/ReportViewer.aspx?ReportName=ResultDetail&amp;id=%2032928" TargetMode="External"/><Relationship Id="rId397" Type="http://schemas.openxmlformats.org/officeDocument/2006/relationships/hyperlink" Target="https://apps.ecology.wa.gov/ptdbreporting/reports/ReportViewer.aspx?ReportName=ResultDetail&amp;id=%20102609" TargetMode="External"/><Relationship Id="rId520" Type="http://schemas.openxmlformats.org/officeDocument/2006/relationships/hyperlink" Target="https://apps.ecology.wa.gov/ptdbreporting/reports/ReportViewer.aspx?ReportName=ResultDetail&amp;id=%20189178" TargetMode="External"/><Relationship Id="rId562" Type="http://schemas.openxmlformats.org/officeDocument/2006/relationships/hyperlink" Target="https://apps.ecology.wa.gov/ptdbreporting/reports/ReportViewer.aspx?ReportName=ResultDetail&amp;id=%20189855" TargetMode="External"/><Relationship Id="rId215" Type="http://schemas.openxmlformats.org/officeDocument/2006/relationships/hyperlink" Target="https://apps.ecology.wa.gov/ptdbreporting/reports/ReportViewer.aspx?ReportName=ResultDetail&amp;id=%2024927" TargetMode="External"/><Relationship Id="rId257" Type="http://schemas.openxmlformats.org/officeDocument/2006/relationships/hyperlink" Target="https://apps.ecology.wa.gov/ptdbreporting/reports/ReportViewer.aspx?ReportName=ResultDetail&amp;id=%2032001" TargetMode="External"/><Relationship Id="rId422" Type="http://schemas.openxmlformats.org/officeDocument/2006/relationships/hyperlink" Target="https://apps.ecology.wa.gov/ptdbreporting/reports/ReportViewer.aspx?ReportName=ResultDetail&amp;id=%20135995" TargetMode="External"/><Relationship Id="rId464" Type="http://schemas.openxmlformats.org/officeDocument/2006/relationships/hyperlink" Target="https://apps.ecology.wa.gov/ptdbreporting/reports/ReportViewer.aspx?ReportName=ResultDetail&amp;id=%20159853" TargetMode="External"/><Relationship Id="rId299" Type="http://schemas.openxmlformats.org/officeDocument/2006/relationships/hyperlink" Target="https://apps.ecology.wa.gov/ptdbreporting/reports/ReportViewer.aspx?ReportName=ResultDetail&amp;id=%2030606" TargetMode="External"/><Relationship Id="rId63" Type="http://schemas.openxmlformats.org/officeDocument/2006/relationships/hyperlink" Target="https://apps.ecology.wa.gov/ptdbreporting/reports/ReportViewer.aspx?ReportName=ResultDetail&amp;id=%20337" TargetMode="External"/><Relationship Id="rId159" Type="http://schemas.openxmlformats.org/officeDocument/2006/relationships/hyperlink" Target="https://apps.ecology.wa.gov/ptdbreporting/reports/ReportViewer.aspx?ReportName=ResultDetail&amp;id=%20906" TargetMode="External"/><Relationship Id="rId366" Type="http://schemas.openxmlformats.org/officeDocument/2006/relationships/hyperlink" Target="https://apps.ecology.wa.gov/ptdbreporting/reports/ReportViewer.aspx?ReportName=ResultDetail&amp;id=%2033008" TargetMode="External"/><Relationship Id="rId573" Type="http://schemas.openxmlformats.org/officeDocument/2006/relationships/hyperlink" Target="https://apps.ecology.wa.gov/ptdbreporting/reports/ReportViewer.aspx?ReportName=ResultDetail&amp;id=%203255" TargetMode="External"/><Relationship Id="rId226" Type="http://schemas.openxmlformats.org/officeDocument/2006/relationships/hyperlink" Target="https://apps.ecology.wa.gov/ptdbreporting/reports/ReportViewer.aspx?ReportName=ResultDetail&amp;id=%2024975" TargetMode="External"/><Relationship Id="rId433" Type="http://schemas.openxmlformats.org/officeDocument/2006/relationships/hyperlink" Target="https://apps.ecology.wa.gov/ptdbreporting/reports/ReportViewer.aspx?ReportName=ResultDetail&amp;id=%20135986" TargetMode="External"/><Relationship Id="rId74" Type="http://schemas.openxmlformats.org/officeDocument/2006/relationships/hyperlink" Target="https://apps.ecology.wa.gov/ptdbreporting/reports/ReportViewer.aspx?ReportName=ResultDetail&amp;id=%201314" TargetMode="External"/><Relationship Id="rId377" Type="http://schemas.openxmlformats.org/officeDocument/2006/relationships/hyperlink" Target="https://apps.ecology.wa.gov/ptdbreporting/reports/ReportViewer.aspx?ReportName=ResultDetail&amp;id=%20135652" TargetMode="External"/><Relationship Id="rId500" Type="http://schemas.openxmlformats.org/officeDocument/2006/relationships/hyperlink" Target="https://apps.ecology.wa.gov/ptdbreporting/reports/ReportViewer.aspx?ReportName=ResultDetail&amp;id=%20188982" TargetMode="External"/><Relationship Id="rId584" Type="http://schemas.openxmlformats.org/officeDocument/2006/relationships/hyperlink" Target="https://apps.ecology.wa.gov/ptdbreporting/reports/ReportViewer.aspx?ReportName=ResultDetail&amp;id=%203268" TargetMode="External"/><Relationship Id="rId5" Type="http://schemas.openxmlformats.org/officeDocument/2006/relationships/hyperlink" Target="https://apps.ecology.wa.gov/ptdbreporting/reports/ReportViewer.aspx?ReportName=ResultDetail&amp;id=%20377" TargetMode="External"/><Relationship Id="rId237" Type="http://schemas.openxmlformats.org/officeDocument/2006/relationships/hyperlink" Target="https://apps.ecology.wa.gov/ptdbreporting/reports/ReportViewer.aspx?ReportName=ResultDetail&amp;id=%2024865" TargetMode="External"/><Relationship Id="rId444" Type="http://schemas.openxmlformats.org/officeDocument/2006/relationships/hyperlink" Target="https://apps.ecology.wa.gov/ptdbreporting/reports/ReportViewer.aspx?ReportName=ResultDetail&amp;id=%20159844" TargetMode="External"/><Relationship Id="rId290" Type="http://schemas.openxmlformats.org/officeDocument/2006/relationships/hyperlink" Target="https://apps.ecology.wa.gov/ptdbreporting/reports/ReportViewer.aspx?ReportName=ResultDetail&amp;id=%2030526" TargetMode="External"/><Relationship Id="rId304" Type="http://schemas.openxmlformats.org/officeDocument/2006/relationships/hyperlink" Target="https://apps.ecology.wa.gov/ptdbreporting/reports/ReportViewer.aspx?ReportName=ResultDetail&amp;id=%2030502" TargetMode="External"/><Relationship Id="rId388" Type="http://schemas.openxmlformats.org/officeDocument/2006/relationships/hyperlink" Target="https://apps.ecology.wa.gov/ptdbreporting/reports/ReportViewer.aspx?ReportName=ResultDetail&amp;id=%20135760" TargetMode="External"/><Relationship Id="rId511" Type="http://schemas.openxmlformats.org/officeDocument/2006/relationships/hyperlink" Target="https://apps.ecology.wa.gov/ptdbreporting/reports/ReportViewer.aspx?ReportName=ResultDetail&amp;id=%20189151" TargetMode="External"/><Relationship Id="rId609" Type="http://schemas.openxmlformats.org/officeDocument/2006/relationships/printerSettings" Target="../printerSettings/printerSettings7.bin"/><Relationship Id="rId85" Type="http://schemas.openxmlformats.org/officeDocument/2006/relationships/hyperlink" Target="https://apps.ecology.wa.gov/ptdbreporting/reports/ReportViewer.aspx?ReportName=ResultDetail&amp;id=%201641" TargetMode="External"/><Relationship Id="rId150" Type="http://schemas.openxmlformats.org/officeDocument/2006/relationships/hyperlink" Target="https://apps.ecology.wa.gov/ptdbreporting/reports/ReportViewer.aspx?ReportName=ResultDetail&amp;id=%201697" TargetMode="External"/><Relationship Id="rId595" Type="http://schemas.openxmlformats.org/officeDocument/2006/relationships/hyperlink" Target="https://apps.ecology.wa.gov/ptdbreporting/reports/ReportViewer.aspx?ReportName=ResultDetail&amp;id=%203164" TargetMode="External"/><Relationship Id="rId248" Type="http://schemas.openxmlformats.org/officeDocument/2006/relationships/hyperlink" Target="https://apps.ecology.wa.gov/ptdbreporting/reports/ReportViewer.aspx?ReportName=ResultDetail&amp;id=%2024483" TargetMode="External"/><Relationship Id="rId455" Type="http://schemas.openxmlformats.org/officeDocument/2006/relationships/hyperlink" Target="https://apps.ecology.wa.gov/ptdbreporting/reports/ReportViewer.aspx?ReportName=ResultDetail&amp;id=%20160245" TargetMode="External"/><Relationship Id="rId12" Type="http://schemas.openxmlformats.org/officeDocument/2006/relationships/hyperlink" Target="https://apps.ecology.wa.gov/ptdbreporting/reports/ReportViewer.aspx?ReportName=ResultDetail&amp;id=%20135416" TargetMode="External"/><Relationship Id="rId108" Type="http://schemas.openxmlformats.org/officeDocument/2006/relationships/hyperlink" Target="https://apps.ecology.wa.gov/ptdbreporting/reports/ReportViewer.aspx?ReportName=ResultDetail&amp;id=%20273" TargetMode="External"/><Relationship Id="rId315" Type="http://schemas.openxmlformats.org/officeDocument/2006/relationships/hyperlink" Target="https://apps.ecology.wa.gov/ptdbreporting/reports/ReportViewer.aspx?ReportName=ResultDetail&amp;id=%2031357" TargetMode="External"/><Relationship Id="rId522" Type="http://schemas.openxmlformats.org/officeDocument/2006/relationships/hyperlink" Target="https://apps.ecology.wa.gov/ptdbreporting/reports/ReportViewer.aspx?ReportName=ResultDetail&amp;id=%20189320" TargetMode="External"/><Relationship Id="rId96" Type="http://schemas.openxmlformats.org/officeDocument/2006/relationships/hyperlink" Target="https://apps.ecology.wa.gov/ptdbreporting/reports/ReportViewer.aspx?ReportName=ResultDetail&amp;id=%201362" TargetMode="External"/><Relationship Id="rId161" Type="http://schemas.openxmlformats.org/officeDocument/2006/relationships/hyperlink" Target="https://apps.ecology.wa.gov/ptdbreporting/reports/ReportViewer.aspx?ReportName=ResultDetail&amp;id=%20914" TargetMode="External"/><Relationship Id="rId399" Type="http://schemas.openxmlformats.org/officeDocument/2006/relationships/hyperlink" Target="https://apps.ecology.wa.gov/ptdbreporting/reports/ReportViewer.aspx?ReportName=ResultDetail&amp;id=%20102564" TargetMode="External"/><Relationship Id="rId259" Type="http://schemas.openxmlformats.org/officeDocument/2006/relationships/hyperlink" Target="https://apps.ecology.wa.gov/ptdbreporting/reports/ReportViewer.aspx?ReportName=ResultDetail&amp;id=%2032018" TargetMode="External"/><Relationship Id="rId466" Type="http://schemas.openxmlformats.org/officeDocument/2006/relationships/hyperlink" Target="https://apps.ecology.wa.gov/ptdbreporting/reports/ReportViewer.aspx?ReportName=ResultDetail&amp;id=%20160134" TargetMode="External"/><Relationship Id="rId23" Type="http://schemas.openxmlformats.org/officeDocument/2006/relationships/hyperlink" Target="https://apps.ecology.wa.gov/ptdbreporting/reports/ReportViewer.aspx?ReportName=ResultDetail&amp;id=%201034" TargetMode="External"/><Relationship Id="rId119" Type="http://schemas.openxmlformats.org/officeDocument/2006/relationships/hyperlink" Target="https://apps.ecology.wa.gov/ptdbreporting/reports/ReportViewer.aspx?ReportName=ResultDetail&amp;id=%201306" TargetMode="External"/><Relationship Id="rId326" Type="http://schemas.openxmlformats.org/officeDocument/2006/relationships/hyperlink" Target="https://apps.ecology.wa.gov/ptdbreporting/reports/ReportViewer.aspx?ReportName=ResultDetail&amp;id=%2031221" TargetMode="External"/><Relationship Id="rId533" Type="http://schemas.openxmlformats.org/officeDocument/2006/relationships/hyperlink" Target="https://apps.ecology.wa.gov/ptdbreporting/reports/ReportViewer.aspx?ReportName=ResultDetail&amp;id=%20189522" TargetMode="External"/><Relationship Id="rId172" Type="http://schemas.openxmlformats.org/officeDocument/2006/relationships/hyperlink" Target="https://apps.ecology.wa.gov/ptdbreporting/reports/ReportViewer.aspx?ReportName=ResultDetail&amp;id=%201290" TargetMode="External"/><Relationship Id="rId477" Type="http://schemas.openxmlformats.org/officeDocument/2006/relationships/hyperlink" Target="https://apps.ecology.wa.gov/ptdbreporting/reports/ReportViewer.aspx?ReportName=ResultDetail&amp;id=%20189045" TargetMode="External"/><Relationship Id="rId600" Type="http://schemas.openxmlformats.org/officeDocument/2006/relationships/hyperlink" Target="https://apps.ecology.wa.gov/ptdbreporting/reports/ReportViewer.aspx?ReportName=ResultDetail&amp;id=%203177" TargetMode="External"/><Relationship Id="rId337" Type="http://schemas.openxmlformats.org/officeDocument/2006/relationships/hyperlink" Target="https://apps.ecology.wa.gov/ptdbreporting/reports/ReportViewer.aspx?ReportName=ResultDetail&amp;id=%2031237" TargetMode="External"/><Relationship Id="rId34" Type="http://schemas.openxmlformats.org/officeDocument/2006/relationships/hyperlink" Target="https://apps.ecology.wa.gov/ptdbreporting/reports/ReportViewer.aspx?ReportName=ResultDetail&amp;id=%201226" TargetMode="External"/><Relationship Id="rId544" Type="http://schemas.openxmlformats.org/officeDocument/2006/relationships/hyperlink" Target="https://apps.ecology.wa.gov/ptdbreporting/reports/ReportViewer.aspx?ReportName=ResultDetail&amp;id=%20189828" TargetMode="External"/><Relationship Id="rId183" Type="http://schemas.openxmlformats.org/officeDocument/2006/relationships/hyperlink" Target="https://apps.ecology.wa.gov/ptdbreporting/reports/ReportViewer.aspx?ReportName=ResultDetail&amp;id=%20433" TargetMode="External"/><Relationship Id="rId390" Type="http://schemas.openxmlformats.org/officeDocument/2006/relationships/hyperlink" Target="https://apps.ecology.wa.gov/ptdbreporting/reports/ReportViewer.aspx?ReportName=ResultDetail&amp;id=%20135742" TargetMode="External"/><Relationship Id="rId404" Type="http://schemas.openxmlformats.org/officeDocument/2006/relationships/hyperlink" Target="https://apps.ecology.wa.gov/ptdbreporting/reports/ReportViewer.aspx?ReportName=ResultDetail&amp;id=%20102663" TargetMode="External"/><Relationship Id="rId250" Type="http://schemas.openxmlformats.org/officeDocument/2006/relationships/hyperlink" Target="https://apps.ecology.wa.gov/ptdbreporting/reports/ReportViewer.aspx?ReportName=ResultDetail&amp;id=%2031861" TargetMode="External"/><Relationship Id="rId488" Type="http://schemas.openxmlformats.org/officeDocument/2006/relationships/hyperlink" Target="https://apps.ecology.wa.gov/ptdbreporting/reports/ReportViewer.aspx?ReportName=ResultDetail&amp;id=%20188955" TargetMode="External"/><Relationship Id="rId45" Type="http://schemas.openxmlformats.org/officeDocument/2006/relationships/hyperlink" Target="https://apps.ecology.wa.gov/ptdbreporting/reports/ReportViewer.aspx?ReportName=ResultDetail&amp;id=%203080" TargetMode="External"/><Relationship Id="rId110" Type="http://schemas.openxmlformats.org/officeDocument/2006/relationships/hyperlink" Target="https://apps.ecology.wa.gov/ptdbreporting/reports/ReportViewer.aspx?ReportName=ResultDetail&amp;id=%201402" TargetMode="External"/><Relationship Id="rId348" Type="http://schemas.openxmlformats.org/officeDocument/2006/relationships/hyperlink" Target="https://apps.ecology.wa.gov/ptdbreporting/reports/ReportViewer.aspx?ReportName=ResultDetail&amp;id=%2032840" TargetMode="External"/><Relationship Id="rId555" Type="http://schemas.openxmlformats.org/officeDocument/2006/relationships/hyperlink" Target="https://apps.ecology.wa.gov/ptdbreporting/reports/ReportViewer.aspx?ReportName=ResultDetail&amp;id=%20189621" TargetMode="External"/><Relationship Id="rId194" Type="http://schemas.openxmlformats.org/officeDocument/2006/relationships/hyperlink" Target="https://apps.ecology.wa.gov/ptdbreporting/reports/ReportViewer.aspx?ReportName=ResultDetail&amp;id=%201832" TargetMode="External"/><Relationship Id="rId208" Type="http://schemas.openxmlformats.org/officeDocument/2006/relationships/hyperlink" Target="https://apps.ecology.wa.gov/ptdbreporting/reports/ReportViewer.aspx?ReportName=ResultDetail&amp;id=%2024427" TargetMode="External"/><Relationship Id="rId415" Type="http://schemas.openxmlformats.org/officeDocument/2006/relationships/hyperlink" Target="https://apps.ecology.wa.gov/ptdbreporting/reports/ReportViewer.aspx?ReportName=ResultDetail&amp;id=%20135959" TargetMode="External"/><Relationship Id="rId261" Type="http://schemas.openxmlformats.org/officeDocument/2006/relationships/hyperlink" Target="https://apps.ecology.wa.gov/ptdbreporting/reports/ReportViewer.aspx?ReportName=ResultDetail&amp;id=%2031981" TargetMode="External"/><Relationship Id="rId499" Type="http://schemas.openxmlformats.org/officeDocument/2006/relationships/hyperlink" Target="https://apps.ecology.wa.gov/ptdbreporting/reports/ReportViewer.aspx?ReportName=ResultDetail&amp;id=%20188973" TargetMode="External"/><Relationship Id="rId56" Type="http://schemas.openxmlformats.org/officeDocument/2006/relationships/hyperlink" Target="https://apps.ecology.wa.gov/ptdbreporting/reports/ReportViewer.aspx?ReportName=ResultDetail&amp;id=%201473" TargetMode="External"/><Relationship Id="rId359" Type="http://schemas.openxmlformats.org/officeDocument/2006/relationships/hyperlink" Target="https://apps.ecology.wa.gov/ptdbreporting/reports/ReportViewer.aspx?ReportName=ResultDetail&amp;id=%2032944" TargetMode="External"/><Relationship Id="rId566" Type="http://schemas.openxmlformats.org/officeDocument/2006/relationships/hyperlink" Target="https://apps.ecology.wa.gov/ptdbreporting/reports/ReportViewer.aspx?ReportName=ResultDetail&amp;id=%20189846" TargetMode="External"/><Relationship Id="rId121" Type="http://schemas.openxmlformats.org/officeDocument/2006/relationships/hyperlink" Target="https://apps.ecology.wa.gov/ptdbreporting/reports/ReportViewer.aspx?ReportName=ResultDetail&amp;id=%20233" TargetMode="External"/><Relationship Id="rId219" Type="http://schemas.openxmlformats.org/officeDocument/2006/relationships/hyperlink" Target="https://apps.ecology.wa.gov/ptdbreporting/reports/ReportViewer.aspx?ReportName=ResultDetail&amp;id=%2024916" TargetMode="External"/><Relationship Id="rId426" Type="http://schemas.openxmlformats.org/officeDocument/2006/relationships/hyperlink" Target="https://apps.ecology.wa.gov/ptdbreporting/reports/ReportViewer.aspx?ReportName=ResultDetail&amp;id=%20135815"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amazon.com/Permatex-80729-Brake-Quiet-Pouches/dp/B000HBGH3G?th=1" TargetMode="External"/><Relationship Id="rId13" Type="http://schemas.openxmlformats.org/officeDocument/2006/relationships/hyperlink" Target="https://www.homedepot.com/p/GE-Silicone-2-Paintable-Silicone-10-1-oz-White-Paintable-Caulk-GE7000/100012232" TargetMode="External"/><Relationship Id="rId18" Type="http://schemas.openxmlformats.org/officeDocument/2006/relationships/hyperlink" Target="https://www.amazon.com/Multitech-Surface-Repair-Tile-Refinishing/dp/B00HFGN8OW" TargetMode="External"/><Relationship Id="rId3" Type="http://schemas.openxmlformats.org/officeDocument/2006/relationships/hyperlink" Target="https://www.amazon.com/Elmers-E1013-Model-Cement-1-Ounce/dp/B000MVOX2S" TargetMode="External"/><Relationship Id="rId21" Type="http://schemas.openxmlformats.org/officeDocument/2006/relationships/hyperlink" Target="https://www.officedepot.com/a/products/390755/Identity-Group-Replacement-Ink-Pad-For/" TargetMode="External"/><Relationship Id="rId7" Type="http://schemas.openxmlformats.org/officeDocument/2006/relationships/hyperlink" Target="https://www.homedepot.com/p/Quikrete-1-Qt-Patch-Pre-Mixed-Stucco-865032/202092198?g_store=&amp;source=shoppingads&amp;locale=en-US&amp;pla&amp;mtc=SHOPPING-BF-CDP-GGL-D22-022_009_CONCRETE-NA-NA-NA-PMAX-NA-NA-NA-NA-NBR-NA-NA-NEW-NA-JControl24&amp;cm_mmc=SHOPPING-BF-CDP-GGL-D22-022_009_CONCRETE-NA-NA-NA-PMAX-NA-NA-NA-NA-NBR-NA-NA-NEW-NA-JControl24-71700000112622853--&amp;gad_source=1&amp;gclid=EAIaIQobChMI0Z-ppZ_FhgMV3IrCCB1A7zOQEAQYAiABEgIKmfD_BwE&amp;gclsrc=aw.ds" TargetMode="External"/><Relationship Id="rId12" Type="http://schemas.openxmlformats.org/officeDocument/2006/relationships/hyperlink" Target="https://www.amazon.com/White-Tremco-DyMonic-Polyurethane-Sealant/dp/B001G0VUSY/ref=asc_df_B001G0VUSY/?tag=hyprod-20&amp;linkCode=df0&amp;hvadid=693675076686&amp;hvpos=&amp;hvnetw=g&amp;hvrand=17815307025089204601&amp;hvpone=&amp;hvptwo=&amp;hvqmt=&amp;hvdev=c&amp;hvdvcmdl=&amp;hvlocint=&amp;hvlocphy=9003590&amp;hvtargid=pla-1948460955346&amp;psc=1&amp;mcid=824ec925c23a31e893150ba171c4f557&amp;gad_source=1" TargetMode="External"/><Relationship Id="rId17" Type="http://schemas.openxmlformats.org/officeDocument/2006/relationships/hyperlink" Target="https://www.dhcsupplies.com/protecto-wrap-white-ps25xl-sealant-10-1oz.html" TargetMode="External"/><Relationship Id="rId2" Type="http://schemas.openxmlformats.org/officeDocument/2006/relationships/hyperlink" Target="https://www.amazon.com/Quikrete-Concrete-Patching-Compound-Qt/dp/B00QU5X84E/ref=asc_df_B00QU5X84E/?tag=hyprod-20&amp;linkCode=df0&amp;hvadid=693501891059&amp;hvpos=&amp;hvnetw=g&amp;hvrand=1886473386334712242&amp;hvpone=&amp;hvptwo=&amp;hvqmt=&amp;hvdev=c&amp;hvdvcmdl=&amp;hvlocint=&amp;hvlocphy=9003590&amp;hvtargid=pla-1969402891624&amp;psc=1&amp;mcid=73705320ae70362597cb472380970cce&amp;gad_source=1" TargetMode="External"/><Relationship Id="rId16" Type="http://schemas.openxmlformats.org/officeDocument/2006/relationships/hyperlink" Target="https://www.cjponyparts.com/ford-motorcraft-lacquer-touch-up-paint/p/PTTU-V/" TargetMode="External"/><Relationship Id="rId20" Type="http://schemas.openxmlformats.org/officeDocument/2006/relationships/hyperlink" Target="https://www.lowes.com/pd/Wilsonart-5-oz-Pearl-Soapstone-Paintable-Silicone-Caulk/1000392667" TargetMode="External"/><Relationship Id="rId1" Type="http://schemas.openxmlformats.org/officeDocument/2006/relationships/hyperlink" Target="https://www.amazon.com/SAKRETE-AMERICA-863005-BLKtop-Repair/dp/B000DZF33Q" TargetMode="External"/><Relationship Id="rId6" Type="http://schemas.openxmlformats.org/officeDocument/2006/relationships/hyperlink" Target="https://www.amazon.com/18816-Polyurethane-Construction-Adhesive-Sealant/dp/B0006B684A/ref=asc_df_B0006B684A/?tag=hyprod-20&amp;linkCode=df0&amp;hvadid=693071814376&amp;hvpos=&amp;hvnetw=g&amp;hvrand=7468954415716761375&amp;hvpone=&amp;hvptwo=&amp;hvqmt=&amp;hvdev=c&amp;hvdvcmdl=&amp;hvlocint=&amp;hvlocphy=9003590&amp;hvtargid=pla-312852352467&amp;mcid=209402ce7c173a73a6a45eda129e5592&amp;gad_source=1&amp;th=1" TargetMode="External"/><Relationship Id="rId11" Type="http://schemas.openxmlformats.org/officeDocument/2006/relationships/hyperlink" Target="https://www.perigeedirect.com/products/hardman-double-bubble-d50-green-beige-label-04022-high-shear-strength-beige-urethane-adhesive?variant=37817085657266&#164;cy=USD&amp;utm_medium=product_sync&amp;utm_source=google&amp;utm_content=sag_organic&amp;utm_campaign=sag_organic&amp;utm_campaign=gs-2019-03-03&amp;utm_source=google&amp;utm_medium=smart_campaign&amp;gad_source=1&amp;gclid=EAIaIQobChMIv7fi3ZLHhgMVyGdHAR0AeQM3EAQYAiABEgL3uPD_BwE" TargetMode="External"/><Relationship Id="rId24" Type="http://schemas.openxmlformats.org/officeDocument/2006/relationships/printerSettings" Target="../printerSettings/printerSettings9.bin"/><Relationship Id="rId5" Type="http://schemas.openxmlformats.org/officeDocument/2006/relationships/hyperlink" Target="https://www.amazon.com/STP-17925-Power-Steering-Fluid/dp/B0009PCPRW" TargetMode="External"/><Relationship Id="rId15" Type="http://schemas.openxmlformats.org/officeDocument/2006/relationships/hyperlink" Target="https://www.ideaautorepair.com/product/klean-strip-mask-peel-spray-booth-coating-cmp229/auto-paint-supply?utm_source=feed&amp;utm_medium=free&amp;utm_campaign=shopping&amp;gad_source=1&amp;gclid=EAIaIQobChMIofqP7LnHhgMVAkpHAR1ufAQeEAQYASABEgLPyvD_BwE" TargetMode="External"/><Relationship Id="rId23" Type="http://schemas.openxmlformats.org/officeDocument/2006/relationships/hyperlink" Target="https://www.amazon.com/Smooth-Smooth-Cast-ColorMatch-Plastic-Compound/dp/B004BNC9R4" TargetMode="External"/><Relationship Id="rId10" Type="http://schemas.openxmlformats.org/officeDocument/2006/relationships/hyperlink" Target="https://metrosealant.com/product/henry-air-bloc-33mr/" TargetMode="External"/><Relationship Id="rId19" Type="http://schemas.openxmlformats.org/officeDocument/2006/relationships/hyperlink" Target="https://www.homedepot.com/p/Seal-Krete-5-gal-Satin-Clear-Seal-Concrete-Protective-Sealer-604005/203494520" TargetMode="External"/><Relationship Id="rId4" Type="http://schemas.openxmlformats.org/officeDocument/2006/relationships/hyperlink" Target="https://www.homedepot.com/p/Quikrete-10-oz-Mortar-Repair-Sealant-862009/100318502" TargetMode="External"/><Relationship Id="rId9" Type="http://schemas.openxmlformats.org/officeDocument/2006/relationships/hyperlink" Target="https://bjbmaterials.com/6840-ultra-black-pigment/" TargetMode="External"/><Relationship Id="rId14" Type="http://schemas.openxmlformats.org/officeDocument/2006/relationships/hyperlink" Target="https://www.homedepot.com/p/Hercules-5-5-oz-Bright-White-Plumber-s-Caulk-256052/205930691" TargetMode="External"/><Relationship Id="rId22" Type="http://schemas.openxmlformats.org/officeDocument/2006/relationships/hyperlink" Target="https://www.researchgate.net/publication/238724408_Determination_of_the_Magnitude_of_Clay_to_Skin_and_Skin_to_Mouth_Transfer_of_Phthalates_Associated_with_the_Use_of_Polymer_Cla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540D-E36C-4506-AEBD-CE61C235FBF8}">
  <sheetPr codeName="Sheet1">
    <tabColor theme="4"/>
  </sheetPr>
  <dimension ref="B1:F11"/>
  <sheetViews>
    <sheetView topLeftCell="A2" workbookViewId="0">
      <selection activeCell="B3" sqref="B3:F4"/>
    </sheetView>
  </sheetViews>
  <sheetFormatPr defaultColWidth="9.140625" defaultRowHeight="25.5" customHeight="1"/>
  <cols>
    <col min="1" max="1" width="13.42578125" style="1" customWidth="1"/>
    <col min="2" max="2" width="11.42578125" style="1" customWidth="1"/>
    <col min="3" max="3" width="10.85546875" style="1" customWidth="1"/>
    <col min="4" max="4" width="11.42578125" style="1" customWidth="1"/>
    <col min="5" max="5" width="11.85546875" style="1" customWidth="1"/>
    <col min="6" max="16384" width="9.140625" style="1"/>
  </cols>
  <sheetData>
    <row r="1" spans="2:6" ht="34.5" customHeight="1"/>
    <row r="3" spans="2:6" ht="25.5" customHeight="1">
      <c r="B3" s="616" t="s">
        <v>0</v>
      </c>
      <c r="C3" s="616"/>
      <c r="D3" s="616"/>
      <c r="E3" s="616"/>
      <c r="F3" s="616"/>
    </row>
    <row r="4" spans="2:6" ht="25.5" customHeight="1">
      <c r="B4" s="616"/>
      <c r="C4" s="616"/>
      <c r="D4" s="616"/>
      <c r="E4" s="616"/>
      <c r="F4" s="616"/>
    </row>
    <row r="6" spans="2:6" ht="217.5" customHeight="1"/>
    <row r="7" spans="2:6" ht="25.5" customHeight="1">
      <c r="B7" s="616"/>
      <c r="C7" s="616"/>
      <c r="D7" s="616"/>
      <c r="E7" s="616"/>
      <c r="F7" s="616"/>
    </row>
    <row r="9" spans="2:6" ht="25.5" customHeight="1">
      <c r="B9" s="616" t="s">
        <v>1</v>
      </c>
      <c r="C9" s="616"/>
      <c r="D9" s="616"/>
      <c r="E9" s="616"/>
      <c r="F9" s="616"/>
    </row>
    <row r="11" spans="2:6" ht="25.5" customHeight="1">
      <c r="B11" s="617" t="s">
        <v>2</v>
      </c>
      <c r="C11" s="617"/>
      <c r="D11" s="617"/>
      <c r="E11" s="617"/>
      <c r="F11" s="617"/>
    </row>
  </sheetData>
  <sheetProtection sheet="1" objects="1" scenarios="1" formatCells="0" formatColumns="0" formatRows="0"/>
  <mergeCells count="4">
    <mergeCell ref="B3:F4"/>
    <mergeCell ref="B7:F7"/>
    <mergeCell ref="B9:F9"/>
    <mergeCell ref="B11:F11"/>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579C-70D6-407D-99F1-5B5F21C46E73}">
  <sheetPr codeName="Sheet11"/>
  <dimension ref="A1:E19"/>
  <sheetViews>
    <sheetView workbookViewId="0">
      <selection activeCell="A2" sqref="A2"/>
    </sheetView>
  </sheetViews>
  <sheetFormatPr defaultColWidth="8.7109375" defaultRowHeight="15"/>
  <cols>
    <col min="1" max="1" width="35.7109375" style="10" customWidth="1"/>
    <col min="2" max="3" width="8.7109375" style="10"/>
    <col min="4" max="4" width="37.7109375" style="10" customWidth="1"/>
    <col min="5" max="5" width="45.140625" style="10" customWidth="1"/>
    <col min="6" max="16384" width="8.7109375" style="10"/>
  </cols>
  <sheetData>
    <row r="1" spans="1:5">
      <c r="A1" s="10" t="s">
        <v>2720</v>
      </c>
      <c r="B1" s="10" t="s">
        <v>2721</v>
      </c>
      <c r="C1" s="10" t="s">
        <v>2722</v>
      </c>
      <c r="D1" s="10" t="s">
        <v>2723</v>
      </c>
      <c r="E1" s="10" t="s">
        <v>2724</v>
      </c>
    </row>
    <row r="2" spans="1:5">
      <c r="A2" s="10" t="str">
        <f>'Compiled Articles'!D6</f>
        <v>Adult Toys</v>
      </c>
      <c r="B2" s="10">
        <f>'Compiled Articles'!D10</f>
        <v>1</v>
      </c>
      <c r="C2" s="10">
        <f>'Compiled Articles'!D11</f>
        <v>365</v>
      </c>
      <c r="D2" s="609" t="s">
        <v>257</v>
      </c>
      <c r="E2" s="609" t="s">
        <v>2691</v>
      </c>
    </row>
    <row r="3" spans="1:5">
      <c r="A3" s="10" t="str">
        <f>'Compiled Articles'!E6</f>
        <v>Car mat</v>
      </c>
      <c r="B3" s="10">
        <f>'Compiled Articles'!E10</f>
        <v>1</v>
      </c>
      <c r="C3" s="10">
        <f>'Compiled Articles'!E11</f>
        <v>52</v>
      </c>
      <c r="D3" s="609" t="s">
        <v>257</v>
      </c>
      <c r="E3" s="121" t="s">
        <v>261</v>
      </c>
    </row>
    <row r="4" spans="1:5">
      <c r="A4" s="10" t="str">
        <f>'Compiled Articles'!F6</f>
        <v>Children's Toys (Legacy)</v>
      </c>
      <c r="B4" s="10">
        <f>'Compiled Articles'!F10</f>
        <v>1</v>
      </c>
      <c r="C4" s="10">
        <f>'Compiled Articles'!F11</f>
        <v>365</v>
      </c>
      <c r="D4" s="119" t="s">
        <v>267</v>
      </c>
      <c r="E4" s="609" t="s">
        <v>277</v>
      </c>
    </row>
    <row r="5" spans="1:5" ht="19.899999999999999" customHeight="1">
      <c r="A5" s="10" t="str">
        <f>'Compiled Articles'!G6</f>
        <v>Children's Toys (New)</v>
      </c>
      <c r="B5" s="10">
        <f>'Compiled Articles'!G10</f>
        <v>1</v>
      </c>
      <c r="C5" s="10">
        <f>'Compiled Articles'!G11</f>
        <v>365</v>
      </c>
      <c r="D5" s="119" t="s">
        <v>267</v>
      </c>
      <c r="E5" s="609" t="s">
        <v>277</v>
      </c>
    </row>
    <row r="6" spans="1:5" ht="21.4" customHeight="1">
      <c r="A6" s="10" t="str">
        <f>'Compiled Articles'!H6</f>
        <v>Clothing (Synthetic Leather)</v>
      </c>
      <c r="B6" s="10">
        <f>'Compiled Articles'!H10</f>
        <v>1</v>
      </c>
      <c r="C6" s="10">
        <f>'Compiled Articles'!H11</f>
        <v>52</v>
      </c>
      <c r="D6" s="574" t="s">
        <v>250</v>
      </c>
      <c r="E6" s="609" t="s">
        <v>251</v>
      </c>
    </row>
    <row r="7" spans="1:5" ht="25.5" customHeight="1">
      <c r="A7" s="10" t="str">
        <f>'Compiled Articles'!I6</f>
        <v>Furniture (Synthetic Leather)</v>
      </c>
      <c r="B7" s="10">
        <f>'Compiled Articles'!I10</f>
        <v>1</v>
      </c>
      <c r="C7" s="10">
        <f>'Compiled Articles'!I11</f>
        <v>365</v>
      </c>
      <c r="D7" s="574" t="s">
        <v>250</v>
      </c>
      <c r="E7" s="609" t="s">
        <v>251</v>
      </c>
    </row>
    <row r="8" spans="1:5" ht="25.15" customHeight="1">
      <c r="A8" s="10" t="str">
        <f>'Compiled Articles'!J6</f>
        <v>Small articles with the potetial for semi-routine contact</v>
      </c>
      <c r="B8" s="10">
        <f>'Compiled Articles'!J10</f>
        <v>1</v>
      </c>
      <c r="C8" s="10">
        <f>'Compiled Articles'!J11</f>
        <v>365</v>
      </c>
      <c r="D8" s="261" t="s">
        <v>2708</v>
      </c>
      <c r="E8" s="261" t="s">
        <v>2708</v>
      </c>
    </row>
    <row r="9" spans="1:5" ht="51">
      <c r="A9" s="10" t="str">
        <f>'Compiled Articles'!K6</f>
        <v>Vinyl Flooring</v>
      </c>
      <c r="B9" s="10">
        <f>'Compiled Articles'!K10</f>
        <v>1</v>
      </c>
      <c r="C9" s="10">
        <f>'Compiled Articles'!K11</f>
        <v>365</v>
      </c>
      <c r="D9" s="574" t="s">
        <v>250</v>
      </c>
      <c r="E9" s="120" t="s">
        <v>254</v>
      </c>
    </row>
    <row r="10" spans="1:5" ht="25.5">
      <c r="A10" s="571" t="str">
        <f>'Compiled Products'!D1</f>
        <v>Adhesives for Small Projects</v>
      </c>
      <c r="B10" s="571">
        <f>'Compiled Products'!D6</f>
        <v>1</v>
      </c>
      <c r="C10" s="571">
        <f>'Compiled Products'!D5</f>
        <v>52</v>
      </c>
      <c r="D10" s="609" t="s">
        <v>243</v>
      </c>
      <c r="E10" s="609" t="s">
        <v>244</v>
      </c>
    </row>
    <row r="11" spans="1:5">
      <c r="A11" s="571" t="str">
        <f>'Compiled Products'!E1</f>
        <v>Automotive lubricants</v>
      </c>
      <c r="B11" s="571">
        <f>'Compiled Products'!E6</f>
        <v>1</v>
      </c>
      <c r="C11" s="571">
        <f>'Compiled Products'!E5</f>
        <v>1</v>
      </c>
      <c r="D11" s="609" t="s">
        <v>257</v>
      </c>
      <c r="E11" s="121" t="s">
        <v>258</v>
      </c>
    </row>
    <row r="12" spans="1:5" ht="25.5">
      <c r="A12" s="571" t="str">
        <f>'Compiled Products'!F1</f>
        <v>Caulking Products</v>
      </c>
      <c r="B12" s="571">
        <f>'Compiled Products'!F6</f>
        <v>1</v>
      </c>
      <c r="C12" s="571">
        <f>'Compiled Products'!F5</f>
        <v>52</v>
      </c>
      <c r="D12" s="609" t="s">
        <v>243</v>
      </c>
      <c r="E12" s="609" t="s">
        <v>244</v>
      </c>
    </row>
    <row r="13" spans="1:5">
      <c r="A13" s="10" t="str">
        <f>'Compiled Products'!G1</f>
        <v>Crafting Resin (Cured)</v>
      </c>
      <c r="B13" s="10">
        <f>'Compiled Products'!G6</f>
        <v>1</v>
      </c>
      <c r="C13" s="10">
        <f>'Compiled Products'!G5</f>
        <v>52</v>
      </c>
      <c r="D13" s="574" t="s">
        <v>267</v>
      </c>
      <c r="E13" s="609" t="s">
        <v>268</v>
      </c>
    </row>
    <row r="14" spans="1:5">
      <c r="A14" s="10" t="str">
        <f>'Compiled Products'!H1</f>
        <v>Inks and Dyes</v>
      </c>
      <c r="B14" s="10">
        <f>'Compiled Products'!H6</f>
        <v>1</v>
      </c>
      <c r="C14" s="10">
        <f>'Compiled Products'!H5</f>
        <v>52</v>
      </c>
      <c r="D14" s="609" t="s">
        <v>267</v>
      </c>
      <c r="E14" s="609" t="s">
        <v>271</v>
      </c>
    </row>
    <row r="15" spans="1:5">
      <c r="A15" s="10" t="str">
        <f>'Compiled Products'!I1</f>
        <v>Interior car care</v>
      </c>
      <c r="B15" s="10">
        <f>'Compiled Products'!I6</f>
        <v>1</v>
      </c>
      <c r="C15" s="10">
        <f>'Compiled Products'!I5</f>
        <v>52</v>
      </c>
      <c r="D15" s="609" t="s">
        <v>257</v>
      </c>
      <c r="E15" s="121" t="s">
        <v>258</v>
      </c>
    </row>
    <row r="16" spans="1:5" ht="25.5">
      <c r="A16" s="10" t="str">
        <f>'Compiled Products'!J1</f>
        <v>Patching and Repair Products for Exterior Surfaces</v>
      </c>
      <c r="B16" s="10">
        <f>'Compiled Products'!J6</f>
        <v>1</v>
      </c>
      <c r="C16" s="10">
        <f>'Compiled Products'!J5</f>
        <v>2</v>
      </c>
      <c r="D16" s="609" t="s">
        <v>243</v>
      </c>
      <c r="E16" s="609" t="s">
        <v>244</v>
      </c>
    </row>
    <row r="17" spans="1:5">
      <c r="A17" s="10" t="str">
        <f>'Compiled Products'!M1</f>
        <v>Sealing and Refinishing Sprays (Indoor Use)</v>
      </c>
      <c r="B17" s="10">
        <f>'Compiled Products'!M6</f>
        <v>1</v>
      </c>
      <c r="C17" s="10">
        <f>'Compiled Products'!M5</f>
        <v>2</v>
      </c>
      <c r="D17" s="119" t="s">
        <v>243</v>
      </c>
      <c r="E17" s="120" t="s">
        <v>247</v>
      </c>
    </row>
    <row r="18" spans="1:5">
      <c r="A18" s="10" t="str">
        <f>'Compiled Products'!N1</f>
        <v>Sealing and Refinishing Sprays (Outdoor Use)</v>
      </c>
      <c r="B18" s="10">
        <f>'Compiled Products'!N6</f>
        <v>1</v>
      </c>
      <c r="C18" s="10">
        <f>'Compiled Products'!N5</f>
        <v>2</v>
      </c>
      <c r="D18" s="119" t="s">
        <v>243</v>
      </c>
      <c r="E18" s="120" t="s">
        <v>247</v>
      </c>
    </row>
    <row r="19" spans="1:5">
      <c r="A19" s="10" t="s">
        <v>2725</v>
      </c>
      <c r="B19" s="10">
        <v>1</v>
      </c>
      <c r="C19" s="10">
        <v>78</v>
      </c>
      <c r="D19" s="119" t="s">
        <v>267</v>
      </c>
      <c r="E19" s="609" t="s">
        <v>277</v>
      </c>
    </row>
  </sheetData>
  <sheetProtection sheet="1" objects="1" scenarios="1" formatCells="0" formatColumns="0" formatRows="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777C-5746-438A-8B53-EDAA7CE8B24F}">
  <sheetPr codeName="Sheet12"/>
  <dimension ref="A1:DR146"/>
  <sheetViews>
    <sheetView topLeftCell="A6" zoomScale="109" zoomScaleNormal="100" workbookViewId="0">
      <selection activeCell="E130" sqref="E130"/>
    </sheetView>
  </sheetViews>
  <sheetFormatPr defaultColWidth="8.7109375" defaultRowHeight="15"/>
  <cols>
    <col min="1" max="1" width="22.42578125" style="10" customWidth="1"/>
    <col min="2" max="3" width="12.28515625" style="10" customWidth="1"/>
    <col min="4" max="4" width="12.5703125" style="10" customWidth="1"/>
    <col min="5" max="5" width="14.7109375" style="10" customWidth="1"/>
    <col min="6" max="6" width="13.28515625" style="10" customWidth="1"/>
    <col min="7" max="7" width="13.7109375" style="10" customWidth="1"/>
    <col min="8" max="8" width="14.28515625" style="10" customWidth="1"/>
    <col min="9" max="9" width="11.7109375" style="10" customWidth="1"/>
    <col min="10" max="10" width="12.28515625" style="10" customWidth="1"/>
    <col min="11" max="11" width="13.28515625" style="10" customWidth="1"/>
    <col min="12" max="12" width="9.42578125" style="10" customWidth="1"/>
    <col min="13" max="13" width="31.5703125" style="10" customWidth="1"/>
    <col min="14" max="14" width="8.85546875" style="10" bestFit="1" customWidth="1"/>
    <col min="15" max="15" width="11.42578125" style="264" bestFit="1" customWidth="1"/>
    <col min="16" max="16" width="8.85546875" style="264" bestFit="1" customWidth="1"/>
    <col min="17" max="16384" width="8.7109375" style="264"/>
  </cols>
  <sheetData>
    <row r="1" spans="1:25" ht="21">
      <c r="A1" s="262" t="s">
        <v>22</v>
      </c>
      <c r="B1" s="263"/>
    </row>
    <row r="2" spans="1:25" ht="18.75">
      <c r="A2" s="265" t="s">
        <v>2726</v>
      </c>
      <c r="B2" s="263"/>
    </row>
    <row r="3" spans="1:25" s="13" customFormat="1" ht="15.75">
      <c r="A3" s="134" t="s">
        <v>2727</v>
      </c>
      <c r="B3" s="266"/>
      <c r="C3" s="265"/>
      <c r="D3" s="265"/>
      <c r="E3" s="265"/>
      <c r="F3" s="265"/>
      <c r="G3" s="265"/>
      <c r="H3" s="265"/>
      <c r="I3" s="265"/>
      <c r="J3" s="265"/>
      <c r="K3" s="265"/>
      <c r="L3" s="265"/>
      <c r="M3" s="265"/>
      <c r="N3" s="265"/>
    </row>
    <row r="4" spans="1:25" s="13" customFormat="1" ht="15.75">
      <c r="A4" s="267" t="s">
        <v>2728</v>
      </c>
      <c r="B4" s="266"/>
      <c r="C4" s="265"/>
      <c r="D4" s="265"/>
      <c r="E4" s="265"/>
      <c r="F4" s="265"/>
      <c r="G4" s="265"/>
      <c r="H4" s="265"/>
      <c r="I4" s="265"/>
      <c r="J4" s="265"/>
      <c r="K4" s="265"/>
      <c r="L4" s="265"/>
      <c r="M4" s="265"/>
      <c r="N4" s="265"/>
    </row>
    <row r="5" spans="1:25" s="13" customFormat="1" ht="15.75">
      <c r="A5" s="267" t="s">
        <v>2729</v>
      </c>
      <c r="B5" s="266"/>
      <c r="C5" s="265"/>
      <c r="D5" s="265"/>
      <c r="E5" s="265"/>
      <c r="F5" s="265"/>
      <c r="G5" s="265"/>
      <c r="H5" s="265"/>
      <c r="I5" s="265"/>
      <c r="J5" s="265"/>
      <c r="K5" s="265"/>
      <c r="L5" s="265"/>
      <c r="M5" s="265"/>
      <c r="N5" s="265"/>
    </row>
    <row r="6" spans="1:25" s="13" customFormat="1" ht="15.75">
      <c r="A6" s="134" t="s">
        <v>2730</v>
      </c>
      <c r="B6" s="266"/>
      <c r="C6" s="265"/>
      <c r="D6" s="265"/>
      <c r="E6" s="265"/>
      <c r="F6" s="265"/>
      <c r="G6" s="265"/>
      <c r="H6" s="265"/>
      <c r="I6" s="265"/>
      <c r="J6" s="265"/>
      <c r="K6" s="265"/>
      <c r="L6" s="265"/>
      <c r="M6" s="265"/>
      <c r="N6" s="265"/>
    </row>
    <row r="7" spans="1:25" s="13" customFormat="1" ht="15.75">
      <c r="A7" s="134" t="s">
        <v>2731</v>
      </c>
      <c r="B7" s="266"/>
      <c r="C7" s="265"/>
      <c r="D7" s="265"/>
      <c r="E7" s="265"/>
      <c r="F7" s="265"/>
      <c r="G7" s="265"/>
      <c r="H7" s="265"/>
      <c r="I7" s="265"/>
      <c r="J7" s="265"/>
      <c r="K7" s="265"/>
      <c r="L7" s="265"/>
      <c r="M7" s="265"/>
      <c r="N7" s="265"/>
    </row>
    <row r="8" spans="1:25" s="13" customFormat="1" ht="21">
      <c r="A8" s="262"/>
      <c r="B8" s="266"/>
      <c r="C8" s="265"/>
      <c r="D8" s="265"/>
      <c r="E8" s="265"/>
      <c r="F8" s="265"/>
      <c r="G8" s="265"/>
      <c r="H8" s="265"/>
      <c r="I8" s="265"/>
      <c r="J8" s="265"/>
      <c r="K8" s="265"/>
      <c r="L8" s="265"/>
      <c r="M8" s="265"/>
      <c r="N8" s="265"/>
    </row>
    <row r="10" spans="1:25" s="270" customFormat="1" ht="15" customHeight="1">
      <c r="A10" s="268" t="s">
        <v>2732</v>
      </c>
      <c r="B10" s="269"/>
      <c r="C10" s="269"/>
      <c r="D10" s="269"/>
      <c r="E10" s="269"/>
      <c r="F10" s="269"/>
      <c r="G10" s="269"/>
      <c r="H10" s="269"/>
      <c r="I10" s="269"/>
      <c r="J10" s="269"/>
      <c r="K10" s="269"/>
      <c r="L10" s="269"/>
      <c r="M10" s="269"/>
      <c r="N10" s="269"/>
    </row>
    <row r="11" spans="1:25" s="272" customFormat="1" ht="15" customHeight="1">
      <c r="A11" s="271"/>
      <c r="B11" s="271"/>
      <c r="C11" s="271"/>
      <c r="D11" s="271"/>
      <c r="E11" s="271"/>
      <c r="F11" s="271"/>
      <c r="G11" s="271"/>
      <c r="H11" s="271"/>
      <c r="I11" s="271"/>
      <c r="J11" s="271"/>
      <c r="K11" s="271"/>
      <c r="L11" s="271"/>
      <c r="M11" s="271"/>
      <c r="N11" s="271"/>
    </row>
    <row r="12" spans="1:25" ht="18" customHeight="1">
      <c r="A12" s="693" t="s">
        <v>2733</v>
      </c>
      <c r="B12" s="693" t="s">
        <v>2734</v>
      </c>
      <c r="C12" s="695" t="s">
        <v>2735</v>
      </c>
      <c r="D12" s="696"/>
      <c r="E12" s="696"/>
      <c r="F12" s="697"/>
      <c r="G12" s="674" t="s">
        <v>2736</v>
      </c>
      <c r="H12" s="674"/>
      <c r="I12" s="674"/>
      <c r="J12" s="674"/>
      <c r="K12" s="674" t="s">
        <v>549</v>
      </c>
    </row>
    <row r="13" spans="1:25" ht="16.5" customHeight="1">
      <c r="A13" s="694"/>
      <c r="B13" s="694"/>
      <c r="C13" s="588" t="s">
        <v>2737</v>
      </c>
      <c r="D13" s="588" t="s">
        <v>2738</v>
      </c>
      <c r="E13" s="588" t="s">
        <v>2739</v>
      </c>
      <c r="F13" s="588" t="s">
        <v>2740</v>
      </c>
      <c r="G13" s="588" t="s">
        <v>2737</v>
      </c>
      <c r="H13" s="588" t="s">
        <v>2738</v>
      </c>
      <c r="I13" s="588" t="s">
        <v>2739</v>
      </c>
      <c r="J13" s="588" t="s">
        <v>2740</v>
      </c>
      <c r="K13" s="674"/>
      <c r="N13" s="273"/>
      <c r="O13" s="274"/>
      <c r="P13" s="274"/>
      <c r="Q13" s="274"/>
      <c r="R13" s="274"/>
      <c r="S13" s="274"/>
      <c r="T13" s="274"/>
      <c r="U13" s="274"/>
      <c r="V13" s="274"/>
      <c r="W13" s="274"/>
      <c r="X13" s="274"/>
      <c r="Y13" s="274"/>
    </row>
    <row r="14" spans="1:25" ht="14.65" customHeight="1">
      <c r="A14" s="683" t="s">
        <v>2692</v>
      </c>
      <c r="B14" s="275" t="s">
        <v>2741</v>
      </c>
      <c r="C14" s="276" t="s">
        <v>2742</v>
      </c>
      <c r="D14" s="276" t="s">
        <v>2742</v>
      </c>
      <c r="E14" s="276" t="s">
        <v>2742</v>
      </c>
      <c r="F14" s="590">
        <v>60</v>
      </c>
      <c r="G14" s="276" t="s">
        <v>2742</v>
      </c>
      <c r="H14" s="276" t="s">
        <v>2742</v>
      </c>
      <c r="I14" s="276" t="s">
        <v>2742</v>
      </c>
      <c r="J14" s="590">
        <f>F14/24</f>
        <v>2.5</v>
      </c>
      <c r="K14" s="687" t="s">
        <v>2743</v>
      </c>
      <c r="N14" s="594"/>
      <c r="O14" s="274"/>
      <c r="P14" s="274"/>
      <c r="Q14" s="274"/>
      <c r="R14" s="274"/>
      <c r="S14" s="274"/>
      <c r="T14" s="274"/>
      <c r="U14" s="274"/>
      <c r="V14" s="274"/>
      <c r="W14" s="274"/>
      <c r="X14" s="274"/>
      <c r="Y14" s="274"/>
    </row>
    <row r="15" spans="1:25">
      <c r="A15" s="684"/>
      <c r="B15" s="275" t="s">
        <v>2744</v>
      </c>
      <c r="C15" s="276" t="s">
        <v>2742</v>
      </c>
      <c r="D15" s="276" t="s">
        <v>2742</v>
      </c>
      <c r="E15" s="276" t="s">
        <v>2742</v>
      </c>
      <c r="F15" s="590">
        <v>30</v>
      </c>
      <c r="G15" s="276" t="s">
        <v>2742</v>
      </c>
      <c r="H15" s="276" t="s">
        <v>2742</v>
      </c>
      <c r="I15" s="276" t="s">
        <v>2742</v>
      </c>
      <c r="J15" s="277">
        <f>F15/24</f>
        <v>1.25</v>
      </c>
      <c r="K15" s="688"/>
    </row>
    <row r="16" spans="1:25" ht="26.1" customHeight="1">
      <c r="A16" s="685"/>
      <c r="B16" s="275" t="s">
        <v>2745</v>
      </c>
      <c r="C16" s="276" t="s">
        <v>2742</v>
      </c>
      <c r="D16" s="276" t="s">
        <v>2742</v>
      </c>
      <c r="E16" s="276" t="s">
        <v>2742</v>
      </c>
      <c r="F16" s="590">
        <v>15</v>
      </c>
      <c r="G16" s="276" t="s">
        <v>2742</v>
      </c>
      <c r="H16" s="276" t="s">
        <v>2742</v>
      </c>
      <c r="I16" s="276" t="s">
        <v>2742</v>
      </c>
      <c r="J16" s="277">
        <f>F16/24</f>
        <v>0.625</v>
      </c>
      <c r="K16" s="689"/>
    </row>
    <row r="17" spans="1:16" ht="14.1" customHeight="1">
      <c r="A17" s="675" t="s">
        <v>2746</v>
      </c>
      <c r="B17" s="275" t="s">
        <v>2741</v>
      </c>
      <c r="C17" s="278">
        <f>G31</f>
        <v>39.166666666666664</v>
      </c>
      <c r="D17" s="278">
        <f>G35</f>
        <v>16.566666666666666</v>
      </c>
      <c r="E17" s="278">
        <f>G39</f>
        <v>12.383333333333333</v>
      </c>
      <c r="F17" s="276" t="s">
        <v>2742</v>
      </c>
      <c r="G17" s="277">
        <f t="shared" ref="G17:I25" si="0">C17/24</f>
        <v>1.6319444444444444</v>
      </c>
      <c r="H17" s="277">
        <f t="shared" si="0"/>
        <v>0.69027777777777777</v>
      </c>
      <c r="I17" s="277">
        <f t="shared" si="0"/>
        <v>0.51597222222222217</v>
      </c>
      <c r="J17" s="276" t="s">
        <v>2742</v>
      </c>
      <c r="K17" s="679" t="s">
        <v>2747</v>
      </c>
      <c r="N17" s="708"/>
      <c r="O17" s="708"/>
      <c r="P17" s="708"/>
    </row>
    <row r="18" spans="1:16">
      <c r="A18" s="676"/>
      <c r="B18" s="275" t="s">
        <v>2744</v>
      </c>
      <c r="C18" s="278">
        <f>H31</f>
        <v>22.891666666666666</v>
      </c>
      <c r="D18" s="278">
        <f>H35</f>
        <v>14.6875</v>
      </c>
      <c r="E18" s="278">
        <f>H39</f>
        <v>7.2666666666666666</v>
      </c>
      <c r="F18" s="276" t="s">
        <v>2742</v>
      </c>
      <c r="G18" s="277">
        <f t="shared" si="0"/>
        <v>0.95381944444444444</v>
      </c>
      <c r="H18" s="277">
        <f t="shared" si="0"/>
        <v>0.61197916666666663</v>
      </c>
      <c r="I18" s="277">
        <f t="shared" si="0"/>
        <v>0.30277777777777776</v>
      </c>
      <c r="J18" s="276" t="s">
        <v>2742</v>
      </c>
      <c r="K18" s="679"/>
      <c r="L18" s="723"/>
      <c r="M18" s="724"/>
      <c r="N18" s="709"/>
      <c r="O18" s="709"/>
      <c r="P18" s="709"/>
    </row>
    <row r="19" spans="1:16" ht="15.75" thickBot="1">
      <c r="A19" s="676"/>
      <c r="B19" s="279" t="s">
        <v>2745</v>
      </c>
      <c r="C19" s="280">
        <f>I31</f>
        <v>1</v>
      </c>
      <c r="D19" s="280">
        <f>I31</f>
        <v>1</v>
      </c>
      <c r="E19" s="280">
        <f>I39</f>
        <v>1.8833333333333333</v>
      </c>
      <c r="F19" s="281" t="s">
        <v>2742</v>
      </c>
      <c r="G19" s="282">
        <f t="shared" si="0"/>
        <v>4.1666666666666664E-2</v>
      </c>
      <c r="H19" s="282">
        <f t="shared" si="0"/>
        <v>4.1666666666666664E-2</v>
      </c>
      <c r="I19" s="282">
        <f t="shared" si="0"/>
        <v>7.8472222222222221E-2</v>
      </c>
      <c r="J19" s="283" t="s">
        <v>2742</v>
      </c>
      <c r="K19" s="679"/>
      <c r="L19" s="723"/>
      <c r="M19" s="724"/>
      <c r="N19" s="284"/>
      <c r="O19" s="284"/>
      <c r="P19" s="284"/>
    </row>
    <row r="20" spans="1:16" ht="15.75" thickTop="1">
      <c r="A20" s="678" t="s">
        <v>2748</v>
      </c>
      <c r="B20" s="275" t="s">
        <v>2741</v>
      </c>
      <c r="C20" s="278">
        <f>G31</f>
        <v>39.166666666666664</v>
      </c>
      <c r="D20" s="278">
        <f>G35</f>
        <v>16.566666666666666</v>
      </c>
      <c r="E20" s="278">
        <f>G39</f>
        <v>12.383333333333333</v>
      </c>
      <c r="F20" s="276" t="s">
        <v>2742</v>
      </c>
      <c r="G20" s="277">
        <f t="shared" si="0"/>
        <v>1.6319444444444444</v>
      </c>
      <c r="H20" s="277">
        <f t="shared" si="0"/>
        <v>0.69027777777777777</v>
      </c>
      <c r="I20" s="277">
        <f t="shared" si="0"/>
        <v>0.51597222222222217</v>
      </c>
      <c r="J20" s="285" t="s">
        <v>2742</v>
      </c>
      <c r="K20" s="679"/>
      <c r="L20" s="286"/>
      <c r="M20" s="286"/>
      <c r="N20" s="287"/>
      <c r="O20" s="287"/>
      <c r="P20" s="287"/>
    </row>
    <row r="21" spans="1:16" ht="14.1" customHeight="1">
      <c r="A21" s="678"/>
      <c r="B21" s="275" t="s">
        <v>2744</v>
      </c>
      <c r="C21" s="278">
        <f>H31</f>
        <v>22.891666666666666</v>
      </c>
      <c r="D21" s="278">
        <f>H35</f>
        <v>14.6875</v>
      </c>
      <c r="E21" s="278">
        <f>H39</f>
        <v>7.2666666666666666</v>
      </c>
      <c r="F21" s="276" t="s">
        <v>2742</v>
      </c>
      <c r="G21" s="277">
        <f t="shared" si="0"/>
        <v>0.95381944444444444</v>
      </c>
      <c r="H21" s="277">
        <f t="shared" si="0"/>
        <v>0.61197916666666663</v>
      </c>
      <c r="I21" s="277">
        <f t="shared" si="0"/>
        <v>0.30277777777777776</v>
      </c>
      <c r="J21" s="276" t="s">
        <v>2742</v>
      </c>
      <c r="K21" s="679"/>
      <c r="L21" s="286"/>
      <c r="M21" s="286"/>
      <c r="N21" s="287"/>
      <c r="O21" s="287"/>
      <c r="P21" s="288"/>
    </row>
    <row r="22" spans="1:16" ht="15.75" thickBot="1">
      <c r="A22" s="698"/>
      <c r="B22" s="289" t="s">
        <v>2745</v>
      </c>
      <c r="C22" s="290">
        <f>I31</f>
        <v>1</v>
      </c>
      <c r="D22" s="290">
        <f>I35</f>
        <v>11.116666666666667</v>
      </c>
      <c r="E22" s="290">
        <f>I39</f>
        <v>1.8833333333333333</v>
      </c>
      <c r="F22" s="283" t="s">
        <v>2742</v>
      </c>
      <c r="G22" s="291">
        <f t="shared" si="0"/>
        <v>4.1666666666666664E-2</v>
      </c>
      <c r="H22" s="291">
        <f t="shared" si="0"/>
        <v>0.46319444444444446</v>
      </c>
      <c r="I22" s="291">
        <f t="shared" si="0"/>
        <v>7.8472222222222221E-2</v>
      </c>
      <c r="J22" s="276" t="s">
        <v>2742</v>
      </c>
      <c r="K22" s="679"/>
      <c r="L22" s="581"/>
      <c r="M22" s="582"/>
      <c r="N22" s="709"/>
      <c r="O22" s="709"/>
      <c r="P22" s="709"/>
    </row>
    <row r="23" spans="1:16" ht="15.75" thickTop="1">
      <c r="A23" s="679" t="s">
        <v>2749</v>
      </c>
      <c r="B23" s="275" t="s">
        <v>2741</v>
      </c>
      <c r="C23" s="278">
        <f>G32</f>
        <v>24.5</v>
      </c>
      <c r="D23" s="278">
        <f>G36</f>
        <v>23.016666666666666</v>
      </c>
      <c r="E23" s="278">
        <f>G40</f>
        <v>21.766666666666666</v>
      </c>
      <c r="F23" s="276" t="s">
        <v>2742</v>
      </c>
      <c r="G23" s="277">
        <f t="shared" si="0"/>
        <v>1.0208333333333333</v>
      </c>
      <c r="H23" s="277">
        <f t="shared" si="0"/>
        <v>0.9590277777777777</v>
      </c>
      <c r="I23" s="277">
        <f t="shared" si="0"/>
        <v>0.90694444444444444</v>
      </c>
      <c r="J23" s="276" t="s">
        <v>2742</v>
      </c>
      <c r="K23" s="679"/>
      <c r="L23" s="723"/>
      <c r="M23" s="724"/>
      <c r="N23" s="709"/>
      <c r="O23" s="709"/>
      <c r="P23" s="709"/>
    </row>
    <row r="24" spans="1:16">
      <c r="A24" s="679"/>
      <c r="B24" s="275" t="s">
        <v>2744</v>
      </c>
      <c r="C24" s="278">
        <f>H32</f>
        <v>14.658333333333335</v>
      </c>
      <c r="D24" s="278">
        <f>H36</f>
        <v>16.9375</v>
      </c>
      <c r="E24" s="278">
        <f>H40</f>
        <v>14.441666666666666</v>
      </c>
      <c r="F24" s="276" t="s">
        <v>2742</v>
      </c>
      <c r="G24" s="277">
        <f t="shared" si="0"/>
        <v>0.61076388888888899</v>
      </c>
      <c r="H24" s="277">
        <f t="shared" si="0"/>
        <v>0.70572916666666663</v>
      </c>
      <c r="I24" s="277">
        <f t="shared" si="0"/>
        <v>0.60173611111111114</v>
      </c>
      <c r="J24" s="276" t="s">
        <v>2742</v>
      </c>
      <c r="K24" s="679"/>
      <c r="L24" s="723"/>
      <c r="M24" s="724"/>
      <c r="N24" s="284"/>
      <c r="O24" s="284"/>
      <c r="P24" s="284"/>
    </row>
    <row r="25" spans="1:16">
      <c r="A25" s="679"/>
      <c r="B25" s="275" t="s">
        <v>2745</v>
      </c>
      <c r="C25" s="277">
        <f>I32</f>
        <v>5.2333333333333334</v>
      </c>
      <c r="D25" s="278">
        <f>I36</f>
        <v>12.033333333333333</v>
      </c>
      <c r="E25" s="277">
        <f>I40</f>
        <v>10</v>
      </c>
      <c r="F25" s="276" t="s">
        <v>2742</v>
      </c>
      <c r="G25" s="277">
        <f t="shared" si="0"/>
        <v>0.21805555555555556</v>
      </c>
      <c r="H25" s="277">
        <f t="shared" si="0"/>
        <v>0.50138888888888888</v>
      </c>
      <c r="I25" s="277">
        <f t="shared" si="0"/>
        <v>0.41666666666666669</v>
      </c>
      <c r="J25" s="276" t="s">
        <v>2742</v>
      </c>
      <c r="K25" s="679"/>
      <c r="L25" s="286"/>
      <c r="M25" s="286"/>
      <c r="P25" s="287"/>
    </row>
    <row r="28" spans="1:16" s="293" customFormat="1" ht="46.5" customHeight="1">
      <c r="A28" s="699" t="s">
        <v>2750</v>
      </c>
      <c r="B28" s="699"/>
      <c r="C28" s="699"/>
      <c r="D28" s="699"/>
      <c r="E28" s="699"/>
      <c r="F28" s="699"/>
      <c r="G28" s="699" t="s">
        <v>2751</v>
      </c>
      <c r="H28" s="699"/>
      <c r="I28" s="699"/>
      <c r="J28" s="10"/>
      <c r="K28" s="4"/>
      <c r="L28" s="4"/>
      <c r="M28" s="4"/>
      <c r="N28" s="4"/>
      <c r="O28" s="292"/>
    </row>
    <row r="29" spans="1:16" s="293" customFormat="1">
      <c r="A29" s="703" t="s">
        <v>2752</v>
      </c>
      <c r="B29" s="705" t="s">
        <v>2753</v>
      </c>
      <c r="C29" s="695" t="s">
        <v>2754</v>
      </c>
      <c r="D29" s="696"/>
      <c r="E29" s="696"/>
      <c r="F29" s="697"/>
      <c r="G29" s="690" t="s">
        <v>2755</v>
      </c>
      <c r="H29" s="691"/>
      <c r="I29" s="692"/>
      <c r="J29" s="10"/>
      <c r="K29" s="4"/>
      <c r="L29" s="4"/>
      <c r="M29" s="4"/>
      <c r="N29" s="4"/>
      <c r="O29" s="292"/>
    </row>
    <row r="30" spans="1:16" s="293" customFormat="1" ht="18" customHeight="1">
      <c r="A30" s="704"/>
      <c r="B30" s="706"/>
      <c r="C30" s="294" t="s">
        <v>2756</v>
      </c>
      <c r="D30" s="294" t="s">
        <v>2757</v>
      </c>
      <c r="E30" s="294" t="s">
        <v>2758</v>
      </c>
      <c r="F30" s="294" t="s">
        <v>2759</v>
      </c>
      <c r="G30" s="295" t="s">
        <v>2760</v>
      </c>
      <c r="H30" s="295" t="s">
        <v>2761</v>
      </c>
      <c r="I30" s="295" t="s">
        <v>2762</v>
      </c>
      <c r="J30" s="10"/>
      <c r="K30" s="4"/>
      <c r="L30" s="4"/>
      <c r="M30" s="4"/>
      <c r="N30" s="4"/>
      <c r="O30" s="292"/>
    </row>
    <row r="31" spans="1:16" s="293" customFormat="1">
      <c r="A31" s="296" t="s">
        <v>2763</v>
      </c>
      <c r="B31" s="296" t="s">
        <v>2764</v>
      </c>
      <c r="C31" s="277">
        <v>1</v>
      </c>
      <c r="D31" s="277">
        <f>28+(20/60)</f>
        <v>28.333333333333332</v>
      </c>
      <c r="E31" s="277">
        <f>39+10/60</f>
        <v>39.166666666666664</v>
      </c>
      <c r="F31" s="277">
        <f>23+(4/60)</f>
        <v>23.066666666666666</v>
      </c>
      <c r="G31" s="278">
        <f>MAX(C31:F31)</f>
        <v>39.166666666666664</v>
      </c>
      <c r="H31" s="278">
        <f>AVERAGE(C31:F31)</f>
        <v>22.891666666666666</v>
      </c>
      <c r="I31" s="278">
        <f>MIN(C31:F31)</f>
        <v>1</v>
      </c>
      <c r="J31" s="10"/>
      <c r="K31" s="4"/>
      <c r="L31" s="4"/>
      <c r="M31" s="4"/>
      <c r="N31" s="4"/>
      <c r="O31" s="292"/>
    </row>
    <row r="32" spans="1:16" s="293" customFormat="1">
      <c r="A32" s="296" t="s">
        <v>2765</v>
      </c>
      <c r="B32" s="296" t="s">
        <v>2764</v>
      </c>
      <c r="C32" s="277">
        <f>5+(14/60)</f>
        <v>5.2333333333333334</v>
      </c>
      <c r="D32" s="277">
        <f>12+(29/60)</f>
        <v>12.483333333333333</v>
      </c>
      <c r="E32" s="277">
        <f>24+(30/60)</f>
        <v>24.5</v>
      </c>
      <c r="F32" s="277">
        <f>16+25/60</f>
        <v>16.416666666666668</v>
      </c>
      <c r="G32" s="278">
        <f>MAX(C32:F32)</f>
        <v>24.5</v>
      </c>
      <c r="H32" s="278">
        <f>AVERAGE(C32:F32)</f>
        <v>14.658333333333335</v>
      </c>
      <c r="I32" s="277">
        <f>MIN(C32:F32)</f>
        <v>5.2333333333333334</v>
      </c>
      <c r="J32" s="10"/>
      <c r="K32" s="4"/>
      <c r="L32" s="4"/>
      <c r="M32" s="4"/>
      <c r="N32" s="4"/>
      <c r="O32" s="292"/>
    </row>
    <row r="33" spans="1:15" s="293" customFormat="1">
      <c r="A33" s="703" t="s">
        <v>2752</v>
      </c>
      <c r="B33" s="705" t="s">
        <v>2753</v>
      </c>
      <c r="C33" s="695" t="s">
        <v>2754</v>
      </c>
      <c r="D33" s="696"/>
      <c r="E33" s="696"/>
      <c r="F33" s="697"/>
      <c r="G33" s="690" t="s">
        <v>2766</v>
      </c>
      <c r="H33" s="691"/>
      <c r="I33" s="692"/>
      <c r="J33" s="10"/>
      <c r="K33" s="4"/>
      <c r="L33" s="4"/>
      <c r="M33" s="4"/>
      <c r="N33" s="4"/>
    </row>
    <row r="34" spans="1:15" s="293" customFormat="1">
      <c r="A34" s="704"/>
      <c r="B34" s="706"/>
      <c r="C34" s="294" t="s">
        <v>2767</v>
      </c>
      <c r="D34" s="294" t="s">
        <v>2768</v>
      </c>
      <c r="E34" s="294" t="s">
        <v>2769</v>
      </c>
      <c r="F34" s="294" t="s">
        <v>2770</v>
      </c>
      <c r="G34" s="295" t="s">
        <v>2760</v>
      </c>
      <c r="H34" s="295" t="s">
        <v>2761</v>
      </c>
      <c r="I34" s="295" t="s">
        <v>2762</v>
      </c>
      <c r="J34" s="10"/>
      <c r="K34" s="4"/>
      <c r="L34" s="4"/>
      <c r="M34" s="4"/>
      <c r="N34" s="4"/>
    </row>
    <row r="35" spans="1:15" s="293" customFormat="1">
      <c r="A35" s="296" t="s">
        <v>2763</v>
      </c>
      <c r="B35" s="296" t="s">
        <v>2764</v>
      </c>
      <c r="C35" s="277">
        <f>15+(18/60)</f>
        <v>15.3</v>
      </c>
      <c r="D35" s="277">
        <f>16+34/60</f>
        <v>16.566666666666666</v>
      </c>
      <c r="E35" s="277">
        <f>11+(7/60)</f>
        <v>11.116666666666667</v>
      </c>
      <c r="F35" s="277">
        <f>15+(46/60)</f>
        <v>15.766666666666667</v>
      </c>
      <c r="G35" s="278">
        <f>MAX(C35:F35)</f>
        <v>16.566666666666666</v>
      </c>
      <c r="H35" s="278">
        <f>AVERAGE(C35:F35)</f>
        <v>14.6875</v>
      </c>
      <c r="I35" s="278">
        <f>MIN(C35:F35)</f>
        <v>11.116666666666667</v>
      </c>
      <c r="J35" s="10"/>
      <c r="K35" s="4"/>
      <c r="L35" s="4"/>
      <c r="M35" s="4"/>
      <c r="N35" s="4"/>
    </row>
    <row r="36" spans="1:15" s="293" customFormat="1">
      <c r="A36" s="296" t="s">
        <v>2765</v>
      </c>
      <c r="B36" s="296" t="s">
        <v>2764</v>
      </c>
      <c r="C36" s="277">
        <f>12+2/60</f>
        <v>12.033333333333333</v>
      </c>
      <c r="D36" s="277">
        <f>23+1/60</f>
        <v>23.016666666666666</v>
      </c>
      <c r="E36" s="277">
        <f>19+49/60</f>
        <v>19.816666666666666</v>
      </c>
      <c r="F36" s="277">
        <f>12+53/60</f>
        <v>12.883333333333333</v>
      </c>
      <c r="G36" s="278">
        <f>MAX(C36:F36)</f>
        <v>23.016666666666666</v>
      </c>
      <c r="H36" s="278">
        <f>AVERAGE(C36:F36)</f>
        <v>16.9375</v>
      </c>
      <c r="I36" s="277">
        <f>MIN(C36:F36)</f>
        <v>12.033333333333333</v>
      </c>
      <c r="J36" s="10"/>
      <c r="K36" s="4"/>
      <c r="L36" s="4"/>
      <c r="M36" s="4"/>
      <c r="N36" s="4"/>
    </row>
    <row r="37" spans="1:15" s="293" customFormat="1">
      <c r="A37" s="703" t="s">
        <v>2752</v>
      </c>
      <c r="B37" s="705" t="s">
        <v>2753</v>
      </c>
      <c r="C37" s="695" t="s">
        <v>2754</v>
      </c>
      <c r="D37" s="696"/>
      <c r="E37" s="696"/>
      <c r="F37" s="697"/>
      <c r="G37" s="690" t="s">
        <v>2771</v>
      </c>
      <c r="H37" s="691"/>
      <c r="I37" s="692"/>
      <c r="J37" s="10"/>
      <c r="K37" s="4"/>
      <c r="L37" s="4"/>
      <c r="M37" s="4"/>
      <c r="N37" s="4"/>
    </row>
    <row r="38" spans="1:15" s="293" customFormat="1">
      <c r="A38" s="704"/>
      <c r="B38" s="706"/>
      <c r="C38" s="294" t="s">
        <v>2772</v>
      </c>
      <c r="D38" s="297" t="s">
        <v>2773</v>
      </c>
      <c r="E38" s="297" t="s">
        <v>2774</v>
      </c>
      <c r="F38" s="297" t="s">
        <v>2775</v>
      </c>
      <c r="G38" s="295" t="s">
        <v>2760</v>
      </c>
      <c r="H38" s="295" t="s">
        <v>2761</v>
      </c>
      <c r="I38" s="295" t="s">
        <v>2762</v>
      </c>
      <c r="J38" s="10"/>
      <c r="K38" s="4"/>
      <c r="L38" s="4"/>
      <c r="M38" s="4"/>
      <c r="N38" s="4"/>
    </row>
    <row r="39" spans="1:15" s="293" customFormat="1">
      <c r="A39" s="296" t="s">
        <v>2763</v>
      </c>
      <c r="B39" s="296" t="s">
        <v>2764</v>
      </c>
      <c r="C39" s="277">
        <f>12+(23/60)</f>
        <v>12.383333333333333</v>
      </c>
      <c r="D39" s="277">
        <f>11+37/60</f>
        <v>11.616666666666667</v>
      </c>
      <c r="E39" s="277">
        <f>3+11/60</f>
        <v>3.1833333333333331</v>
      </c>
      <c r="F39" s="277">
        <f>1+53/60</f>
        <v>1.8833333333333333</v>
      </c>
      <c r="G39" s="278">
        <f>MAX(C39:F39)</f>
        <v>12.383333333333333</v>
      </c>
      <c r="H39" s="278">
        <f>AVERAGE(C39:F39)</f>
        <v>7.2666666666666666</v>
      </c>
      <c r="I39" s="278">
        <f>MIN(C39:F39)</f>
        <v>1.8833333333333333</v>
      </c>
      <c r="J39" s="10"/>
      <c r="K39" s="4"/>
      <c r="L39" s="4"/>
      <c r="M39" s="4"/>
      <c r="N39" s="4"/>
    </row>
    <row r="40" spans="1:15" s="293" customFormat="1">
      <c r="A40" s="296" t="s">
        <v>2765</v>
      </c>
      <c r="B40" s="296" t="s">
        <v>2764</v>
      </c>
      <c r="C40" s="277">
        <f>21+46/60</f>
        <v>21.766666666666666</v>
      </c>
      <c r="D40" s="277">
        <f>15+16/60</f>
        <v>15.266666666666667</v>
      </c>
      <c r="E40" s="277">
        <f>10+44/60</f>
        <v>10.733333333333333</v>
      </c>
      <c r="F40" s="277">
        <f>10</f>
        <v>10</v>
      </c>
      <c r="G40" s="278">
        <f>MAX(C40:F40)</f>
        <v>21.766666666666666</v>
      </c>
      <c r="H40" s="278">
        <f>AVERAGE(C40:F40)</f>
        <v>14.441666666666666</v>
      </c>
      <c r="I40" s="277">
        <f>MIN(C40:F40)</f>
        <v>10</v>
      </c>
      <c r="J40" s="10"/>
      <c r="K40" s="4"/>
      <c r="L40" s="4"/>
      <c r="M40" s="4"/>
      <c r="N40" s="4"/>
    </row>
    <row r="41" spans="1:15" s="293" customFormat="1">
      <c r="A41" s="4"/>
      <c r="B41" s="4"/>
      <c r="C41" s="4"/>
      <c r="D41" s="4"/>
      <c r="E41" s="4"/>
      <c r="F41" s="4"/>
      <c r="G41" s="4"/>
      <c r="H41" s="4"/>
      <c r="I41" s="4"/>
      <c r="J41" s="10"/>
      <c r="K41" s="4"/>
      <c r="L41" s="4"/>
      <c r="M41" s="4"/>
      <c r="N41" s="4"/>
    </row>
    <row r="42" spans="1:15" s="293" customFormat="1">
      <c r="A42" s="4"/>
      <c r="B42" s="4"/>
      <c r="C42" s="4"/>
      <c r="D42" s="4"/>
      <c r="E42" s="4"/>
      <c r="F42" s="4"/>
      <c r="G42" s="4"/>
      <c r="H42" s="4"/>
      <c r="I42" s="4"/>
      <c r="J42" s="10"/>
      <c r="K42" s="4"/>
      <c r="L42" s="10"/>
      <c r="M42" s="4"/>
      <c r="N42" s="10"/>
      <c r="O42" s="4"/>
    </row>
    <row r="43" spans="1:15" s="299" customFormat="1" ht="18.600000000000001" customHeight="1">
      <c r="A43" s="268" t="s">
        <v>2728</v>
      </c>
      <c r="B43" s="298"/>
      <c r="C43" s="298"/>
      <c r="D43" s="298"/>
      <c r="E43" s="298"/>
      <c r="F43" s="298"/>
      <c r="G43" s="298"/>
      <c r="H43" s="298"/>
      <c r="I43" s="298"/>
      <c r="J43" s="298"/>
      <c r="K43" s="298"/>
      <c r="L43" s="298"/>
      <c r="M43" s="298"/>
      <c r="N43" s="298"/>
      <c r="O43" s="298"/>
    </row>
    <row r="44" spans="1:15" s="300" customFormat="1" ht="14.65" customHeight="1">
      <c r="A44" s="4"/>
      <c r="B44" s="4"/>
      <c r="D44" s="4"/>
      <c r="E44" s="4"/>
      <c r="F44" s="4"/>
      <c r="G44" s="4"/>
      <c r="H44" s="4"/>
      <c r="I44" s="4"/>
      <c r="J44" s="4"/>
      <c r="K44" s="4"/>
      <c r="L44" s="4"/>
      <c r="M44" s="4"/>
      <c r="N44" s="4"/>
      <c r="O44" s="4"/>
    </row>
    <row r="45" spans="1:15" s="300" customFormat="1" ht="14.65" customHeight="1">
      <c r="A45" s="693" t="s">
        <v>2733</v>
      </c>
      <c r="B45" s="693" t="s">
        <v>2734</v>
      </c>
      <c r="C45" s="707" t="s">
        <v>2776</v>
      </c>
      <c r="D45" s="674" t="s">
        <v>549</v>
      </c>
      <c r="E45" s="4"/>
      <c r="F45" s="4"/>
      <c r="G45" s="4"/>
      <c r="H45" s="4"/>
      <c r="I45" s="4"/>
      <c r="J45" s="4"/>
      <c r="K45" s="4"/>
      <c r="L45" s="4"/>
      <c r="M45" s="4"/>
      <c r="N45" s="4"/>
      <c r="O45" s="4"/>
    </row>
    <row r="46" spans="1:15" s="300" customFormat="1">
      <c r="A46" s="694"/>
      <c r="B46" s="694"/>
      <c r="C46" s="707"/>
      <c r="D46" s="674"/>
      <c r="E46" s="4"/>
      <c r="F46" s="4"/>
      <c r="G46" s="4"/>
      <c r="H46" s="4"/>
      <c r="I46" s="4"/>
      <c r="J46" s="4"/>
      <c r="K46" s="4"/>
      <c r="L46" s="4"/>
      <c r="M46" s="4"/>
      <c r="N46" s="4"/>
      <c r="O46" s="4"/>
    </row>
    <row r="47" spans="1:15" s="300" customFormat="1">
      <c r="A47" s="683" t="s">
        <v>2692</v>
      </c>
      <c r="B47" s="275" t="s">
        <v>2741</v>
      </c>
      <c r="C47" s="686">
        <v>50</v>
      </c>
      <c r="D47" s="679" t="s">
        <v>2777</v>
      </c>
      <c r="E47" s="4"/>
      <c r="F47" s="4"/>
      <c r="G47" s="4"/>
      <c r="H47" s="4"/>
      <c r="I47" s="4"/>
      <c r="J47" s="4"/>
      <c r="K47" s="4"/>
      <c r="L47" s="4"/>
      <c r="M47" s="4"/>
      <c r="N47" s="4"/>
      <c r="O47" s="4"/>
    </row>
    <row r="48" spans="1:15" s="300" customFormat="1">
      <c r="A48" s="684"/>
      <c r="B48" s="275" t="s">
        <v>2744</v>
      </c>
      <c r="C48" s="686"/>
      <c r="D48" s="679"/>
      <c r="E48" s="4"/>
      <c r="F48" s="4"/>
      <c r="G48" s="4"/>
      <c r="H48" s="4"/>
      <c r="I48" s="4"/>
      <c r="J48" s="4"/>
      <c r="K48" s="4"/>
      <c r="L48" s="4"/>
      <c r="M48" s="4"/>
      <c r="N48" s="4"/>
      <c r="O48" s="4"/>
    </row>
    <row r="49" spans="1:17" s="300" customFormat="1">
      <c r="A49" s="685"/>
      <c r="B49" s="275" t="s">
        <v>2745</v>
      </c>
      <c r="C49" s="686"/>
      <c r="D49" s="679"/>
      <c r="E49" s="4"/>
      <c r="F49" s="4"/>
      <c r="G49" s="4"/>
      <c r="H49" s="4"/>
      <c r="I49" s="4"/>
      <c r="J49" s="4"/>
      <c r="K49" s="4"/>
      <c r="L49" s="4"/>
      <c r="M49" s="4"/>
      <c r="N49" s="4"/>
      <c r="O49" s="4"/>
    </row>
    <row r="50" spans="1:17">
      <c r="A50" s="675" t="s">
        <v>2746</v>
      </c>
      <c r="B50" s="275" t="s">
        <v>2741</v>
      </c>
      <c r="C50" s="686">
        <v>10</v>
      </c>
      <c r="D50" s="687" t="s">
        <v>2778</v>
      </c>
      <c r="E50" s="4"/>
      <c r="F50" s="4"/>
      <c r="O50" s="10"/>
    </row>
    <row r="51" spans="1:17">
      <c r="A51" s="676"/>
      <c r="B51" s="275" t="s">
        <v>2744</v>
      </c>
      <c r="C51" s="686"/>
      <c r="D51" s="688"/>
      <c r="E51" s="4"/>
      <c r="F51" s="4"/>
      <c r="O51" s="10"/>
    </row>
    <row r="52" spans="1:17">
      <c r="A52" s="677"/>
      <c r="B52" s="275" t="s">
        <v>2745</v>
      </c>
      <c r="C52" s="686"/>
      <c r="D52" s="688"/>
      <c r="E52" s="4"/>
      <c r="F52" s="4"/>
      <c r="O52" s="10"/>
    </row>
    <row r="53" spans="1:17">
      <c r="A53" s="678" t="s">
        <v>2748</v>
      </c>
      <c r="B53" s="275" t="s">
        <v>2741</v>
      </c>
      <c r="C53" s="686">
        <v>10</v>
      </c>
      <c r="D53" s="688"/>
      <c r="E53" s="4"/>
      <c r="F53" s="4"/>
      <c r="O53" s="10"/>
    </row>
    <row r="54" spans="1:17">
      <c r="A54" s="678"/>
      <c r="B54" s="275" t="s">
        <v>2744</v>
      </c>
      <c r="C54" s="686"/>
      <c r="D54" s="688"/>
      <c r="E54" s="4"/>
      <c r="F54" s="4"/>
      <c r="O54" s="10"/>
    </row>
    <row r="55" spans="1:17">
      <c r="A55" s="678"/>
      <c r="B55" s="275" t="s">
        <v>2745</v>
      </c>
      <c r="C55" s="686"/>
      <c r="D55" s="688"/>
      <c r="E55" s="4"/>
      <c r="F55" s="4"/>
      <c r="O55" s="10"/>
    </row>
    <row r="56" spans="1:17">
      <c r="A56" s="679" t="s">
        <v>2749</v>
      </c>
      <c r="B56" s="275" t="s">
        <v>2741</v>
      </c>
      <c r="C56" s="686">
        <v>10</v>
      </c>
      <c r="D56" s="688"/>
      <c r="O56" s="10"/>
    </row>
    <row r="57" spans="1:17">
      <c r="A57" s="679"/>
      <c r="B57" s="275" t="s">
        <v>2744</v>
      </c>
      <c r="C57" s="686"/>
      <c r="D57" s="688"/>
      <c r="O57" s="10"/>
    </row>
    <row r="58" spans="1:17">
      <c r="A58" s="679"/>
      <c r="B58" s="275" t="s">
        <v>2745</v>
      </c>
      <c r="C58" s="686"/>
      <c r="D58" s="688"/>
      <c r="O58" s="10"/>
    </row>
    <row r="60" spans="1:17" s="302" customFormat="1" ht="18.75">
      <c r="A60" s="268" t="s">
        <v>2779</v>
      </c>
      <c r="B60" s="298"/>
      <c r="C60" s="298"/>
      <c r="D60" s="298"/>
      <c r="E60" s="301"/>
      <c r="F60" s="301"/>
      <c r="G60" s="301"/>
      <c r="H60" s="301"/>
      <c r="I60" s="301"/>
      <c r="J60" s="301"/>
      <c r="K60" s="301"/>
      <c r="L60" s="301"/>
      <c r="M60" s="301"/>
      <c r="N60" s="301"/>
    </row>
    <row r="61" spans="1:17" ht="14.65" customHeight="1">
      <c r="A61" s="4"/>
      <c r="B61" s="4"/>
      <c r="C61" s="300"/>
      <c r="D61" s="4"/>
    </row>
    <row r="62" spans="1:17" s="303" customFormat="1" ht="42" customHeight="1">
      <c r="A62" s="674" t="s">
        <v>2780</v>
      </c>
      <c r="B62" s="710" t="s">
        <v>2781</v>
      </c>
      <c r="C62" s="711"/>
      <c r="D62" s="711"/>
      <c r="E62" s="711"/>
      <c r="F62" s="712"/>
      <c r="N62" s="11" t="s">
        <v>2692</v>
      </c>
      <c r="O62" s="611" t="s">
        <v>2782</v>
      </c>
      <c r="P62" s="611" t="s">
        <v>2783</v>
      </c>
      <c r="Q62" s="11" t="s">
        <v>2667</v>
      </c>
    </row>
    <row r="63" spans="1:17" s="303" customFormat="1" ht="19.149999999999999" customHeight="1">
      <c r="A63" s="674"/>
      <c r="B63" s="713" t="s">
        <v>2784</v>
      </c>
      <c r="C63" s="714" t="s">
        <v>2785</v>
      </c>
      <c r="D63" s="714"/>
      <c r="E63" s="714"/>
      <c r="F63" s="714"/>
      <c r="M63" s="304" t="s">
        <v>2624</v>
      </c>
      <c r="N63" s="303">
        <v>2.5999999999999998E-5</v>
      </c>
      <c r="O63" s="575">
        <v>5.0000000000000001E-3</v>
      </c>
      <c r="P63" s="575">
        <v>1E-3</v>
      </c>
      <c r="Q63" s="303">
        <v>6.5200000000000002E-4</v>
      </c>
    </row>
    <row r="64" spans="1:17" s="303" customFormat="1" ht="26.65" customHeight="1">
      <c r="A64" s="674"/>
      <c r="B64" s="713"/>
      <c r="C64" s="585" t="s">
        <v>2786</v>
      </c>
      <c r="D64" s="585" t="s">
        <v>2787</v>
      </c>
      <c r="E64" s="585" t="s">
        <v>2788</v>
      </c>
      <c r="F64" s="585" t="s">
        <v>603</v>
      </c>
      <c r="M64" s="304" t="s">
        <v>2629</v>
      </c>
      <c r="N64" s="303">
        <v>2.5999999999999998E-5</v>
      </c>
      <c r="O64" s="575">
        <v>3.0000000000000001E-3</v>
      </c>
      <c r="P64" s="575">
        <v>1E-3</v>
      </c>
      <c r="Q64" s="303">
        <v>3.88E-4</v>
      </c>
    </row>
    <row r="65" spans="1:122" s="303" customFormat="1">
      <c r="A65" s="275" t="s">
        <v>2741</v>
      </c>
      <c r="B65" s="305" t="s">
        <v>2789</v>
      </c>
      <c r="C65" s="306"/>
      <c r="D65" s="307"/>
      <c r="E65" s="308"/>
      <c r="F65" s="308"/>
      <c r="M65" s="304" t="s">
        <v>2631</v>
      </c>
      <c r="N65" s="303">
        <v>2.5999999999999998E-5</v>
      </c>
      <c r="O65" s="575">
        <v>1E-3</v>
      </c>
      <c r="P65" s="575">
        <v>1E-3</v>
      </c>
      <c r="Q65" s="303">
        <v>1.2400000000000001E-4</v>
      </c>
    </row>
    <row r="66" spans="1:122" s="303" customFormat="1">
      <c r="A66" s="275" t="s">
        <v>2744</v>
      </c>
      <c r="B66" s="305" t="s">
        <v>2790</v>
      </c>
      <c r="C66" s="306"/>
      <c r="D66" s="309"/>
      <c r="E66" s="308"/>
      <c r="F66" s="308"/>
      <c r="N66" s="610"/>
      <c r="O66" s="570"/>
      <c r="P66" s="610"/>
    </row>
    <row r="67" spans="1:122" s="303" customFormat="1" ht="12.75">
      <c r="A67" s="275" t="s">
        <v>2745</v>
      </c>
      <c r="B67" s="305" t="s">
        <v>2791</v>
      </c>
      <c r="C67" s="306">
        <v>0.04</v>
      </c>
      <c r="D67" s="307">
        <v>0.77</v>
      </c>
      <c r="E67" s="308">
        <v>1.39</v>
      </c>
      <c r="F67" s="308">
        <v>5.8</v>
      </c>
    </row>
    <row r="68" spans="1:122">
      <c r="A68" s="264"/>
      <c r="B68" s="264"/>
      <c r="C68" s="264"/>
      <c r="D68" s="312" t="s">
        <v>2792</v>
      </c>
      <c r="E68" s="264"/>
      <c r="F68" s="594"/>
      <c r="G68" s="594"/>
      <c r="H68" s="594"/>
      <c r="I68" s="594"/>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row>
    <row r="69" spans="1:122">
      <c r="N69" s="10" t="s">
        <v>2793</v>
      </c>
      <c r="P69" s="264" t="s">
        <v>2794</v>
      </c>
    </row>
    <row r="70" spans="1:122">
      <c r="N70" s="10">
        <f>MAX(N63:Q63)</f>
        <v>5.0000000000000001E-3</v>
      </c>
      <c r="P70" s="313">
        <f>10^(0.92*LOG10(N70*10^6)+'P-Chem'!$J$4)</f>
        <v>4.9407005684654413E-2</v>
      </c>
      <c r="Q70" s="313"/>
    </row>
    <row r="71" spans="1:122">
      <c r="A71" s="314"/>
      <c r="N71" s="10">
        <f>AVERAGE(N64:Q64)</f>
        <v>1.1035000000000001E-3</v>
      </c>
      <c r="P71" s="313">
        <f>10^(0.92*LOG10(N71*10^6)+'P-Chem'!$J$4)</f>
        <v>1.2305143444071779E-2</v>
      </c>
    </row>
    <row r="72" spans="1:122">
      <c r="N72" s="10">
        <f>MIN(N65:Q65)</f>
        <v>2.5999999999999998E-5</v>
      </c>
      <c r="P72" s="313">
        <f>10^(0.92*LOG10(N72*10^6)+'P-Chem'!$J$4)</f>
        <v>3.9130158800053312E-4</v>
      </c>
    </row>
    <row r="74" spans="1:122">
      <c r="P74" s="315"/>
      <c r="R74" s="316"/>
    </row>
    <row r="75" spans="1:122">
      <c r="P75" s="315"/>
    </row>
    <row r="76" spans="1:122">
      <c r="P76" s="315"/>
    </row>
    <row r="83" spans="1:18" s="10" customFormat="1">
      <c r="G83" s="7"/>
      <c r="H83" s="7"/>
      <c r="I83" s="7"/>
      <c r="J83" s="7"/>
      <c r="K83" s="7"/>
      <c r="L83" s="7"/>
      <c r="M83" s="7"/>
      <c r="N83" s="7"/>
      <c r="O83" s="7"/>
      <c r="P83" s="7"/>
      <c r="Q83" s="7"/>
      <c r="R83" s="7"/>
    </row>
    <row r="84" spans="1:18" s="301" customFormat="1" ht="18.75">
      <c r="A84" s="268" t="s">
        <v>2795</v>
      </c>
      <c r="G84" s="317"/>
      <c r="H84" s="317"/>
      <c r="I84" s="317"/>
      <c r="J84" s="317"/>
      <c r="K84" s="317"/>
      <c r="L84" s="317"/>
      <c r="M84" s="317"/>
      <c r="N84" s="317"/>
      <c r="O84" s="317"/>
      <c r="P84" s="317"/>
      <c r="Q84" s="317"/>
      <c r="R84" s="317"/>
    </row>
    <row r="85" spans="1:18" s="10" customFormat="1" ht="18.75">
      <c r="A85" s="263"/>
      <c r="G85" s="7"/>
      <c r="H85" s="7"/>
      <c r="I85" s="7"/>
      <c r="J85" s="7"/>
      <c r="K85" s="7"/>
      <c r="L85" s="7"/>
      <c r="M85" s="7"/>
      <c r="N85" s="7"/>
      <c r="O85" s="7"/>
      <c r="P85" s="7"/>
      <c r="Q85" s="7"/>
      <c r="R85" s="7"/>
    </row>
    <row r="86" spans="1:18" s="10" customFormat="1" ht="15.75">
      <c r="A86" s="266" t="s">
        <v>2796</v>
      </c>
      <c r="B86" s="594"/>
      <c r="C86" s="4"/>
      <c r="D86" s="594"/>
      <c r="E86" s="594"/>
      <c r="F86" s="594"/>
      <c r="G86" s="7"/>
      <c r="H86" s="7"/>
      <c r="I86" s="7"/>
      <c r="J86" s="7"/>
      <c r="K86" s="7"/>
      <c r="L86" s="7"/>
      <c r="M86" s="7"/>
      <c r="N86" s="7"/>
      <c r="O86" s="7"/>
      <c r="P86" s="7"/>
      <c r="Q86" s="7"/>
      <c r="R86" s="7"/>
    </row>
    <row r="87" spans="1:18" s="10" customFormat="1" ht="30">
      <c r="A87" s="318" t="s">
        <v>2797</v>
      </c>
      <c r="B87" s="719" t="s">
        <v>2798</v>
      </c>
      <c r="C87" s="719"/>
      <c r="D87" s="722" t="s">
        <v>85</v>
      </c>
      <c r="E87" s="722"/>
      <c r="F87" s="318" t="s">
        <v>2799</v>
      </c>
      <c r="G87" s="318" t="s">
        <v>2800</v>
      </c>
      <c r="H87" s="318" t="s">
        <v>2801</v>
      </c>
      <c r="I87" s="7"/>
      <c r="J87" s="7"/>
      <c r="K87" s="7"/>
      <c r="L87" s="7"/>
      <c r="M87" s="7"/>
      <c r="N87" s="7"/>
      <c r="O87" s="7"/>
      <c r="P87" s="7"/>
      <c r="Q87" s="7"/>
      <c r="R87" s="7"/>
    </row>
    <row r="88" spans="1:18" s="10" customFormat="1" ht="67.150000000000006" customHeight="1">
      <c r="A88" s="586" t="s">
        <v>2802</v>
      </c>
      <c r="B88" s="718" t="s">
        <v>2803</v>
      </c>
      <c r="C88" s="718"/>
      <c r="D88" s="681" t="s">
        <v>2804</v>
      </c>
      <c r="E88" s="681"/>
      <c r="F88" s="586">
        <v>1.3</v>
      </c>
      <c r="G88" s="586">
        <v>1.6</v>
      </c>
      <c r="H88" s="586">
        <f>AVERAGE(F88:G88)</f>
        <v>1.4500000000000002</v>
      </c>
      <c r="I88" s="7"/>
      <c r="J88" s="7"/>
      <c r="K88" s="7"/>
      <c r="L88" s="7"/>
      <c r="M88" s="7"/>
      <c r="N88" s="7"/>
      <c r="O88" s="7"/>
      <c r="P88" s="7"/>
      <c r="Q88" s="7"/>
      <c r="R88" s="7"/>
    </row>
    <row r="89" spans="1:18" s="10" customFormat="1" ht="93.6" customHeight="1">
      <c r="A89" s="319" t="s">
        <v>2805</v>
      </c>
      <c r="B89" s="718" t="s">
        <v>2806</v>
      </c>
      <c r="C89" s="718"/>
      <c r="D89" s="681" t="s">
        <v>2807</v>
      </c>
      <c r="E89" s="681"/>
      <c r="F89" s="320" t="s">
        <v>2742</v>
      </c>
      <c r="G89" s="320" t="s">
        <v>2742</v>
      </c>
      <c r="H89" s="586">
        <v>1.3</v>
      </c>
      <c r="I89" s="7"/>
      <c r="J89" s="7"/>
      <c r="K89" s="7"/>
      <c r="L89" s="7"/>
      <c r="M89" s="7"/>
      <c r="N89" s="7"/>
      <c r="O89" s="7"/>
      <c r="P89" s="7"/>
      <c r="Q89" s="7"/>
      <c r="R89" s="7"/>
    </row>
    <row r="90" spans="1:18" s="10" customFormat="1">
      <c r="A90" s="319" t="s">
        <v>2808</v>
      </c>
      <c r="B90" s="721" t="s">
        <v>2809</v>
      </c>
      <c r="C90" s="721"/>
      <c r="D90" s="682" t="s">
        <v>48</v>
      </c>
      <c r="E90" s="682"/>
      <c r="F90" s="320" t="s">
        <v>2742</v>
      </c>
      <c r="G90" s="320" t="s">
        <v>2742</v>
      </c>
      <c r="H90" s="321">
        <v>1.41</v>
      </c>
      <c r="I90" s="7"/>
      <c r="J90" s="7"/>
      <c r="K90" s="7"/>
      <c r="L90" s="7"/>
      <c r="M90" s="7"/>
      <c r="N90" s="7"/>
      <c r="O90" s="7"/>
      <c r="P90" s="7"/>
      <c r="Q90" s="7"/>
      <c r="R90" s="7"/>
    </row>
    <row r="91" spans="1:18" ht="92.65" customHeight="1">
      <c r="A91" s="592" t="s">
        <v>2810</v>
      </c>
      <c r="B91" s="720" t="s">
        <v>2811</v>
      </c>
      <c r="C91" s="720"/>
      <c r="D91" s="681" t="s">
        <v>2812</v>
      </c>
      <c r="E91" s="681"/>
      <c r="F91" s="320" t="s">
        <v>2742</v>
      </c>
      <c r="G91" s="320" t="s">
        <v>2742</v>
      </c>
      <c r="H91" s="592">
        <v>1.38</v>
      </c>
    </row>
    <row r="92" spans="1:18">
      <c r="A92" s="715" t="s">
        <v>2813</v>
      </c>
      <c r="B92" s="716"/>
      <c r="C92" s="716"/>
      <c r="D92" s="716"/>
      <c r="E92" s="716"/>
      <c r="F92" s="716"/>
      <c r="G92" s="717"/>
      <c r="H92" s="322">
        <f>AVERAGE(H88:H91)</f>
        <v>1.385</v>
      </c>
    </row>
    <row r="93" spans="1:18">
      <c r="A93" s="10" t="s">
        <v>2814</v>
      </c>
      <c r="B93" s="594">
        <v>0.05</v>
      </c>
      <c r="C93" s="10" t="s">
        <v>2815</v>
      </c>
      <c r="D93" s="38"/>
      <c r="E93" s="38"/>
      <c r="F93" s="38"/>
      <c r="G93" s="38"/>
      <c r="H93" s="323"/>
    </row>
    <row r="95" spans="1:18" s="302" customFormat="1" ht="18.75">
      <c r="A95" s="268" t="s">
        <v>2816</v>
      </c>
      <c r="B95" s="301"/>
      <c r="C95" s="301"/>
      <c r="D95" s="301"/>
      <c r="E95" s="301"/>
      <c r="F95" s="301"/>
      <c r="G95" s="301"/>
      <c r="H95" s="301"/>
      <c r="I95" s="301"/>
      <c r="J95" s="301"/>
      <c r="K95" s="301"/>
      <c r="L95" s="301"/>
      <c r="M95" s="301"/>
      <c r="N95" s="301"/>
    </row>
    <row r="97" spans="1:14" s="13" customFormat="1" ht="16.149999999999999" customHeight="1">
      <c r="A97" s="266" t="s">
        <v>2817</v>
      </c>
      <c r="B97" s="266"/>
      <c r="C97" s="324"/>
      <c r="D97" s="324"/>
      <c r="E97" s="324"/>
      <c r="F97" s="324"/>
      <c r="G97" s="265"/>
      <c r="H97" s="265"/>
      <c r="I97" s="265"/>
      <c r="J97" s="265"/>
      <c r="K97" s="265"/>
      <c r="L97" s="265"/>
      <c r="M97" s="265"/>
      <c r="N97" s="265"/>
    </row>
    <row r="98" spans="1:14" s="13" customFormat="1" ht="15.75">
      <c r="A98" s="325" t="s">
        <v>2818</v>
      </c>
      <c r="B98" s="326"/>
      <c r="C98" s="324"/>
      <c r="D98" s="324"/>
      <c r="E98" s="324"/>
      <c r="F98" s="324"/>
      <c r="G98" s="265"/>
      <c r="H98" s="265"/>
      <c r="I98" s="265"/>
      <c r="J98" s="265"/>
      <c r="K98" s="265"/>
      <c r="L98" s="265"/>
      <c r="M98" s="265"/>
      <c r="N98" s="265"/>
    </row>
    <row r="99" spans="1:14" ht="45">
      <c r="A99" s="587" t="s">
        <v>2819</v>
      </c>
      <c r="B99" s="587" t="s">
        <v>549</v>
      </c>
      <c r="C99" s="587" t="s">
        <v>2820</v>
      </c>
      <c r="D99" s="587" t="s">
        <v>2821</v>
      </c>
      <c r="E99" s="587" t="s">
        <v>2822</v>
      </c>
      <c r="F99" s="587" t="s">
        <v>2823</v>
      </c>
      <c r="G99" s="587" t="s">
        <v>2824</v>
      </c>
    </row>
    <row r="100" spans="1:14" ht="45">
      <c r="A100" s="327" t="s">
        <v>2825</v>
      </c>
      <c r="B100" s="327" t="s">
        <v>2743</v>
      </c>
      <c r="C100" s="328">
        <v>30</v>
      </c>
      <c r="D100" s="591">
        <f>30*0.01</f>
        <v>0.3</v>
      </c>
      <c r="E100" s="591">
        <f>25*0.01</f>
        <v>0.25</v>
      </c>
      <c r="F100" s="328">
        <f>15*0.01</f>
        <v>0.15</v>
      </c>
      <c r="G100" s="591">
        <f t="shared" ref="G100" si="1">C100*2*(D100*E100+E100*F100+D100*F100)</f>
        <v>9.4499999999999993</v>
      </c>
    </row>
    <row r="101" spans="1:14" ht="45">
      <c r="A101" s="327" t="s">
        <v>2826</v>
      </c>
      <c r="B101" s="327" t="s">
        <v>2743</v>
      </c>
      <c r="C101" s="328">
        <v>20</v>
      </c>
      <c r="D101" s="591">
        <f>20*0.01</f>
        <v>0.2</v>
      </c>
      <c r="E101" s="328">
        <f>15*0.01</f>
        <v>0.15</v>
      </c>
      <c r="F101" s="328">
        <f>8*0.01</f>
        <v>0.08</v>
      </c>
      <c r="G101" s="591">
        <f>C101*2*(D101*E101+E101*F101+D101*F101)</f>
        <v>2.3199999999999998</v>
      </c>
    </row>
    <row r="102" spans="1:14" ht="45">
      <c r="A102" s="327" t="s">
        <v>2827</v>
      </c>
      <c r="B102" s="327" t="s">
        <v>2743</v>
      </c>
      <c r="C102" s="328">
        <v>5</v>
      </c>
      <c r="D102" s="328">
        <f>15*0.01</f>
        <v>0.15</v>
      </c>
      <c r="E102" s="591">
        <f>10*0.01</f>
        <v>0.1</v>
      </c>
      <c r="F102" s="328">
        <f>5*0.01</f>
        <v>0.05</v>
      </c>
      <c r="G102" s="591">
        <f>C102*2*(D102*E102+E102*F102+D102*F102)</f>
        <v>0.27500000000000002</v>
      </c>
    </row>
    <row r="104" spans="1:14" ht="15.75">
      <c r="A104" s="266" t="s">
        <v>2828</v>
      </c>
    </row>
    <row r="106" spans="1:14" ht="45">
      <c r="A106" s="587" t="s">
        <v>2819</v>
      </c>
      <c r="B106" s="587" t="s">
        <v>549</v>
      </c>
      <c r="C106" s="587" t="s">
        <v>2798</v>
      </c>
      <c r="D106" s="587" t="s">
        <v>2821</v>
      </c>
      <c r="E106" s="587" t="s">
        <v>2822</v>
      </c>
      <c r="F106" s="587" t="s">
        <v>2829</v>
      </c>
      <c r="G106" s="587" t="s">
        <v>2824</v>
      </c>
    </row>
    <row r="107" spans="1:14" ht="90">
      <c r="A107" s="595" t="s">
        <v>2830</v>
      </c>
      <c r="B107" s="595" t="s">
        <v>2831</v>
      </c>
      <c r="C107" s="329" t="s">
        <v>2832</v>
      </c>
      <c r="D107" s="328">
        <f>72*0.0254</f>
        <v>1.8288</v>
      </c>
      <c r="E107" s="328">
        <f>70*0.0254</f>
        <v>1.778</v>
      </c>
      <c r="F107" s="328">
        <v>2</v>
      </c>
      <c r="G107" s="330">
        <f>D107*E107*F107</f>
        <v>6.5032128</v>
      </c>
    </row>
    <row r="108" spans="1:14">
      <c r="B108" s="4"/>
      <c r="C108" s="4"/>
    </row>
    <row r="113" spans="1:7" ht="15.75">
      <c r="A113" s="266" t="s">
        <v>2833</v>
      </c>
    </row>
    <row r="114" spans="1:7">
      <c r="B114" s="4"/>
      <c r="C114" s="4"/>
    </row>
    <row r="115" spans="1:7" ht="30">
      <c r="A115" s="587" t="s">
        <v>2819</v>
      </c>
      <c r="B115" s="587" t="s">
        <v>549</v>
      </c>
      <c r="C115" s="587" t="s">
        <v>2834</v>
      </c>
      <c r="D115" s="587" t="s">
        <v>2835</v>
      </c>
      <c r="E115" s="587" t="s">
        <v>2836</v>
      </c>
      <c r="G115" s="264"/>
    </row>
    <row r="116" spans="1:7" ht="75">
      <c r="A116" s="595" t="s">
        <v>2837</v>
      </c>
      <c r="B116" s="595" t="s">
        <v>2838</v>
      </c>
      <c r="C116" s="328">
        <v>492</v>
      </c>
      <c r="D116" s="591">
        <f>0.3048 * 8</f>
        <v>2.4384000000000001</v>
      </c>
      <c r="E116" s="331">
        <f>C116/D116</f>
        <v>201.77165354330708</v>
      </c>
      <c r="G116" s="264"/>
    </row>
    <row r="117" spans="1:7">
      <c r="A117" s="594"/>
      <c r="B117" s="4"/>
      <c r="C117" s="4"/>
    </row>
    <row r="124" spans="1:7" ht="15.75">
      <c r="A124" s="266"/>
    </row>
    <row r="127" spans="1:7" ht="15.75">
      <c r="A127" s="266" t="s">
        <v>2839</v>
      </c>
    </row>
    <row r="128" spans="1:7">
      <c r="A128" s="332" t="s">
        <v>2840</v>
      </c>
    </row>
    <row r="129" spans="1:19" ht="30">
      <c r="A129" s="587" t="s">
        <v>2819</v>
      </c>
      <c r="B129" s="587" t="s">
        <v>2841</v>
      </c>
      <c r="C129" s="587" t="s">
        <v>2842</v>
      </c>
      <c r="D129" s="587" t="s">
        <v>2843</v>
      </c>
      <c r="E129" s="587" t="s">
        <v>2844</v>
      </c>
      <c r="F129" s="587" t="s">
        <v>2845</v>
      </c>
      <c r="G129" s="587" t="s">
        <v>2846</v>
      </c>
    </row>
    <row r="130" spans="1:19" s="10" customFormat="1" ht="38.1" customHeight="1">
      <c r="A130" s="673" t="s">
        <v>2847</v>
      </c>
      <c r="B130" s="333" t="s">
        <v>2848</v>
      </c>
      <c r="C130" s="328">
        <v>100</v>
      </c>
      <c r="D130" s="328">
        <v>42</v>
      </c>
      <c r="E130" s="328">
        <v>35</v>
      </c>
      <c r="F130" s="328">
        <f t="shared" ref="F130:F135" si="2">((C130*D130)+(C130*E130)+(D130*E130))*2</f>
        <v>18340</v>
      </c>
      <c r="G130" s="680">
        <f>(F130+F131)*0.00064516</f>
        <v>20.882538879999998</v>
      </c>
    </row>
    <row r="131" spans="1:19" s="10" customFormat="1" ht="37.5" customHeight="1">
      <c r="A131" s="673"/>
      <c r="B131" s="333" t="s">
        <v>2849</v>
      </c>
      <c r="C131" s="328">
        <v>72</v>
      </c>
      <c r="D131" s="328">
        <v>42</v>
      </c>
      <c r="E131" s="328">
        <v>35</v>
      </c>
      <c r="F131" s="328">
        <f t="shared" si="2"/>
        <v>14028</v>
      </c>
      <c r="G131" s="680"/>
    </row>
    <row r="132" spans="1:19" s="10" customFormat="1" ht="43.5" customHeight="1">
      <c r="A132" s="673" t="s">
        <v>2850</v>
      </c>
      <c r="B132" s="333" t="s">
        <v>2848</v>
      </c>
      <c r="C132" s="328">
        <v>80</v>
      </c>
      <c r="D132" s="328">
        <v>36</v>
      </c>
      <c r="E132" s="328">
        <v>30</v>
      </c>
      <c r="F132" s="328">
        <f t="shared" si="2"/>
        <v>12720</v>
      </c>
      <c r="G132" s="680">
        <f>(F132+F133)*0.00064516</f>
        <v>14.709648</v>
      </c>
    </row>
    <row r="133" spans="1:19" s="10" customFormat="1" ht="36.6" customHeight="1">
      <c r="A133" s="673"/>
      <c r="B133" s="333" t="s">
        <v>2849</v>
      </c>
      <c r="C133" s="328">
        <v>60</v>
      </c>
      <c r="D133" s="328">
        <v>36</v>
      </c>
      <c r="E133" s="328">
        <v>30</v>
      </c>
      <c r="F133" s="328">
        <f t="shared" si="2"/>
        <v>10080</v>
      </c>
      <c r="G133" s="680"/>
    </row>
    <row r="134" spans="1:19" ht="46.15" customHeight="1">
      <c r="A134" s="673" t="s">
        <v>2851</v>
      </c>
      <c r="B134" s="333" t="s">
        <v>2848</v>
      </c>
      <c r="C134" s="328">
        <v>60</v>
      </c>
      <c r="D134" s="328">
        <v>30</v>
      </c>
      <c r="E134" s="328">
        <v>25</v>
      </c>
      <c r="F134" s="328">
        <f t="shared" si="2"/>
        <v>8100</v>
      </c>
      <c r="G134" s="680">
        <f>(F134+F135)*0.00064516</f>
        <v>9.5999807999999991</v>
      </c>
    </row>
    <row r="135" spans="1:19" ht="37.5" customHeight="1">
      <c r="A135" s="673"/>
      <c r="B135" s="333" t="s">
        <v>2849</v>
      </c>
      <c r="C135" s="328">
        <v>48</v>
      </c>
      <c r="D135" s="328">
        <v>30</v>
      </c>
      <c r="E135" s="328">
        <v>25</v>
      </c>
      <c r="F135" s="328">
        <f t="shared" si="2"/>
        <v>6780</v>
      </c>
      <c r="G135" s="680"/>
    </row>
    <row r="136" spans="1:19" s="10" customFormat="1" ht="14.65" customHeight="1">
      <c r="A136" s="237"/>
      <c r="B136" s="237"/>
      <c r="C136" s="237"/>
      <c r="D136" s="237"/>
      <c r="E136" s="237"/>
      <c r="F136" s="237"/>
      <c r="G136" s="237"/>
      <c r="H136" s="237"/>
    </row>
    <row r="137" spans="1:19" s="10" customFormat="1" ht="15.75">
      <c r="A137" s="334" t="s">
        <v>2852</v>
      </c>
      <c r="B137" s="570"/>
      <c r="C137" s="610"/>
      <c r="D137" s="335"/>
      <c r="E137" s="336"/>
      <c r="F137" s="4"/>
      <c r="G137" s="337"/>
      <c r="H137" s="337"/>
      <c r="I137" s="337"/>
      <c r="K137" s="337"/>
      <c r="L137" s="337"/>
      <c r="M137" s="337"/>
      <c r="N137" s="337"/>
      <c r="O137" s="337"/>
      <c r="P137" s="337"/>
      <c r="Q137" s="337"/>
      <c r="R137" s="337"/>
      <c r="S137" s="337"/>
    </row>
    <row r="138" spans="1:19" s="10" customFormat="1">
      <c r="F138" s="4"/>
      <c r="G138" s="337"/>
      <c r="H138" s="337"/>
      <c r="I138" s="337"/>
      <c r="J138" s="337"/>
      <c r="K138" s="337"/>
      <c r="L138" s="337"/>
      <c r="M138" s="337"/>
      <c r="N138" s="337"/>
      <c r="O138" s="337"/>
      <c r="P138" s="337"/>
      <c r="Q138" s="337"/>
      <c r="R138" s="337"/>
      <c r="S138" s="337"/>
    </row>
    <row r="139" spans="1:19" s="10" customFormat="1" ht="90">
      <c r="A139" s="587" t="s">
        <v>2780</v>
      </c>
      <c r="B139" s="587" t="s">
        <v>2853</v>
      </c>
      <c r="C139" s="587" t="s">
        <v>2854</v>
      </c>
      <c r="D139" s="587" t="s">
        <v>2855</v>
      </c>
      <c r="E139" s="587" t="s">
        <v>2856</v>
      </c>
      <c r="F139" s="587" t="s">
        <v>2857</v>
      </c>
      <c r="G139" s="587" t="s">
        <v>2858</v>
      </c>
      <c r="H139" s="587" t="s">
        <v>2859</v>
      </c>
      <c r="I139" s="587" t="s">
        <v>2860</v>
      </c>
      <c r="J139" s="587" t="s">
        <v>2861</v>
      </c>
      <c r="K139" s="587" t="s">
        <v>2862</v>
      </c>
      <c r="L139" s="587" t="s">
        <v>2863</v>
      </c>
      <c r="M139" s="587" t="s">
        <v>2864</v>
      </c>
    </row>
    <row r="140" spans="1:19" s="10" customFormat="1">
      <c r="A140" s="14" t="s">
        <v>2745</v>
      </c>
      <c r="B140" s="14">
        <v>1</v>
      </c>
      <c r="C140" s="14">
        <v>11</v>
      </c>
      <c r="D140" s="700">
        <v>10</v>
      </c>
      <c r="E140" s="700">
        <v>4</v>
      </c>
      <c r="F140" s="700">
        <v>4</v>
      </c>
      <c r="G140" s="700">
        <v>6</v>
      </c>
      <c r="H140" s="14">
        <f>C140+D140+E140+(F140*B140)+(G140*B140)</f>
        <v>35</v>
      </c>
      <c r="I140" s="14">
        <v>2</v>
      </c>
      <c r="J140" s="14">
        <v>6.36</v>
      </c>
      <c r="K140" s="338">
        <f>2*3.14159*(J140*0.001/2)</f>
        <v>1.9980512400000001E-2</v>
      </c>
      <c r="L140" s="14">
        <f>H140*I140</f>
        <v>70</v>
      </c>
      <c r="M140" s="339">
        <f>K140*L140</f>
        <v>1.3986358679999999</v>
      </c>
    </row>
    <row r="141" spans="1:19" s="10" customFormat="1">
      <c r="A141" s="14" t="s">
        <v>2790</v>
      </c>
      <c r="B141" s="14">
        <v>2</v>
      </c>
      <c r="C141" s="14">
        <v>14</v>
      </c>
      <c r="D141" s="701"/>
      <c r="E141" s="701"/>
      <c r="F141" s="701"/>
      <c r="G141" s="701"/>
      <c r="H141" s="14">
        <f>C141+D140+E140+(F140*B141)+(G140*B141)</f>
        <v>48</v>
      </c>
      <c r="I141" s="14">
        <v>2</v>
      </c>
      <c r="J141" s="14">
        <v>6.36</v>
      </c>
      <c r="K141" s="338">
        <f>2*3.14159*(J141*0.001/2)</f>
        <v>1.9980512400000001E-2</v>
      </c>
      <c r="L141" s="14">
        <f>H141*I141</f>
        <v>96</v>
      </c>
      <c r="M141" s="339">
        <f>K141*L141</f>
        <v>1.9181291904000002</v>
      </c>
    </row>
    <row r="142" spans="1:19" s="10" customFormat="1">
      <c r="A142" s="14" t="s">
        <v>2741</v>
      </c>
      <c r="B142" s="14">
        <v>6</v>
      </c>
      <c r="C142" s="14">
        <v>18</v>
      </c>
      <c r="D142" s="702"/>
      <c r="E142" s="702"/>
      <c r="F142" s="702"/>
      <c r="G142" s="702"/>
      <c r="H142" s="14">
        <f>C142+D140+E140+(F140*B142)+(G140*B142)</f>
        <v>92</v>
      </c>
      <c r="I142" s="14">
        <v>2</v>
      </c>
      <c r="J142" s="14">
        <v>6.36</v>
      </c>
      <c r="K142" s="338">
        <f>2*3.14159*(J142*0.001/2)</f>
        <v>1.9980512400000001E-2</v>
      </c>
      <c r="L142" s="14">
        <f>H142*I142</f>
        <v>184</v>
      </c>
      <c r="M142" s="339">
        <f>K142*L142</f>
        <v>3.6764142816000001</v>
      </c>
    </row>
    <row r="143" spans="1:19" s="10" customFormat="1">
      <c r="A143" s="4" t="s">
        <v>2865</v>
      </c>
      <c r="C143" s="594"/>
      <c r="G143" s="4"/>
      <c r="H143" s="594"/>
      <c r="I143" s="594"/>
      <c r="J143" s="594"/>
      <c r="K143" s="594"/>
    </row>
    <row r="144" spans="1:19" s="10" customFormat="1">
      <c r="A144" s="134" t="s">
        <v>2866</v>
      </c>
      <c r="C144" s="594"/>
      <c r="E144" s="4"/>
      <c r="G144" s="4"/>
      <c r="H144" s="594"/>
      <c r="I144" s="594"/>
      <c r="J144" s="594"/>
      <c r="K144" s="594"/>
    </row>
    <row r="145" spans="3:16" s="10" customFormat="1">
      <c r="C145" s="594"/>
      <c r="E145" s="4"/>
      <c r="G145" s="4"/>
      <c r="H145" s="594"/>
      <c r="I145" s="594"/>
      <c r="J145" s="594"/>
      <c r="K145" s="594"/>
    </row>
    <row r="146" spans="3:16">
      <c r="O146" s="10"/>
      <c r="P146" s="10"/>
    </row>
  </sheetData>
  <sheetProtection sheet="1" objects="1" scenarios="1" formatCells="0" formatColumns="0" formatRows="0"/>
  <mergeCells count="73">
    <mergeCell ref="L18:L19"/>
    <mergeCell ref="M18:M19"/>
    <mergeCell ref="L23:L24"/>
    <mergeCell ref="M23:M24"/>
    <mergeCell ref="N18:P18"/>
    <mergeCell ref="N17:P17"/>
    <mergeCell ref="N22:P22"/>
    <mergeCell ref="N23:P23"/>
    <mergeCell ref="F140:F142"/>
    <mergeCell ref="B62:F62"/>
    <mergeCell ref="B63:B64"/>
    <mergeCell ref="C63:F63"/>
    <mergeCell ref="A92:G92"/>
    <mergeCell ref="B88:C88"/>
    <mergeCell ref="B89:C89"/>
    <mergeCell ref="B87:C87"/>
    <mergeCell ref="B91:C91"/>
    <mergeCell ref="B90:C90"/>
    <mergeCell ref="D87:E87"/>
    <mergeCell ref="D88:E88"/>
    <mergeCell ref="E140:E142"/>
    <mergeCell ref="G140:G142"/>
    <mergeCell ref="D140:D142"/>
    <mergeCell ref="G28:I28"/>
    <mergeCell ref="A29:A30"/>
    <mergeCell ref="B29:B30"/>
    <mergeCell ref="C29:F29"/>
    <mergeCell ref="G29:I29"/>
    <mergeCell ref="A33:A34"/>
    <mergeCell ref="B33:B34"/>
    <mergeCell ref="C33:F33"/>
    <mergeCell ref="A37:A38"/>
    <mergeCell ref="B37:B38"/>
    <mergeCell ref="C37:F37"/>
    <mergeCell ref="A45:A46"/>
    <mergeCell ref="B45:B46"/>
    <mergeCell ref="C45:C46"/>
    <mergeCell ref="K14:K16"/>
    <mergeCell ref="G33:I33"/>
    <mergeCell ref="G37:I37"/>
    <mergeCell ref="A12:A13"/>
    <mergeCell ref="B12:B13"/>
    <mergeCell ref="C12:F12"/>
    <mergeCell ref="G12:J12"/>
    <mergeCell ref="K12:K13"/>
    <mergeCell ref="A17:A19"/>
    <mergeCell ref="K17:K22"/>
    <mergeCell ref="A20:A22"/>
    <mergeCell ref="K23:K25"/>
    <mergeCell ref="A23:A25"/>
    <mergeCell ref="A28:F28"/>
    <mergeCell ref="A14:A16"/>
    <mergeCell ref="D45:D46"/>
    <mergeCell ref="A47:A49"/>
    <mergeCell ref="C47:C49"/>
    <mergeCell ref="D47:D49"/>
    <mergeCell ref="D50:D58"/>
    <mergeCell ref="C56:C58"/>
    <mergeCell ref="C50:C52"/>
    <mergeCell ref="C53:C55"/>
    <mergeCell ref="G134:G135"/>
    <mergeCell ref="G132:G133"/>
    <mergeCell ref="G130:G131"/>
    <mergeCell ref="D89:E89"/>
    <mergeCell ref="D90:E90"/>
    <mergeCell ref="D91:E91"/>
    <mergeCell ref="A134:A135"/>
    <mergeCell ref="A132:A133"/>
    <mergeCell ref="A130:A131"/>
    <mergeCell ref="A62:A64"/>
    <mergeCell ref="A50:A52"/>
    <mergeCell ref="A53:A55"/>
    <mergeCell ref="A56:A58"/>
  </mergeCells>
  <hyperlinks>
    <hyperlink ref="B88" r:id="rId1" display="https://www.ansys.com/content/dam/amp/2021/august/webpage-requests/education-resources-dam-upload-batch-2/material-property-data-for-eng-materials-BOKENGEN21.pdf" xr:uid="{8C7FF7A4-79FB-45E2-95FC-2B6B450BD6C2}"/>
    <hyperlink ref="B89" r:id="rId2" display="https://www.nature.com/articles/s41370-021-00354-0" xr:uid="{4465ABB5-AE1D-4D9D-B5E1-F9BD777306BF}"/>
    <hyperlink ref="B90" r:id="rId3" display="https://www.ipolymer.com/pdf/PVC.pdf" xr:uid="{B3CBCBCC-2058-492E-B5F4-47AD2FEEFA25}"/>
    <hyperlink ref="B91" r:id="rId4" display="https://www.matec-conferences.org/articles/matecconf/pdf/2018/34/matecconf_ifcae-iot2018_03014.pdf" xr:uid="{8AD5CB52-DE1A-4CBD-ABA4-19F78BF74B02}"/>
    <hyperlink ref="A3" location="CEM_Input__Mouthing_Duration" display="CEM Input: Mouthing Duration" xr:uid="{ACA2C108-803C-4021-952C-955D18C2BABF}"/>
    <hyperlink ref="A5" location="CEM_Input__Chemical_Migration_Rate" display="CEM Input: Chemical Migration Rate" xr:uid="{F046B434-28C3-412F-9DA5-EBDD9BDEA25A}"/>
    <hyperlink ref="A4" location="CEM_Input__Area_of_Article_Mouthed" display="CEM Input: Area of Article Mouthed" xr:uid="{422EC625-EE73-4F38-9DA7-861B3E66CE67}"/>
    <hyperlink ref="A6" location="CEM_Input__Product_Density" display="CEM Input: Density of Product" xr:uid="{525C5C9E-509B-45C6-9DF5-41F5C0087FE2}"/>
    <hyperlink ref="A7" location="CEM_Input__Surface_Area_of_Articles" display="CEM Input: Surface Area of Articles" xr:uid="{AA14422D-7F02-4377-9B94-162753182AFF}"/>
    <hyperlink ref="C107" r:id="rId5" xr:uid="{D101AB3D-2361-4E8C-83F1-C9235518800E}"/>
    <hyperlink ref="A144" r:id="rId6" display="https://www.scientific.net/AMM.672-674.2165" xr:uid="{1D645620-B7CC-4EBB-AEFA-666D4CC931C4}"/>
  </hyperlinks>
  <pageMargins left="0.7" right="0.7" top="0.75" bottom="0.75" header="0.3" footer="0.3"/>
  <pageSetup orientation="portrait" r:id="rId7"/>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7D2C-200E-4AE6-AAF8-9BFB20DC87E8}">
  <sheetPr codeName="Sheet13"/>
  <dimension ref="A1:BW146"/>
  <sheetViews>
    <sheetView zoomScale="90" zoomScaleNormal="120" workbookViewId="0">
      <pane ySplit="1" topLeftCell="A2" activePane="bottomLeft" state="frozen"/>
      <selection pane="bottomLeft" activeCell="I134" sqref="I134"/>
      <selection activeCell="O16" sqref="N16:P17"/>
    </sheetView>
  </sheetViews>
  <sheetFormatPr defaultColWidth="8.7109375" defaultRowHeight="15"/>
  <cols>
    <col min="1" max="1" width="35" style="10" customWidth="1"/>
    <col min="2" max="3" width="14.7109375" style="10" customWidth="1"/>
    <col min="4" max="4" width="25.5703125" style="10" hidden="1" customWidth="1"/>
    <col min="5" max="5" width="25.5703125" style="310" hidden="1" customWidth="1"/>
    <col min="6" max="6" width="25.5703125" style="311" hidden="1" customWidth="1"/>
    <col min="7" max="12" width="25.5703125" style="10" hidden="1" customWidth="1"/>
    <col min="13" max="13" width="25.5703125" style="10" customWidth="1"/>
    <col min="14" max="14" width="24.5703125" style="10" hidden="1" customWidth="1"/>
    <col min="15" max="15" width="8.7109375" style="10"/>
    <col min="16" max="16" width="37.7109375" style="10" customWidth="1"/>
    <col min="17" max="20" width="8.7109375" style="10"/>
    <col min="21" max="21" width="11.7109375" style="10" customWidth="1"/>
    <col min="22" max="22" width="12.28515625" style="10" customWidth="1"/>
    <col min="23" max="23" width="12.5703125" style="10" customWidth="1"/>
    <col min="24" max="16384" width="8.7109375" style="10"/>
  </cols>
  <sheetData>
    <row r="1" spans="1:75" ht="44.1" customHeight="1">
      <c r="A1" s="340" t="s">
        <v>2867</v>
      </c>
      <c r="B1" s="341"/>
      <c r="C1" s="341"/>
      <c r="D1" s="342" t="str">
        <f>'BBP Crosswalk'!AA2</f>
        <v>Adhesives for Small Projects</v>
      </c>
      <c r="E1" s="342" t="str">
        <f>'BBP Crosswalk'!AB2</f>
        <v>Automotive lubricants</v>
      </c>
      <c r="F1" s="342" t="str">
        <f>'BBP Crosswalk'!AC2</f>
        <v>Caulking Products</v>
      </c>
      <c r="G1" s="342" t="str">
        <f>'BBP Crosswalk'!AD2</f>
        <v>Crafting Resin (Cured)</v>
      </c>
      <c r="H1" s="342" t="str">
        <f>'BBP Crosswalk'!AE2</f>
        <v>Inks and Dyes</v>
      </c>
      <c r="I1" s="342" t="str">
        <f>'BBP Crosswalk'!AF2</f>
        <v>Interior car care</v>
      </c>
      <c r="J1" s="342" t="str">
        <f>'BBP Crosswalk'!AG2</f>
        <v>Patching and Repair Products for Exterior Surfaces</v>
      </c>
      <c r="K1" s="342" t="str">
        <f>'BBP Crosswalk'!AH2</f>
        <v>Touch up auto paint</v>
      </c>
      <c r="L1" s="342" t="str">
        <f>'BBP Crosswalk'!AI2</f>
        <v>Peel Off Protective Coating</v>
      </c>
      <c r="M1" s="342" t="str">
        <f>'BBP Crosswalk'!AJ2</f>
        <v>Sealing and Refinishing Sprays (Indoor Use)</v>
      </c>
      <c r="N1" s="342" t="str">
        <f>'BBP Crosswalk'!AK2</f>
        <v>Sealing and Refinishing Sprays (Outdoor Use)</v>
      </c>
      <c r="O1" s="342"/>
      <c r="P1" s="343" t="s">
        <v>2733</v>
      </c>
      <c r="Q1" s="344" t="s">
        <v>2868</v>
      </c>
      <c r="R1" s="345" t="s">
        <v>2869</v>
      </c>
      <c r="S1" s="346" t="s">
        <v>2870</v>
      </c>
      <c r="T1" s="347" t="s">
        <v>2871</v>
      </c>
      <c r="U1" s="347" t="s">
        <v>2872</v>
      </c>
      <c r="V1" s="345" t="s">
        <v>296</v>
      </c>
      <c r="W1" s="346" t="s">
        <v>2873</v>
      </c>
    </row>
    <row r="2" spans="1:75" s="53" customFormat="1" ht="45">
      <c r="A2" s="611" t="s">
        <v>2874</v>
      </c>
      <c r="B2" s="611"/>
      <c r="C2" s="611"/>
      <c r="D2" s="611" t="str">
        <f>'BBP Crosswalk'!AA6</f>
        <v>Dermal</v>
      </c>
      <c r="E2" s="611" t="str">
        <f>'BBP Crosswalk'!AB6</f>
        <v>Dermal</v>
      </c>
      <c r="F2" s="611" t="str">
        <f>'BBP Crosswalk'!AC6</f>
        <v>Inhalation, Dermal</v>
      </c>
      <c r="G2" s="611" t="str">
        <f>'BBP Crosswalk'!AD6</f>
        <v>Inhalation, Dermal</v>
      </c>
      <c r="H2" s="611" t="str">
        <f>'BBP Crosswalk'!AE6</f>
        <v>Dermal</v>
      </c>
      <c r="I2" s="611" t="str">
        <f>'BBP Crosswalk'!AF6</f>
        <v>Inhalation, Dermal</v>
      </c>
      <c r="J2" s="611" t="str">
        <f>'BBP Crosswalk'!AG6</f>
        <v>Dermal</v>
      </c>
      <c r="K2" s="611" t="str">
        <f>'BBP Crosswalk'!AH6</f>
        <v>Qualitative, No significant potential for Exposure</v>
      </c>
      <c r="L2" s="611" t="str">
        <f>'BBP Crosswalk'!AI6</f>
        <v>Qualitative, Not likely to be purchased by consumers</v>
      </c>
      <c r="M2" s="611" t="str">
        <f>'BBP Crosswalk'!AJ6</f>
        <v>Inhalation, Dermal</v>
      </c>
      <c r="N2" s="611" t="str">
        <f>'BBP Crosswalk'!AK6</f>
        <v>Inhalation, Dermal</v>
      </c>
      <c r="O2" s="611"/>
      <c r="P2" s="742" t="s">
        <v>2625</v>
      </c>
      <c r="Q2" s="10" t="s">
        <v>2741</v>
      </c>
      <c r="R2" s="348">
        <f>'BBP Crosswalk'!AC3</f>
        <v>0.4</v>
      </c>
      <c r="S2" s="743">
        <v>1.5</v>
      </c>
      <c r="T2" s="349" t="s">
        <v>2635</v>
      </c>
      <c r="U2" s="744" t="s">
        <v>2635</v>
      </c>
      <c r="V2" s="745" t="s">
        <v>2627</v>
      </c>
      <c r="W2" s="743">
        <v>15</v>
      </c>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571"/>
      <c r="BO2" s="571"/>
      <c r="BP2" s="571"/>
      <c r="BQ2" s="571"/>
      <c r="BR2" s="571"/>
      <c r="BS2" s="571"/>
      <c r="BT2" s="571"/>
      <c r="BU2" s="571"/>
      <c r="BV2" s="571"/>
      <c r="BW2" s="571"/>
    </row>
    <row r="3" spans="1:75" s="352" customFormat="1">
      <c r="A3" s="350" t="s">
        <v>2875</v>
      </c>
      <c r="B3" s="351" t="s">
        <v>553</v>
      </c>
      <c r="C3" s="351" t="s">
        <v>2780</v>
      </c>
      <c r="D3" s="351"/>
      <c r="E3" s="351"/>
      <c r="O3" s="353"/>
      <c r="P3" s="742"/>
      <c r="Q3" s="10" t="s">
        <v>2790</v>
      </c>
      <c r="R3" s="348">
        <f>'BBP Crosswalk'!AC4</f>
        <v>0.14499999999999999</v>
      </c>
      <c r="S3" s="743"/>
      <c r="T3" s="349" t="s">
        <v>2635</v>
      </c>
      <c r="U3" s="744"/>
      <c r="V3" s="745"/>
      <c r="W3" s="743"/>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row>
    <row r="4" spans="1:75" s="53" customFormat="1" ht="40.5" customHeight="1">
      <c r="A4" s="732" t="s">
        <v>2876</v>
      </c>
      <c r="B4" s="733"/>
      <c r="C4" s="597"/>
      <c r="D4" s="354" t="s">
        <v>2877</v>
      </c>
      <c r="E4" s="354" t="s">
        <v>2877</v>
      </c>
      <c r="F4" s="354" t="s">
        <v>2877</v>
      </c>
      <c r="G4" s="354" t="s">
        <v>2878</v>
      </c>
      <c r="H4" s="354" t="s">
        <v>2877</v>
      </c>
      <c r="I4" s="354" t="s">
        <v>2877</v>
      </c>
      <c r="J4" s="354" t="s">
        <v>2877</v>
      </c>
      <c r="K4" s="355" t="s">
        <v>2635</v>
      </c>
      <c r="L4" s="355" t="s">
        <v>2635</v>
      </c>
      <c r="M4" s="354" t="s">
        <v>2877</v>
      </c>
      <c r="N4" s="354" t="s">
        <v>2877</v>
      </c>
      <c r="O4" s="203"/>
      <c r="P4" s="742"/>
      <c r="Q4" s="10" t="s">
        <v>2745</v>
      </c>
      <c r="R4" s="348">
        <f>'BBP Crosswalk'!AC5</f>
        <v>0.05</v>
      </c>
      <c r="S4" s="743"/>
      <c r="T4" s="349" t="s">
        <v>2635</v>
      </c>
      <c r="U4" s="744"/>
      <c r="V4" s="745"/>
      <c r="W4" s="743"/>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row>
    <row r="5" spans="1:75" s="53" customFormat="1" ht="23.1" customHeight="1">
      <c r="A5" s="596" t="s">
        <v>2879</v>
      </c>
      <c r="B5" s="356" t="s">
        <v>2880</v>
      </c>
      <c r="C5" s="356"/>
      <c r="D5" s="356">
        <v>52</v>
      </c>
      <c r="E5" s="573">
        <v>1</v>
      </c>
      <c r="F5" s="573">
        <v>52</v>
      </c>
      <c r="G5" s="573">
        <v>52</v>
      </c>
      <c r="H5" s="573">
        <v>52</v>
      </c>
      <c r="I5" s="573">
        <v>52</v>
      </c>
      <c r="J5" s="573">
        <v>2</v>
      </c>
      <c r="K5" s="355" t="s">
        <v>2635</v>
      </c>
      <c r="L5" s="355" t="s">
        <v>2635</v>
      </c>
      <c r="M5" s="573">
        <v>2</v>
      </c>
      <c r="N5" s="573">
        <v>2</v>
      </c>
      <c r="O5" s="203"/>
      <c r="P5" s="742" t="s">
        <v>2881</v>
      </c>
      <c r="Q5" s="10" t="s">
        <v>2741</v>
      </c>
      <c r="R5" s="348">
        <f>'BBP Crosswalk'!AF3</f>
        <v>1E-4</v>
      </c>
      <c r="S5" s="743">
        <v>1</v>
      </c>
      <c r="T5" s="349" t="s">
        <v>2635</v>
      </c>
      <c r="U5" s="744" t="s">
        <v>2635</v>
      </c>
      <c r="V5" s="745" t="s">
        <v>2679</v>
      </c>
      <c r="W5" s="743">
        <v>90</v>
      </c>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c r="BT5" s="571"/>
      <c r="BU5" s="571"/>
      <c r="BV5" s="571"/>
      <c r="BW5" s="571"/>
    </row>
    <row r="6" spans="1:75" s="53" customFormat="1" ht="17.649999999999999" customHeight="1">
      <c r="A6" s="596" t="s">
        <v>2879</v>
      </c>
      <c r="B6" s="356" t="s">
        <v>2882</v>
      </c>
      <c r="C6" s="356"/>
      <c r="D6" s="356">
        <v>1</v>
      </c>
      <c r="E6" s="573">
        <v>1</v>
      </c>
      <c r="F6" s="573">
        <v>1</v>
      </c>
      <c r="G6" s="573">
        <v>1</v>
      </c>
      <c r="H6" s="573">
        <v>1</v>
      </c>
      <c r="I6" s="573">
        <v>1</v>
      </c>
      <c r="J6" s="573">
        <v>1</v>
      </c>
      <c r="K6" s="355" t="s">
        <v>2635</v>
      </c>
      <c r="L6" s="355" t="s">
        <v>2635</v>
      </c>
      <c r="M6" s="573">
        <v>1</v>
      </c>
      <c r="N6" s="573">
        <v>1</v>
      </c>
      <c r="O6" s="203"/>
      <c r="P6" s="742"/>
      <c r="Q6" s="10" t="s">
        <v>2790</v>
      </c>
      <c r="R6" s="348">
        <f>'BBP Crosswalk'!AF4</f>
        <v>1E-4</v>
      </c>
      <c r="S6" s="743"/>
      <c r="T6" s="349" t="s">
        <v>2635</v>
      </c>
      <c r="U6" s="744"/>
      <c r="V6" s="745"/>
      <c r="W6" s="743"/>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c r="BR6" s="571"/>
      <c r="BS6" s="571"/>
      <c r="BT6" s="571"/>
      <c r="BU6" s="571"/>
      <c r="BV6" s="571"/>
      <c r="BW6" s="571"/>
    </row>
    <row r="7" spans="1:75" s="53" customFormat="1" ht="19.5" customHeight="1">
      <c r="A7" s="734" t="s">
        <v>2883</v>
      </c>
      <c r="B7" s="736" t="s">
        <v>2884</v>
      </c>
      <c r="C7" s="357" t="s">
        <v>2741</v>
      </c>
      <c r="D7" s="358">
        <v>60</v>
      </c>
      <c r="E7" s="357">
        <v>120</v>
      </c>
      <c r="F7" s="358">
        <v>60</v>
      </c>
      <c r="G7" s="357">
        <v>120</v>
      </c>
      <c r="H7" s="357">
        <v>15</v>
      </c>
      <c r="I7" s="357">
        <v>45</v>
      </c>
      <c r="J7" s="357">
        <v>120</v>
      </c>
      <c r="K7" s="355" t="s">
        <v>2635</v>
      </c>
      <c r="L7" s="355" t="s">
        <v>2635</v>
      </c>
      <c r="M7" s="357">
        <v>480</v>
      </c>
      <c r="N7" s="357">
        <v>480</v>
      </c>
      <c r="O7" s="203"/>
      <c r="P7" s="742"/>
      <c r="Q7" s="10" t="s">
        <v>2745</v>
      </c>
      <c r="R7" s="348">
        <f>'BBP Crosswalk'!AF5</f>
        <v>1E-4</v>
      </c>
      <c r="S7" s="743"/>
      <c r="T7" s="349" t="s">
        <v>2635</v>
      </c>
      <c r="U7" s="744"/>
      <c r="V7" s="745"/>
      <c r="W7" s="743"/>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c r="BT7" s="571"/>
      <c r="BU7" s="571"/>
      <c r="BV7" s="571"/>
      <c r="BW7" s="571"/>
    </row>
    <row r="8" spans="1:75" s="53" customFormat="1" ht="18.600000000000001" customHeight="1">
      <c r="A8" s="735"/>
      <c r="B8" s="737"/>
      <c r="C8" s="357" t="s">
        <v>2744</v>
      </c>
      <c r="D8" s="358">
        <v>30</v>
      </c>
      <c r="E8" s="357">
        <v>60</v>
      </c>
      <c r="F8" s="358">
        <v>30</v>
      </c>
      <c r="G8" s="357">
        <v>60</v>
      </c>
      <c r="H8" s="357">
        <v>10</v>
      </c>
      <c r="I8" s="357">
        <v>30</v>
      </c>
      <c r="J8" s="357">
        <v>60</v>
      </c>
      <c r="K8" s="355" t="s">
        <v>2635</v>
      </c>
      <c r="L8" s="355" t="s">
        <v>2635</v>
      </c>
      <c r="M8" s="357">
        <v>240</v>
      </c>
      <c r="N8" s="357">
        <v>240</v>
      </c>
      <c r="O8" s="203"/>
      <c r="P8" s="742" t="s">
        <v>2661</v>
      </c>
      <c r="Q8" s="10" t="s">
        <v>2741</v>
      </c>
      <c r="R8" s="348">
        <f>'BBP Crosswalk'!AJ3</f>
        <v>0.01</v>
      </c>
      <c r="S8" s="743">
        <v>0.89</v>
      </c>
      <c r="T8" s="349" t="s">
        <v>2635</v>
      </c>
      <c r="U8" s="744" t="s">
        <v>2635</v>
      </c>
      <c r="V8" s="745" t="s">
        <v>2659</v>
      </c>
      <c r="W8" s="743">
        <v>491.9</v>
      </c>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c r="BT8" s="571"/>
      <c r="BU8" s="571"/>
      <c r="BV8" s="571"/>
      <c r="BW8" s="571"/>
    </row>
    <row r="9" spans="1:75" s="53" customFormat="1" ht="15" customHeight="1">
      <c r="A9" s="735"/>
      <c r="B9" s="737"/>
      <c r="C9" s="357" t="s">
        <v>2745</v>
      </c>
      <c r="D9" s="358">
        <v>15</v>
      </c>
      <c r="E9" s="357">
        <v>30</v>
      </c>
      <c r="F9" s="358">
        <v>15</v>
      </c>
      <c r="G9" s="357">
        <v>30</v>
      </c>
      <c r="H9" s="357">
        <v>5</v>
      </c>
      <c r="I9" s="357">
        <v>15</v>
      </c>
      <c r="J9" s="357">
        <v>30</v>
      </c>
      <c r="K9" s="355" t="s">
        <v>2635</v>
      </c>
      <c r="L9" s="355" t="s">
        <v>2635</v>
      </c>
      <c r="M9" s="357">
        <v>120</v>
      </c>
      <c r="N9" s="357">
        <v>120</v>
      </c>
      <c r="O9" s="203"/>
      <c r="P9" s="742"/>
      <c r="Q9" s="10" t="s">
        <v>2790</v>
      </c>
      <c r="R9" s="348">
        <f>'BBP Crosswalk'!AJ4</f>
        <v>5.5000000000000005E-3</v>
      </c>
      <c r="S9" s="743"/>
      <c r="T9" s="349" t="s">
        <v>2635</v>
      </c>
      <c r="U9" s="744"/>
      <c r="V9" s="745"/>
      <c r="W9" s="743"/>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row>
    <row r="10" spans="1:75" s="363" customFormat="1" ht="20.100000000000001" customHeight="1">
      <c r="A10" s="359" t="s">
        <v>2885</v>
      </c>
      <c r="B10" s="360"/>
      <c r="C10" s="360"/>
      <c r="D10" s="361"/>
      <c r="E10" s="362"/>
      <c r="F10" s="361"/>
      <c r="H10" s="352"/>
      <c r="I10" s="352"/>
      <c r="J10" s="352"/>
      <c r="K10" s="352"/>
      <c r="L10" s="352"/>
      <c r="M10" s="362"/>
      <c r="N10" s="362"/>
      <c r="O10" s="203"/>
      <c r="P10" s="742"/>
      <c r="Q10" s="10" t="s">
        <v>2745</v>
      </c>
      <c r="R10" s="348">
        <f>'BBP Crosswalk'!AJ5</f>
        <v>1E-3</v>
      </c>
      <c r="S10" s="743"/>
      <c r="T10" s="349" t="s">
        <v>2635</v>
      </c>
      <c r="U10" s="744"/>
      <c r="V10" s="745"/>
      <c r="W10" s="743"/>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c r="BT10" s="571"/>
      <c r="BU10" s="571"/>
      <c r="BV10" s="571"/>
      <c r="BW10" s="571"/>
    </row>
    <row r="11" spans="1:75" s="53" customFormat="1" ht="32.65" customHeight="1">
      <c r="A11" s="730" t="s">
        <v>2886</v>
      </c>
      <c r="B11" s="731"/>
      <c r="C11" s="599"/>
      <c r="D11" s="725" t="s">
        <v>2887</v>
      </c>
      <c r="E11" s="725" t="s">
        <v>2887</v>
      </c>
      <c r="F11" s="573" t="s">
        <v>2888</v>
      </c>
      <c r="G11" s="364" t="s">
        <v>2889</v>
      </c>
      <c r="H11" s="725" t="s">
        <v>2887</v>
      </c>
      <c r="I11" s="365" t="s">
        <v>2890</v>
      </c>
      <c r="J11" s="741" t="s">
        <v>2887</v>
      </c>
      <c r="K11" s="355" t="s">
        <v>2635</v>
      </c>
      <c r="L11" s="355" t="s">
        <v>2635</v>
      </c>
      <c r="M11" s="365" t="s">
        <v>2890</v>
      </c>
      <c r="N11" s="365" t="s">
        <v>2890</v>
      </c>
      <c r="O11" s="571"/>
      <c r="P11" s="742" t="s">
        <v>2665</v>
      </c>
      <c r="Q11" s="10" t="s">
        <v>2741</v>
      </c>
      <c r="R11" s="348">
        <f>'BBP Crosswalk'!AK3</f>
        <v>0.05</v>
      </c>
      <c r="S11" s="743">
        <v>1.4</v>
      </c>
      <c r="T11" s="349" t="s">
        <v>2635</v>
      </c>
      <c r="U11" s="744" t="s">
        <v>2635</v>
      </c>
      <c r="V11" s="745" t="s">
        <v>2639</v>
      </c>
      <c r="W11" s="743">
        <v>492</v>
      </c>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c r="BR11" s="571"/>
      <c r="BS11" s="571"/>
      <c r="BT11" s="571"/>
      <c r="BU11" s="571"/>
      <c r="BV11" s="571"/>
      <c r="BW11" s="571"/>
    </row>
    <row r="12" spans="1:75" s="53" customFormat="1" ht="44.65" customHeight="1">
      <c r="A12" s="730" t="s">
        <v>2891</v>
      </c>
      <c r="B12" s="731"/>
      <c r="C12" s="599"/>
      <c r="D12" s="726"/>
      <c r="E12" s="726"/>
      <c r="F12" s="573" t="s">
        <v>2892</v>
      </c>
      <c r="G12" s="364" t="s">
        <v>2893</v>
      </c>
      <c r="H12" s="726"/>
      <c r="I12" s="365" t="s">
        <v>2894</v>
      </c>
      <c r="J12" s="741"/>
      <c r="K12" s="355" t="s">
        <v>2635</v>
      </c>
      <c r="L12" s="355" t="s">
        <v>2635</v>
      </c>
      <c r="M12" s="365" t="s">
        <v>2894</v>
      </c>
      <c r="N12" s="365" t="s">
        <v>2894</v>
      </c>
      <c r="O12" s="571"/>
      <c r="P12" s="742"/>
      <c r="Q12" s="10" t="s">
        <v>2790</v>
      </c>
      <c r="R12" s="348">
        <f>'BBP Crosswalk'!AK4</f>
        <v>0.03</v>
      </c>
      <c r="S12" s="743"/>
      <c r="T12" s="349" t="s">
        <v>2635</v>
      </c>
      <c r="U12" s="744"/>
      <c r="V12" s="745"/>
      <c r="W12" s="743"/>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c r="BT12" s="571"/>
      <c r="BU12" s="571"/>
      <c r="BV12" s="571"/>
      <c r="BW12" s="571"/>
    </row>
    <row r="13" spans="1:75" s="53" customFormat="1" ht="14.65" customHeight="1">
      <c r="A13" s="366" t="s">
        <v>2895</v>
      </c>
      <c r="B13" s="366" t="s">
        <v>553</v>
      </c>
      <c r="C13" s="366"/>
      <c r="D13" s="351" t="s">
        <v>2896</v>
      </c>
      <c r="E13" s="351"/>
      <c r="F13" s="351"/>
      <c r="G13" s="351"/>
      <c r="H13" s="352"/>
      <c r="I13" s="352"/>
      <c r="J13" s="352"/>
      <c r="K13" s="351"/>
      <c r="L13" s="351"/>
      <c r="M13" s="351" t="s">
        <v>2896</v>
      </c>
      <c r="N13" s="351" t="s">
        <v>2896</v>
      </c>
      <c r="O13" s="571"/>
      <c r="P13" s="742"/>
      <c r="Q13" s="10" t="s">
        <v>2745</v>
      </c>
      <c r="R13" s="348">
        <f>'BBP Crosswalk'!AK5</f>
        <v>0.01</v>
      </c>
      <c r="S13" s="743"/>
      <c r="T13" s="349" t="s">
        <v>2635</v>
      </c>
      <c r="U13" s="744"/>
      <c r="V13" s="745"/>
      <c r="W13" s="743"/>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c r="BR13" s="571"/>
      <c r="BS13" s="571"/>
      <c r="BT13" s="571"/>
      <c r="BU13" s="571"/>
      <c r="BV13" s="571"/>
      <c r="BW13" s="571"/>
    </row>
    <row r="14" spans="1:75">
      <c r="A14" s="367" t="s">
        <v>2897</v>
      </c>
      <c r="B14" s="368"/>
      <c r="C14" s="368"/>
      <c r="D14" s="369"/>
      <c r="E14" s="370"/>
      <c r="F14" s="369"/>
      <c r="G14" s="369"/>
      <c r="H14" s="369"/>
      <c r="I14" s="369"/>
      <c r="J14" s="370"/>
      <c r="K14" s="369"/>
      <c r="L14" s="369"/>
      <c r="M14" s="370"/>
      <c r="N14" s="370"/>
    </row>
    <row r="15" spans="1:75">
      <c r="A15" s="738" t="s">
        <v>2898</v>
      </c>
      <c r="B15" s="727" t="s">
        <v>2899</v>
      </c>
      <c r="C15" s="357" t="s">
        <v>2741</v>
      </c>
      <c r="D15" s="355">
        <f>'BBP Crosswalk'!AA3</f>
        <v>0.2</v>
      </c>
      <c r="E15" s="371">
        <f>'BBP Crosswalk'!AB3</f>
        <v>0.1</v>
      </c>
      <c r="F15" s="371">
        <f>'BBP Crosswalk'!AC3</f>
        <v>0.4</v>
      </c>
      <c r="G15" s="371">
        <f>'BBP Crosswalk'!AD3</f>
        <v>0.15</v>
      </c>
      <c r="H15" s="371">
        <f>'BBP Crosswalk'!AE3</f>
        <v>0.6</v>
      </c>
      <c r="I15" s="372">
        <f>'BBP Crosswalk'!AF3</f>
        <v>1E-4</v>
      </c>
      <c r="J15" s="355">
        <f>'BBP Crosswalk'!AG3</f>
        <v>0.3</v>
      </c>
      <c r="K15" s="355">
        <f>'BBP Crosswalk'!AH3</f>
        <v>0.05</v>
      </c>
      <c r="L15" s="355">
        <f>'BBP Crosswalk'!AI3</f>
        <v>0.02</v>
      </c>
      <c r="M15" s="371">
        <f>'BBP Crosswalk'!AJ3</f>
        <v>0.01</v>
      </c>
      <c r="N15" s="371">
        <f>'BBP Crosswalk'!AK3</f>
        <v>0.05</v>
      </c>
    </row>
    <row r="16" spans="1:75">
      <c r="A16" s="739"/>
      <c r="B16" s="728"/>
      <c r="C16" s="357" t="s">
        <v>2744</v>
      </c>
      <c r="D16" s="355">
        <f>'BBP Crosswalk'!AA4</f>
        <v>9.425E-2</v>
      </c>
      <c r="E16" s="371">
        <f>'BBP Crosswalk'!AB4</f>
        <v>5.2499999999999998E-2</v>
      </c>
      <c r="F16" s="371">
        <f>'BBP Crosswalk'!AC4</f>
        <v>0.14499999999999999</v>
      </c>
      <c r="G16" s="371">
        <f>'BBP Crosswalk'!AD4</f>
        <v>0.1</v>
      </c>
      <c r="H16" s="371">
        <f>'BBP Crosswalk'!AE4</f>
        <v>0.32500000000000001</v>
      </c>
      <c r="I16" s="372">
        <f>'BBP Crosswalk'!AF4</f>
        <v>1E-4</v>
      </c>
      <c r="J16" s="355">
        <f>'BBP Crosswalk'!AG4</f>
        <v>6.3E-2</v>
      </c>
      <c r="K16" s="355">
        <f>'BBP Crosswalk'!AH4</f>
        <v>0.05</v>
      </c>
      <c r="L16" s="355">
        <f>'BBP Crosswalk'!AI4</f>
        <v>0.02</v>
      </c>
      <c r="M16" s="371">
        <f>'BBP Crosswalk'!AJ4</f>
        <v>5.5000000000000005E-3</v>
      </c>
      <c r="N16" s="371">
        <f>'BBP Crosswalk'!AK4</f>
        <v>0.03</v>
      </c>
    </row>
    <row r="17" spans="1:45">
      <c r="A17" s="740"/>
      <c r="B17" s="729"/>
      <c r="C17" s="357" t="s">
        <v>2745</v>
      </c>
      <c r="D17" s="355">
        <f>'BBP Crosswalk'!AA5</f>
        <v>3.85E-2</v>
      </c>
      <c r="E17" s="371">
        <f>'BBP Crosswalk'!AB5</f>
        <v>0.03</v>
      </c>
      <c r="F17" s="371">
        <f>'BBP Crosswalk'!AC5</f>
        <v>0.05</v>
      </c>
      <c r="G17" s="371">
        <f>'BBP Crosswalk'!AD5</f>
        <v>0.05</v>
      </c>
      <c r="H17" s="371">
        <f>'BBP Crosswalk'!AE5</f>
        <v>0.15</v>
      </c>
      <c r="I17" s="372">
        <f>'BBP Crosswalk'!AF5</f>
        <v>1E-4</v>
      </c>
      <c r="J17" s="355">
        <f>'BBP Crosswalk'!AG5</f>
        <v>0.01</v>
      </c>
      <c r="K17" s="355">
        <f>'BBP Crosswalk'!AH5</f>
        <v>0.05</v>
      </c>
      <c r="L17" s="355">
        <f>'BBP Crosswalk'!AI5</f>
        <v>0.02</v>
      </c>
      <c r="M17" s="371">
        <f>'BBP Crosswalk'!AJ5</f>
        <v>1E-3</v>
      </c>
      <c r="N17" s="371">
        <f>'BBP Crosswalk'!AK5</f>
        <v>0.01</v>
      </c>
    </row>
    <row r="18" spans="1:45" s="376" customFormat="1">
      <c r="A18" s="373" t="s">
        <v>2900</v>
      </c>
      <c r="B18" s="374" t="s">
        <v>2901</v>
      </c>
      <c r="C18" s="374"/>
      <c r="D18" s="355" t="s">
        <v>2635</v>
      </c>
      <c r="E18" s="355" t="s">
        <v>2635</v>
      </c>
      <c r="F18" s="355" t="s">
        <v>2635</v>
      </c>
      <c r="G18" s="355" t="s">
        <v>2635</v>
      </c>
      <c r="H18" s="355" t="s">
        <v>2635</v>
      </c>
      <c r="I18" s="375" t="s">
        <v>2635</v>
      </c>
      <c r="J18" s="355" t="s">
        <v>2635</v>
      </c>
      <c r="K18" s="355" t="s">
        <v>2635</v>
      </c>
      <c r="L18" s="355" t="s">
        <v>2635</v>
      </c>
      <c r="M18" s="375" t="s">
        <v>2635</v>
      </c>
      <c r="N18" s="375" t="s">
        <v>2635</v>
      </c>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row>
    <row r="19" spans="1:45">
      <c r="A19" s="377" t="s">
        <v>2902</v>
      </c>
      <c r="B19" s="14" t="s">
        <v>2903</v>
      </c>
      <c r="C19" s="14"/>
      <c r="D19" s="355" t="s">
        <v>2635</v>
      </c>
      <c r="E19" s="355" t="s">
        <v>2635</v>
      </c>
      <c r="F19" s="595">
        <v>0</v>
      </c>
      <c r="G19" s="328">
        <v>0</v>
      </c>
      <c r="H19" s="355" t="s">
        <v>2635</v>
      </c>
      <c r="I19" s="328">
        <v>0</v>
      </c>
      <c r="J19" s="355" t="s">
        <v>2635</v>
      </c>
      <c r="K19" s="355" t="s">
        <v>2635</v>
      </c>
      <c r="L19" s="355" t="s">
        <v>2635</v>
      </c>
      <c r="M19" s="328">
        <v>0</v>
      </c>
      <c r="N19" s="328">
        <v>0</v>
      </c>
    </row>
    <row r="20" spans="1:45">
      <c r="A20" s="377" t="s">
        <v>2904</v>
      </c>
      <c r="B20" s="14" t="s">
        <v>2905</v>
      </c>
      <c r="C20" s="14"/>
      <c r="D20" s="355" t="s">
        <v>2635</v>
      </c>
      <c r="E20" s="355" t="s">
        <v>2635</v>
      </c>
      <c r="F20" s="595">
        <v>0</v>
      </c>
      <c r="G20" s="328">
        <v>0</v>
      </c>
      <c r="H20" s="355" t="s">
        <v>2635</v>
      </c>
      <c r="I20" s="328">
        <v>0</v>
      </c>
      <c r="J20" s="355" t="s">
        <v>2635</v>
      </c>
      <c r="K20" s="355" t="s">
        <v>2635</v>
      </c>
      <c r="L20" s="355" t="s">
        <v>2635</v>
      </c>
      <c r="M20" s="328">
        <v>0</v>
      </c>
      <c r="N20" s="328">
        <v>0</v>
      </c>
    </row>
    <row r="21" spans="1:45">
      <c r="A21" s="377" t="s">
        <v>2906</v>
      </c>
      <c r="B21" s="14" t="s">
        <v>56</v>
      </c>
      <c r="C21" s="14"/>
      <c r="D21" s="355" t="s">
        <v>2635</v>
      </c>
      <c r="E21" s="355" t="s">
        <v>2635</v>
      </c>
      <c r="F21" s="595" t="s">
        <v>2907</v>
      </c>
      <c r="G21" s="328" t="s">
        <v>2908</v>
      </c>
      <c r="H21" s="355" t="s">
        <v>2635</v>
      </c>
      <c r="I21" s="328" t="s">
        <v>2909</v>
      </c>
      <c r="J21" s="355" t="s">
        <v>2635</v>
      </c>
      <c r="K21" s="355" t="s">
        <v>2635</v>
      </c>
      <c r="L21" s="355" t="s">
        <v>2635</v>
      </c>
      <c r="M21" s="328" t="s">
        <v>2910</v>
      </c>
      <c r="N21" s="328" t="s">
        <v>2639</v>
      </c>
    </row>
    <row r="22" spans="1:45">
      <c r="A22" s="377" t="s">
        <v>2911</v>
      </c>
      <c r="B22" s="14" t="s">
        <v>56</v>
      </c>
      <c r="C22" s="14"/>
      <c r="D22" s="355" t="s">
        <v>2635</v>
      </c>
      <c r="E22" s="355" t="s">
        <v>2635</v>
      </c>
      <c r="F22" s="595" t="s">
        <v>2912</v>
      </c>
      <c r="G22" s="328" t="s">
        <v>2912</v>
      </c>
      <c r="H22" s="355" t="s">
        <v>2635</v>
      </c>
      <c r="I22" s="328" t="s">
        <v>2912</v>
      </c>
      <c r="J22" s="355" t="s">
        <v>2635</v>
      </c>
      <c r="K22" s="355" t="s">
        <v>2635</v>
      </c>
      <c r="L22" s="355" t="s">
        <v>2635</v>
      </c>
      <c r="M22" s="328" t="s">
        <v>2912</v>
      </c>
      <c r="N22" s="328" t="s">
        <v>2912</v>
      </c>
    </row>
    <row r="23" spans="1:45">
      <c r="A23" s="377" t="s">
        <v>2913</v>
      </c>
      <c r="B23" s="14" t="s">
        <v>56</v>
      </c>
      <c r="C23" s="14"/>
      <c r="D23" s="355" t="s">
        <v>2635</v>
      </c>
      <c r="E23" s="355" t="s">
        <v>2635</v>
      </c>
      <c r="F23" s="595" t="s">
        <v>2877</v>
      </c>
      <c r="G23" s="328" t="s">
        <v>2877</v>
      </c>
      <c r="H23" s="355" t="s">
        <v>2635</v>
      </c>
      <c r="I23" s="328" t="s">
        <v>2877</v>
      </c>
      <c r="J23" s="355" t="s">
        <v>2635</v>
      </c>
      <c r="K23" s="355" t="s">
        <v>2635</v>
      </c>
      <c r="L23" s="355" t="s">
        <v>2635</v>
      </c>
      <c r="M23" s="328" t="s">
        <v>2877</v>
      </c>
      <c r="N23" s="328" t="s">
        <v>2877</v>
      </c>
    </row>
    <row r="24" spans="1:45">
      <c r="A24" s="377" t="s">
        <v>2914</v>
      </c>
      <c r="B24" s="14" t="s">
        <v>56</v>
      </c>
      <c r="C24" s="14"/>
      <c r="D24" s="355" t="s">
        <v>2635</v>
      </c>
      <c r="E24" s="355" t="s">
        <v>2635</v>
      </c>
      <c r="F24" s="595" t="s">
        <v>2915</v>
      </c>
      <c r="G24" s="328" t="s">
        <v>2915</v>
      </c>
      <c r="H24" s="355" t="s">
        <v>2635</v>
      </c>
      <c r="I24" s="328" t="s">
        <v>2915</v>
      </c>
      <c r="J24" s="355" t="s">
        <v>2635</v>
      </c>
      <c r="K24" s="355" t="s">
        <v>2635</v>
      </c>
      <c r="L24" s="355" t="s">
        <v>2635</v>
      </c>
      <c r="M24" s="328" t="s">
        <v>2915</v>
      </c>
      <c r="N24" s="328" t="s">
        <v>2915</v>
      </c>
    </row>
    <row r="25" spans="1:45" ht="57.95" customHeight="1">
      <c r="A25" s="377" t="s">
        <v>2916</v>
      </c>
      <c r="B25" s="14" t="s">
        <v>56</v>
      </c>
      <c r="C25" s="14"/>
      <c r="D25" s="355" t="s">
        <v>2635</v>
      </c>
      <c r="E25" s="355" t="s">
        <v>2635</v>
      </c>
      <c r="F25" s="595" t="s">
        <v>2917</v>
      </c>
      <c r="G25" s="595" t="s">
        <v>2917</v>
      </c>
      <c r="H25" s="355" t="s">
        <v>2635</v>
      </c>
      <c r="I25" s="595" t="s">
        <v>2917</v>
      </c>
      <c r="J25" s="355" t="s">
        <v>2635</v>
      </c>
      <c r="K25" s="355" t="s">
        <v>2635</v>
      </c>
      <c r="L25" s="355" t="s">
        <v>2635</v>
      </c>
      <c r="M25" s="595" t="s">
        <v>2917</v>
      </c>
      <c r="N25" s="595" t="s">
        <v>2917</v>
      </c>
    </row>
    <row r="26" spans="1:45" ht="87" customHeight="1">
      <c r="A26" s="377" t="s">
        <v>2918</v>
      </c>
      <c r="B26" s="14" t="s">
        <v>56</v>
      </c>
      <c r="C26" s="14"/>
      <c r="D26" s="355" t="s">
        <v>2635</v>
      </c>
      <c r="E26" s="355" t="s">
        <v>2635</v>
      </c>
      <c r="F26" s="595" t="s">
        <v>2919</v>
      </c>
      <c r="G26" s="595" t="s">
        <v>2919</v>
      </c>
      <c r="H26" s="355" t="s">
        <v>2635</v>
      </c>
      <c r="I26" s="595" t="s">
        <v>2919</v>
      </c>
      <c r="J26" s="355" t="s">
        <v>2635</v>
      </c>
      <c r="K26" s="355" t="s">
        <v>2635</v>
      </c>
      <c r="L26" s="355" t="s">
        <v>2635</v>
      </c>
      <c r="M26" s="595" t="s">
        <v>2919</v>
      </c>
      <c r="N26" s="595" t="s">
        <v>2919</v>
      </c>
    </row>
    <row r="27" spans="1:45" s="376" customFormat="1">
      <c r="A27" s="373" t="s">
        <v>2920</v>
      </c>
      <c r="B27" s="374" t="s">
        <v>56</v>
      </c>
      <c r="C27" s="374"/>
      <c r="D27" s="355" t="s">
        <v>2635</v>
      </c>
      <c r="E27" s="355" t="s">
        <v>2635</v>
      </c>
      <c r="F27" s="355" t="s">
        <v>2635</v>
      </c>
      <c r="G27" s="375" t="s">
        <v>2635</v>
      </c>
      <c r="H27" s="355" t="s">
        <v>2635</v>
      </c>
      <c r="I27" s="375" t="s">
        <v>2635</v>
      </c>
      <c r="J27" s="355" t="s">
        <v>2635</v>
      </c>
      <c r="K27" s="355" t="s">
        <v>2635</v>
      </c>
      <c r="L27" s="355" t="s">
        <v>2635</v>
      </c>
      <c r="M27" s="375" t="s">
        <v>2635</v>
      </c>
      <c r="N27" s="375" t="s">
        <v>2635</v>
      </c>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row>
    <row r="28" spans="1:45" ht="29.1" customHeight="1">
      <c r="A28" s="377" t="s">
        <v>2921</v>
      </c>
      <c r="B28" s="14" t="s">
        <v>56</v>
      </c>
      <c r="C28" s="14"/>
      <c r="D28" s="355" t="s">
        <v>2635</v>
      </c>
      <c r="E28" s="355" t="s">
        <v>2635</v>
      </c>
      <c r="F28" s="595" t="s">
        <v>2922</v>
      </c>
      <c r="G28" s="328" t="s">
        <v>2635</v>
      </c>
      <c r="H28" s="355" t="s">
        <v>2635</v>
      </c>
      <c r="I28" s="328" t="s">
        <v>2635</v>
      </c>
      <c r="J28" s="355" t="s">
        <v>2635</v>
      </c>
      <c r="K28" s="355" t="s">
        <v>2635</v>
      </c>
      <c r="L28" s="355" t="s">
        <v>2635</v>
      </c>
      <c r="M28" s="328" t="s">
        <v>2635</v>
      </c>
      <c r="N28" s="328" t="s">
        <v>2635</v>
      </c>
    </row>
    <row r="29" spans="1:45">
      <c r="A29" s="367" t="s">
        <v>2923</v>
      </c>
      <c r="B29" s="368"/>
      <c r="C29" s="368"/>
      <c r="D29" s="369"/>
      <c r="E29" s="370"/>
      <c r="F29" s="369"/>
      <c r="G29" s="369"/>
      <c r="H29" s="370"/>
      <c r="I29" s="370"/>
      <c r="J29" s="370"/>
      <c r="K29" s="369"/>
      <c r="L29" s="369"/>
      <c r="M29" s="370"/>
      <c r="N29" s="370"/>
    </row>
    <row r="30" spans="1:45">
      <c r="A30" s="378" t="s">
        <v>2924</v>
      </c>
      <c r="B30" s="379"/>
      <c r="C30" s="379"/>
      <c r="D30" s="380"/>
      <c r="E30" s="381"/>
      <c r="F30" s="380"/>
      <c r="G30" s="380"/>
      <c r="H30" s="381"/>
      <c r="I30" s="381"/>
      <c r="J30" s="381"/>
      <c r="K30" s="380"/>
      <c r="L30" s="380"/>
      <c r="M30" s="381"/>
      <c r="N30" s="381"/>
    </row>
    <row r="31" spans="1:45">
      <c r="A31" s="377" t="s">
        <v>2925</v>
      </c>
      <c r="B31" s="382" t="s">
        <v>2926</v>
      </c>
      <c r="C31" s="382"/>
      <c r="D31" s="355" t="s">
        <v>2635</v>
      </c>
      <c r="E31" s="355" t="s">
        <v>2635</v>
      </c>
      <c r="F31" s="355" t="s">
        <v>2635</v>
      </c>
      <c r="G31" s="355" t="s">
        <v>2635</v>
      </c>
      <c r="H31" s="355" t="s">
        <v>2635</v>
      </c>
      <c r="I31" s="355" t="s">
        <v>2635</v>
      </c>
      <c r="J31" s="355" t="s">
        <v>2635</v>
      </c>
      <c r="K31" s="355" t="s">
        <v>2635</v>
      </c>
      <c r="L31" s="355" t="s">
        <v>2635</v>
      </c>
      <c r="M31" s="355" t="s">
        <v>2635</v>
      </c>
      <c r="N31" s="355" t="s">
        <v>2635</v>
      </c>
    </row>
    <row r="32" spans="1:45">
      <c r="A32" s="377" t="s">
        <v>2927</v>
      </c>
      <c r="B32" s="382" t="s">
        <v>2928</v>
      </c>
      <c r="C32" s="382"/>
      <c r="D32" s="355" t="str">
        <f>'BBP Crosswalk'!AA7</f>
        <v>n/a</v>
      </c>
      <c r="E32" s="355" t="str">
        <f>'BBP Crosswalk'!AB7</f>
        <v>n/a</v>
      </c>
      <c r="F32" s="383">
        <f>'BBP Crosswalk'!AC7</f>
        <v>1.4994000000000001</v>
      </c>
      <c r="G32" s="383">
        <f>'BBP Crosswalk'!AD7</f>
        <v>1.2</v>
      </c>
      <c r="H32" s="355" t="str">
        <f>'BBP Crosswalk'!AE7</f>
        <v>n/a</v>
      </c>
      <c r="I32" s="384">
        <f>'BBP Crosswalk'!AF7</f>
        <v>1</v>
      </c>
      <c r="J32" s="355" t="str">
        <f>'BBP Crosswalk'!AG7</f>
        <v>n/a</v>
      </c>
      <c r="K32" s="355" t="str">
        <f>'BBP Crosswalk'!AH7</f>
        <v>n/a</v>
      </c>
      <c r="L32" s="355">
        <f>'BBP Crosswalk'!AI7</f>
        <v>1.1263700000000001</v>
      </c>
      <c r="M32" s="383">
        <f>'BBP Crosswalk'!AJ7</f>
        <v>0.89115149999999987</v>
      </c>
      <c r="N32" s="384">
        <f>'BBP Crosswalk'!AK7</f>
        <v>1.4</v>
      </c>
    </row>
    <row r="33" spans="1:45" s="376" customFormat="1">
      <c r="A33" s="373" t="s">
        <v>2929</v>
      </c>
      <c r="B33" s="385" t="s">
        <v>2930</v>
      </c>
      <c r="C33" s="385"/>
      <c r="D33" s="355" t="s">
        <v>2635</v>
      </c>
      <c r="E33" s="375" t="s">
        <v>2635</v>
      </c>
      <c r="F33" s="355" t="s">
        <v>2635</v>
      </c>
      <c r="G33" s="355" t="s">
        <v>2635</v>
      </c>
      <c r="H33" s="355" t="s">
        <v>2635</v>
      </c>
      <c r="I33" s="355" t="s">
        <v>2635</v>
      </c>
      <c r="J33" s="355" t="s">
        <v>2635</v>
      </c>
      <c r="K33" s="355" t="s">
        <v>2635</v>
      </c>
      <c r="L33" s="355" t="s">
        <v>2635</v>
      </c>
      <c r="M33" s="355" t="s">
        <v>2635</v>
      </c>
      <c r="N33" s="355" t="s">
        <v>2635</v>
      </c>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row>
    <row r="34" spans="1:45" s="376" customFormat="1">
      <c r="A34" s="373" t="s">
        <v>2931</v>
      </c>
      <c r="B34" s="385" t="s">
        <v>2932</v>
      </c>
      <c r="C34" s="385"/>
      <c r="D34" s="355" t="s">
        <v>2635</v>
      </c>
      <c r="E34" s="375" t="s">
        <v>2635</v>
      </c>
      <c r="F34" s="355" t="s">
        <v>2635</v>
      </c>
      <c r="G34" s="355" t="s">
        <v>2635</v>
      </c>
      <c r="H34" s="355" t="s">
        <v>2635</v>
      </c>
      <c r="I34" s="355" t="s">
        <v>2635</v>
      </c>
      <c r="J34" s="355" t="s">
        <v>2635</v>
      </c>
      <c r="K34" s="355" t="s">
        <v>2635</v>
      </c>
      <c r="L34" s="355" t="s">
        <v>2635</v>
      </c>
      <c r="M34" s="355" t="s">
        <v>2635</v>
      </c>
      <c r="N34" s="355" t="s">
        <v>2635</v>
      </c>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row>
    <row r="35" spans="1:45" s="376" customFormat="1">
      <c r="A35" s="373" t="s">
        <v>2933</v>
      </c>
      <c r="B35" s="385" t="s">
        <v>2764</v>
      </c>
      <c r="C35" s="385"/>
      <c r="D35" s="355" t="s">
        <v>2635</v>
      </c>
      <c r="E35" s="375" t="s">
        <v>2635</v>
      </c>
      <c r="F35" s="355" t="s">
        <v>2635</v>
      </c>
      <c r="G35" s="355" t="s">
        <v>2635</v>
      </c>
      <c r="H35" s="355" t="s">
        <v>2635</v>
      </c>
      <c r="I35" s="355" t="s">
        <v>2635</v>
      </c>
      <c r="J35" s="355" t="s">
        <v>2635</v>
      </c>
      <c r="K35" s="355" t="s">
        <v>2635</v>
      </c>
      <c r="L35" s="355" t="s">
        <v>2635</v>
      </c>
      <c r="M35" s="355" t="s">
        <v>2635</v>
      </c>
      <c r="N35" s="355" t="s">
        <v>2635</v>
      </c>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row>
    <row r="36" spans="1:45" s="376" customFormat="1">
      <c r="A36" s="373" t="s">
        <v>2934</v>
      </c>
      <c r="B36" s="385" t="s">
        <v>2935</v>
      </c>
      <c r="C36" s="385"/>
      <c r="D36" s="355" t="s">
        <v>2635</v>
      </c>
      <c r="E36" s="375" t="s">
        <v>2635</v>
      </c>
      <c r="F36" s="355" t="s">
        <v>2635</v>
      </c>
      <c r="G36" s="355" t="s">
        <v>2635</v>
      </c>
      <c r="H36" s="355" t="s">
        <v>2635</v>
      </c>
      <c r="I36" s="355" t="s">
        <v>2635</v>
      </c>
      <c r="J36" s="355" t="s">
        <v>2635</v>
      </c>
      <c r="K36" s="355" t="s">
        <v>2635</v>
      </c>
      <c r="L36" s="355" t="s">
        <v>2635</v>
      </c>
      <c r="M36" s="355" t="s">
        <v>2635</v>
      </c>
      <c r="N36" s="355" t="s">
        <v>2635</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row>
    <row r="37" spans="1:45">
      <c r="A37" s="378" t="s">
        <v>2936</v>
      </c>
      <c r="B37" s="379"/>
      <c r="C37" s="379"/>
      <c r="D37" s="380"/>
      <c r="E37" s="381"/>
      <c r="F37" s="380"/>
      <c r="G37" s="380"/>
      <c r="H37" s="380"/>
      <c r="I37" s="380"/>
      <c r="J37" s="380"/>
      <c r="K37" s="380"/>
      <c r="L37" s="380"/>
      <c r="M37" s="380"/>
      <c r="N37" s="380"/>
    </row>
    <row r="38" spans="1:45">
      <c r="A38" s="727" t="s">
        <v>2937</v>
      </c>
      <c r="B38" s="727" t="s">
        <v>2884</v>
      </c>
      <c r="C38" s="357" t="s">
        <v>2741</v>
      </c>
      <c r="D38" s="355" t="s">
        <v>2635</v>
      </c>
      <c r="E38" s="355" t="s">
        <v>2635</v>
      </c>
      <c r="F38" s="371">
        <f>F7</f>
        <v>60</v>
      </c>
      <c r="G38" s="372">
        <f>G7</f>
        <v>120</v>
      </c>
      <c r="H38" s="355" t="s">
        <v>2635</v>
      </c>
      <c r="I38" s="372">
        <f>I7</f>
        <v>45</v>
      </c>
      <c r="J38" s="386">
        <v>120</v>
      </c>
      <c r="K38" s="355" t="s">
        <v>2635</v>
      </c>
      <c r="L38" s="355" t="s">
        <v>2635</v>
      </c>
      <c r="M38" s="357">
        <v>480</v>
      </c>
      <c r="N38" s="357">
        <v>480</v>
      </c>
    </row>
    <row r="39" spans="1:45">
      <c r="A39" s="728"/>
      <c r="B39" s="728"/>
      <c r="C39" s="357" t="s">
        <v>2744</v>
      </c>
      <c r="D39" s="355" t="s">
        <v>2635</v>
      </c>
      <c r="E39" s="355" t="s">
        <v>2635</v>
      </c>
      <c r="F39" s="371">
        <f t="shared" ref="F39:G40" si="0">F8</f>
        <v>30</v>
      </c>
      <c r="G39" s="372">
        <f t="shared" si="0"/>
        <v>60</v>
      </c>
      <c r="H39" s="355" t="s">
        <v>2635</v>
      </c>
      <c r="I39" s="372">
        <f t="shared" ref="I39:I40" si="1">I8</f>
        <v>30</v>
      </c>
      <c r="J39" s="386">
        <v>60</v>
      </c>
      <c r="K39" s="355" t="s">
        <v>2635</v>
      </c>
      <c r="L39" s="355" t="s">
        <v>2635</v>
      </c>
      <c r="M39" s="357">
        <v>240</v>
      </c>
      <c r="N39" s="357">
        <v>240</v>
      </c>
    </row>
    <row r="40" spans="1:45">
      <c r="A40" s="729"/>
      <c r="B40" s="729"/>
      <c r="C40" s="357" t="s">
        <v>2745</v>
      </c>
      <c r="D40" s="355" t="s">
        <v>2635</v>
      </c>
      <c r="E40" s="355" t="s">
        <v>2635</v>
      </c>
      <c r="F40" s="371">
        <f t="shared" si="0"/>
        <v>15</v>
      </c>
      <c r="G40" s="372">
        <f t="shared" si="0"/>
        <v>30</v>
      </c>
      <c r="H40" s="355" t="s">
        <v>2635</v>
      </c>
      <c r="I40" s="372">
        <f t="shared" si="1"/>
        <v>15</v>
      </c>
      <c r="J40" s="386">
        <v>30</v>
      </c>
      <c r="K40" s="355" t="s">
        <v>2635</v>
      </c>
      <c r="L40" s="355" t="s">
        <v>2635</v>
      </c>
      <c r="M40" s="357">
        <v>120</v>
      </c>
      <c r="N40" s="357">
        <v>120</v>
      </c>
    </row>
    <row r="41" spans="1:45" s="376" customFormat="1">
      <c r="A41" s="387" t="s">
        <v>2938</v>
      </c>
      <c r="B41" s="385" t="s">
        <v>2939</v>
      </c>
      <c r="C41" s="385"/>
      <c r="D41" s="355" t="s">
        <v>2635</v>
      </c>
      <c r="E41" s="355" t="s">
        <v>2635</v>
      </c>
      <c r="F41" s="355" t="s">
        <v>2635</v>
      </c>
      <c r="G41" s="355" t="s">
        <v>2635</v>
      </c>
      <c r="H41" s="355" t="s">
        <v>2635</v>
      </c>
      <c r="I41" s="355" t="s">
        <v>2635</v>
      </c>
      <c r="J41" s="355" t="s">
        <v>2635</v>
      </c>
      <c r="K41" s="355" t="s">
        <v>2635</v>
      </c>
      <c r="L41" s="355" t="s">
        <v>2635</v>
      </c>
      <c r="M41" s="355" t="s">
        <v>2635</v>
      </c>
      <c r="N41" s="355" t="s">
        <v>2635</v>
      </c>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row>
    <row r="42" spans="1:45">
      <c r="A42" s="727" t="s">
        <v>2940</v>
      </c>
      <c r="B42" s="727" t="s">
        <v>2941</v>
      </c>
      <c r="C42" s="357" t="s">
        <v>2741</v>
      </c>
      <c r="D42" s="355" t="str">
        <f>'BBP Crosswalk'!AA8</f>
        <v>n/a</v>
      </c>
      <c r="E42" s="355" t="str">
        <f>'BBP Crosswalk'!AB8</f>
        <v>n/a</v>
      </c>
      <c r="F42" s="388">
        <f>'BBP Crosswalk'!AC8</f>
        <v>466.01352000000003</v>
      </c>
      <c r="G42" s="388">
        <f>'BBP Crosswalk'!AD8</f>
        <v>4542.4919999999993</v>
      </c>
      <c r="H42" s="355" t="str">
        <f>'BBP Crosswalk'!AE8</f>
        <v>n/a</v>
      </c>
      <c r="I42" s="371">
        <f>'BBP Crosswalk'!AF8</f>
        <v>200</v>
      </c>
      <c r="J42" s="355" t="str">
        <f>'BBP Crosswalk'!AG8</f>
        <v>n/a</v>
      </c>
      <c r="K42" s="355" t="str">
        <f>'BBP Crosswalk'!AH8</f>
        <v>n/a</v>
      </c>
      <c r="L42" s="355" t="str">
        <f>'BBP Crosswalk'!AI8</f>
        <v>n/a</v>
      </c>
      <c r="M42" s="388">
        <f>'BBP Crosswalk'!AJ8</f>
        <v>16866.868998074999</v>
      </c>
      <c r="N42" s="388">
        <f>'BBP Crosswalk'!AK8</f>
        <v>26497.87</v>
      </c>
    </row>
    <row r="43" spans="1:45">
      <c r="A43" s="728"/>
      <c r="B43" s="728"/>
      <c r="C43" s="357" t="s">
        <v>2744</v>
      </c>
      <c r="D43" s="355" t="str">
        <f>'BBP Crosswalk'!AA9</f>
        <v>n/a</v>
      </c>
      <c r="E43" s="355" t="str">
        <f>'BBP Crosswalk'!AB9</f>
        <v>n/a</v>
      </c>
      <c r="F43" s="388">
        <f>'BBP Crosswalk'!AC9</f>
        <v>233.00676000000001</v>
      </c>
      <c r="G43" s="388">
        <f>'BBP Crosswalk'!AD9</f>
        <v>2555.1517499999995</v>
      </c>
      <c r="H43" s="355" t="str">
        <f>'BBP Crosswalk'!AE9</f>
        <v>n/a</v>
      </c>
      <c r="I43" s="371">
        <f>'BBP Crosswalk'!AF9</f>
        <v>150</v>
      </c>
      <c r="J43" s="355" t="str">
        <f>'BBP Crosswalk'!AG9</f>
        <v>n/a</v>
      </c>
      <c r="K43" s="355" t="str">
        <f>'BBP Crosswalk'!AH9</f>
        <v>n/a</v>
      </c>
      <c r="L43" s="355" t="str">
        <f>'BBP Crosswalk'!AI9</f>
        <v>n/a</v>
      </c>
      <c r="M43" s="388">
        <f>'BBP Crosswalk'!AJ9</f>
        <v>3373.3737996149994</v>
      </c>
      <c r="N43" s="388">
        <f>'BBP Crosswalk'!AK9</f>
        <v>13248.934999999999</v>
      </c>
    </row>
    <row r="44" spans="1:45">
      <c r="A44" s="729"/>
      <c r="B44" s="729"/>
      <c r="C44" s="357" t="s">
        <v>2745</v>
      </c>
      <c r="D44" s="355" t="str">
        <f>'BBP Crosswalk'!AA10</f>
        <v>n/a</v>
      </c>
      <c r="E44" s="355" t="str">
        <f>'BBP Crosswalk'!AB10</f>
        <v>n/a</v>
      </c>
      <c r="F44" s="388">
        <f>'BBP Crosswalk'!AC10</f>
        <v>116.50338000000001</v>
      </c>
      <c r="G44" s="388">
        <f>'BBP Crosswalk'!AD10</f>
        <v>567.81149999999991</v>
      </c>
      <c r="H44" s="355" t="str">
        <f>'BBP Crosswalk'!AE10</f>
        <v>n/a</v>
      </c>
      <c r="I44" s="371">
        <f>'BBP Crosswalk'!AF10</f>
        <v>100</v>
      </c>
      <c r="J44" s="355" t="str">
        <f>'BBP Crosswalk'!AG10</f>
        <v>n/a</v>
      </c>
      <c r="K44" s="355" t="str">
        <f>'BBP Crosswalk'!AH10</f>
        <v>n/a</v>
      </c>
      <c r="L44" s="355" t="str">
        <f>'BBP Crosswalk'!AI10</f>
        <v>n/a</v>
      </c>
      <c r="M44" s="388">
        <f>'BBP Crosswalk'!AJ10</f>
        <v>316.53701280000001</v>
      </c>
      <c r="N44" s="388">
        <f>'BBP Crosswalk'!AK10</f>
        <v>6624.4674999999997</v>
      </c>
    </row>
    <row r="45" spans="1:45">
      <c r="A45" s="389" t="s">
        <v>2942</v>
      </c>
      <c r="B45" s="382" t="s">
        <v>2943</v>
      </c>
      <c r="C45" s="382"/>
      <c r="D45" s="355" t="s">
        <v>2635</v>
      </c>
      <c r="E45" s="355" t="s">
        <v>2635</v>
      </c>
      <c r="F45" s="595">
        <f>F5</f>
        <v>52</v>
      </c>
      <c r="G45" s="14">
        <f>G5</f>
        <v>52</v>
      </c>
      <c r="H45" s="355" t="s">
        <v>2635</v>
      </c>
      <c r="I45" s="595">
        <f>I5</f>
        <v>52</v>
      </c>
      <c r="J45" s="355" t="s">
        <v>2635</v>
      </c>
      <c r="K45" s="355" t="s">
        <v>2635</v>
      </c>
      <c r="L45" s="355" t="s">
        <v>2635</v>
      </c>
      <c r="M45" s="595">
        <f>M5</f>
        <v>2</v>
      </c>
      <c r="N45" s="595">
        <f>N5</f>
        <v>2</v>
      </c>
    </row>
    <row r="46" spans="1:45">
      <c r="A46" s="389" t="s">
        <v>2944</v>
      </c>
      <c r="B46" s="382" t="s">
        <v>2882</v>
      </c>
      <c r="C46" s="382"/>
      <c r="D46" s="355" t="s">
        <v>2635</v>
      </c>
      <c r="E46" s="355" t="s">
        <v>2635</v>
      </c>
      <c r="F46" s="595">
        <f>F6</f>
        <v>1</v>
      </c>
      <c r="G46" s="14">
        <f>G6</f>
        <v>1</v>
      </c>
      <c r="H46" s="355" t="s">
        <v>2635</v>
      </c>
      <c r="I46" s="595">
        <f>I6</f>
        <v>1</v>
      </c>
      <c r="J46" s="355" t="s">
        <v>2635</v>
      </c>
      <c r="K46" s="355" t="s">
        <v>2635</v>
      </c>
      <c r="L46" s="355" t="s">
        <v>2635</v>
      </c>
      <c r="M46" s="595">
        <f>M6</f>
        <v>1</v>
      </c>
      <c r="N46" s="595">
        <f>N6</f>
        <v>1</v>
      </c>
    </row>
    <row r="47" spans="1:45">
      <c r="A47" s="378" t="s">
        <v>2945</v>
      </c>
      <c r="B47" s="379"/>
      <c r="C47" s="379"/>
      <c r="D47" s="380"/>
      <c r="E47" s="381"/>
      <c r="F47" s="380"/>
      <c r="G47" s="380"/>
      <c r="H47" s="380"/>
      <c r="I47" s="380"/>
      <c r="J47" s="381"/>
      <c r="K47" s="380"/>
      <c r="L47" s="380"/>
      <c r="M47" s="381"/>
      <c r="N47" s="381"/>
    </row>
    <row r="48" spans="1:45">
      <c r="A48" s="377" t="s">
        <v>2946</v>
      </c>
      <c r="B48" s="382" t="s">
        <v>2947</v>
      </c>
      <c r="C48" s="382"/>
      <c r="D48" s="355" t="s">
        <v>2635</v>
      </c>
      <c r="E48" s="355" t="s">
        <v>2635</v>
      </c>
      <c r="F48" s="384" t="s">
        <v>2635</v>
      </c>
      <c r="G48" s="384" t="s">
        <v>2635</v>
      </c>
      <c r="H48" s="355" t="s">
        <v>2635</v>
      </c>
      <c r="I48" s="328">
        <v>0.06</v>
      </c>
      <c r="J48" s="355" t="s">
        <v>2635</v>
      </c>
      <c r="K48" s="355" t="s">
        <v>2635</v>
      </c>
      <c r="L48" s="355" t="s">
        <v>2635</v>
      </c>
      <c r="M48" s="328">
        <v>0.06</v>
      </c>
      <c r="N48" s="328">
        <v>0.06</v>
      </c>
    </row>
    <row r="49" spans="1:45">
      <c r="A49" s="377" t="s">
        <v>2948</v>
      </c>
      <c r="B49" s="382" t="s">
        <v>2947</v>
      </c>
      <c r="C49" s="382"/>
      <c r="D49" s="355" t="s">
        <v>2635</v>
      </c>
      <c r="E49" s="355" t="s">
        <v>2635</v>
      </c>
      <c r="F49" s="384" t="s">
        <v>2635</v>
      </c>
      <c r="G49" s="384" t="s">
        <v>2635</v>
      </c>
      <c r="H49" s="355" t="s">
        <v>2635</v>
      </c>
      <c r="I49" s="328" t="s">
        <v>2635</v>
      </c>
      <c r="J49" s="355" t="s">
        <v>2635</v>
      </c>
      <c r="K49" s="355" t="s">
        <v>2635</v>
      </c>
      <c r="L49" s="355" t="s">
        <v>2635</v>
      </c>
      <c r="M49" s="328" t="s">
        <v>2635</v>
      </c>
      <c r="N49" s="328" t="s">
        <v>2635</v>
      </c>
    </row>
    <row r="50" spans="1:45">
      <c r="A50" s="378" t="s">
        <v>2949</v>
      </c>
      <c r="B50" s="379"/>
      <c r="C50" s="379"/>
      <c r="D50" s="380"/>
      <c r="E50" s="381"/>
      <c r="F50" s="380"/>
      <c r="G50" s="380"/>
      <c r="H50" s="380"/>
      <c r="I50" s="381"/>
      <c r="J50" s="381"/>
      <c r="K50" s="380"/>
      <c r="L50" s="380"/>
      <c r="M50" s="381"/>
      <c r="N50" s="381"/>
    </row>
    <row r="51" spans="1:45" s="376" customFormat="1">
      <c r="A51" s="373" t="s">
        <v>2950</v>
      </c>
      <c r="B51" s="385" t="s">
        <v>2932</v>
      </c>
      <c r="C51" s="385"/>
      <c r="D51" s="355" t="s">
        <v>2635</v>
      </c>
      <c r="E51" s="375" t="s">
        <v>2635</v>
      </c>
      <c r="F51" s="355" t="s">
        <v>2635</v>
      </c>
      <c r="G51" s="355" t="s">
        <v>2635</v>
      </c>
      <c r="H51" s="355" t="s">
        <v>2635</v>
      </c>
      <c r="I51" s="355" t="s">
        <v>2635</v>
      </c>
      <c r="J51" s="375" t="s">
        <v>2635</v>
      </c>
      <c r="K51" s="355" t="s">
        <v>2635</v>
      </c>
      <c r="L51" s="355" t="s">
        <v>2635</v>
      </c>
      <c r="M51" s="375" t="s">
        <v>2635</v>
      </c>
      <c r="N51" s="375" t="s">
        <v>2635</v>
      </c>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5" s="376" customFormat="1">
      <c r="A52" s="373" t="s">
        <v>2951</v>
      </c>
      <c r="B52" s="385" t="s">
        <v>2952</v>
      </c>
      <c r="C52" s="385"/>
      <c r="D52" s="355" t="s">
        <v>2635</v>
      </c>
      <c r="E52" s="375" t="s">
        <v>2635</v>
      </c>
      <c r="F52" s="355" t="s">
        <v>2635</v>
      </c>
      <c r="G52" s="355" t="s">
        <v>2635</v>
      </c>
      <c r="H52" s="355" t="s">
        <v>2635</v>
      </c>
      <c r="I52" s="355" t="s">
        <v>2635</v>
      </c>
      <c r="J52" s="375" t="s">
        <v>2635</v>
      </c>
      <c r="K52" s="355" t="s">
        <v>2635</v>
      </c>
      <c r="L52" s="355" t="s">
        <v>2635</v>
      </c>
      <c r="M52" s="375" t="s">
        <v>2635</v>
      </c>
      <c r="N52" s="375" t="s">
        <v>2635</v>
      </c>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5" s="376" customFormat="1">
      <c r="A53" s="373" t="s">
        <v>2953</v>
      </c>
      <c r="B53" s="385" t="s">
        <v>2954</v>
      </c>
      <c r="C53" s="385"/>
      <c r="D53" s="355" t="s">
        <v>2635</v>
      </c>
      <c r="E53" s="375" t="s">
        <v>2635</v>
      </c>
      <c r="F53" s="355" t="s">
        <v>2635</v>
      </c>
      <c r="G53" s="355" t="s">
        <v>2635</v>
      </c>
      <c r="H53" s="355" t="s">
        <v>2635</v>
      </c>
      <c r="I53" s="355" t="s">
        <v>2635</v>
      </c>
      <c r="J53" s="375" t="s">
        <v>2635</v>
      </c>
      <c r="K53" s="355" t="s">
        <v>2635</v>
      </c>
      <c r="L53" s="355" t="s">
        <v>2635</v>
      </c>
      <c r="M53" s="375" t="s">
        <v>2635</v>
      </c>
      <c r="N53" s="375" t="s">
        <v>2635</v>
      </c>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5" s="376" customFormat="1">
      <c r="A54" s="373" t="s">
        <v>2955</v>
      </c>
      <c r="B54" s="385" t="s">
        <v>2956</v>
      </c>
      <c r="C54" s="385"/>
      <c r="D54" s="355" t="s">
        <v>2635</v>
      </c>
      <c r="E54" s="375" t="s">
        <v>2635</v>
      </c>
      <c r="F54" s="355" t="s">
        <v>2635</v>
      </c>
      <c r="G54" s="355" t="s">
        <v>2635</v>
      </c>
      <c r="H54" s="355" t="s">
        <v>2635</v>
      </c>
      <c r="I54" s="355" t="s">
        <v>2635</v>
      </c>
      <c r="J54" s="375" t="s">
        <v>2635</v>
      </c>
      <c r="K54" s="355" t="s">
        <v>2635</v>
      </c>
      <c r="L54" s="355" t="s">
        <v>2635</v>
      </c>
      <c r="M54" s="375" t="s">
        <v>2635</v>
      </c>
      <c r="N54" s="375" t="s">
        <v>2635</v>
      </c>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5" s="376" customFormat="1">
      <c r="A55" s="373" t="s">
        <v>2957</v>
      </c>
      <c r="B55" s="385" t="s">
        <v>2932</v>
      </c>
      <c r="C55" s="385"/>
      <c r="D55" s="355" t="s">
        <v>2635</v>
      </c>
      <c r="E55" s="375" t="s">
        <v>2635</v>
      </c>
      <c r="F55" s="355" t="s">
        <v>2635</v>
      </c>
      <c r="G55" s="355" t="s">
        <v>2635</v>
      </c>
      <c r="H55" s="355" t="s">
        <v>2635</v>
      </c>
      <c r="I55" s="355" t="s">
        <v>2635</v>
      </c>
      <c r="J55" s="375" t="s">
        <v>2635</v>
      </c>
      <c r="K55" s="355" t="s">
        <v>2635</v>
      </c>
      <c r="L55" s="355" t="s">
        <v>2635</v>
      </c>
      <c r="M55" s="375" t="s">
        <v>2635</v>
      </c>
      <c r="N55" s="375" t="s">
        <v>2635</v>
      </c>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5" s="376" customFormat="1">
      <c r="A56" s="373" t="s">
        <v>2958</v>
      </c>
      <c r="B56" s="385" t="s">
        <v>2959</v>
      </c>
      <c r="C56" s="385"/>
      <c r="D56" s="355" t="s">
        <v>2635</v>
      </c>
      <c r="E56" s="375" t="s">
        <v>2635</v>
      </c>
      <c r="F56" s="355" t="s">
        <v>2635</v>
      </c>
      <c r="G56" s="355" t="s">
        <v>2635</v>
      </c>
      <c r="H56" s="355" t="s">
        <v>2635</v>
      </c>
      <c r="I56" s="355" t="s">
        <v>2635</v>
      </c>
      <c r="J56" s="375" t="s">
        <v>2635</v>
      </c>
      <c r="K56" s="355" t="s">
        <v>2635</v>
      </c>
      <c r="L56" s="355" t="s">
        <v>2635</v>
      </c>
      <c r="M56" s="375" t="s">
        <v>2635</v>
      </c>
      <c r="N56" s="375" t="s">
        <v>2635</v>
      </c>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5" s="376" customFormat="1">
      <c r="A57" s="373" t="s">
        <v>2960</v>
      </c>
      <c r="B57" s="385" t="s">
        <v>2961</v>
      </c>
      <c r="C57" s="385"/>
      <c r="D57" s="355" t="s">
        <v>2635</v>
      </c>
      <c r="E57" s="375" t="s">
        <v>2635</v>
      </c>
      <c r="F57" s="355" t="s">
        <v>2635</v>
      </c>
      <c r="G57" s="355" t="s">
        <v>2635</v>
      </c>
      <c r="H57" s="355" t="s">
        <v>2635</v>
      </c>
      <c r="I57" s="355" t="s">
        <v>2635</v>
      </c>
      <c r="J57" s="375" t="s">
        <v>2635</v>
      </c>
      <c r="K57" s="355" t="s">
        <v>2635</v>
      </c>
      <c r="L57" s="355" t="s">
        <v>2635</v>
      </c>
      <c r="M57" s="375" t="s">
        <v>2635</v>
      </c>
      <c r="N57" s="375" t="s">
        <v>2635</v>
      </c>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5" s="376" customFormat="1">
      <c r="A58" s="373" t="s">
        <v>2962</v>
      </c>
      <c r="B58" s="385" t="s">
        <v>2899</v>
      </c>
      <c r="C58" s="385"/>
      <c r="D58" s="355" t="s">
        <v>2635</v>
      </c>
      <c r="E58" s="375" t="s">
        <v>2635</v>
      </c>
      <c r="F58" s="355" t="s">
        <v>2635</v>
      </c>
      <c r="G58" s="355" t="s">
        <v>2635</v>
      </c>
      <c r="H58" s="355" t="s">
        <v>2635</v>
      </c>
      <c r="I58" s="355" t="s">
        <v>2635</v>
      </c>
      <c r="J58" s="375" t="s">
        <v>2635</v>
      </c>
      <c r="K58" s="355" t="s">
        <v>2635</v>
      </c>
      <c r="L58" s="355" t="s">
        <v>2635</v>
      </c>
      <c r="M58" s="375" t="s">
        <v>2635</v>
      </c>
      <c r="N58" s="375" t="s">
        <v>2635</v>
      </c>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5" s="376" customFormat="1">
      <c r="A59" s="373" t="s">
        <v>2963</v>
      </c>
      <c r="B59" s="385" t="s">
        <v>2899</v>
      </c>
      <c r="C59" s="385"/>
      <c r="D59" s="355" t="s">
        <v>2635</v>
      </c>
      <c r="E59" s="355" t="s">
        <v>2635</v>
      </c>
      <c r="F59" s="355" t="s">
        <v>2635</v>
      </c>
      <c r="G59" s="355" t="s">
        <v>2635</v>
      </c>
      <c r="H59" s="355" t="s">
        <v>2635</v>
      </c>
      <c r="I59" s="355" t="s">
        <v>2635</v>
      </c>
      <c r="J59" s="355" t="s">
        <v>2635</v>
      </c>
      <c r="K59" s="355" t="s">
        <v>2635</v>
      </c>
      <c r="L59" s="355" t="s">
        <v>2635</v>
      </c>
      <c r="M59" s="355" t="s">
        <v>2635</v>
      </c>
      <c r="N59" s="355" t="s">
        <v>2635</v>
      </c>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5" s="376" customFormat="1">
      <c r="A60" s="373" t="s">
        <v>2964</v>
      </c>
      <c r="B60" s="385" t="s">
        <v>2965</v>
      </c>
      <c r="C60" s="385"/>
      <c r="D60" s="355" t="s">
        <v>2635</v>
      </c>
      <c r="E60" s="375" t="s">
        <v>2635</v>
      </c>
      <c r="F60" s="355" t="s">
        <v>2635</v>
      </c>
      <c r="G60" s="355" t="s">
        <v>2635</v>
      </c>
      <c r="H60" s="355" t="s">
        <v>2635</v>
      </c>
      <c r="I60" s="355" t="s">
        <v>2635</v>
      </c>
      <c r="J60" s="375" t="s">
        <v>2635</v>
      </c>
      <c r="K60" s="355" t="s">
        <v>2635</v>
      </c>
      <c r="L60" s="355" t="s">
        <v>2635</v>
      </c>
      <c r="M60" s="375" t="s">
        <v>2635</v>
      </c>
      <c r="N60" s="375" t="s">
        <v>2635</v>
      </c>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5" s="376" customFormat="1">
      <c r="A61" s="373" t="s">
        <v>2966</v>
      </c>
      <c r="B61" s="385" t="s">
        <v>2899</v>
      </c>
      <c r="C61" s="385"/>
      <c r="D61" s="355" t="s">
        <v>2635</v>
      </c>
      <c r="E61" s="375" t="s">
        <v>2635</v>
      </c>
      <c r="F61" s="355" t="s">
        <v>2635</v>
      </c>
      <c r="G61" s="355" t="s">
        <v>2635</v>
      </c>
      <c r="H61" s="355" t="s">
        <v>2635</v>
      </c>
      <c r="I61" s="355" t="s">
        <v>2635</v>
      </c>
      <c r="J61" s="375" t="s">
        <v>2635</v>
      </c>
      <c r="K61" s="355" t="s">
        <v>2635</v>
      </c>
      <c r="L61" s="355" t="s">
        <v>2635</v>
      </c>
      <c r="M61" s="375" t="s">
        <v>2635</v>
      </c>
      <c r="N61" s="375" t="s">
        <v>2635</v>
      </c>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5" s="376" customFormat="1">
      <c r="A62" s="373" t="s">
        <v>2967</v>
      </c>
      <c r="B62" s="385" t="s">
        <v>2899</v>
      </c>
      <c r="C62" s="385"/>
      <c r="D62" s="355" t="s">
        <v>2635</v>
      </c>
      <c r="E62" s="375" t="s">
        <v>2635</v>
      </c>
      <c r="F62" s="355" t="s">
        <v>2635</v>
      </c>
      <c r="G62" s="355" t="s">
        <v>2635</v>
      </c>
      <c r="H62" s="355" t="s">
        <v>2635</v>
      </c>
      <c r="I62" s="355" t="s">
        <v>2635</v>
      </c>
      <c r="J62" s="375" t="s">
        <v>2635</v>
      </c>
      <c r="K62" s="355" t="s">
        <v>2635</v>
      </c>
      <c r="L62" s="355" t="s">
        <v>2635</v>
      </c>
      <c r="M62" s="375" t="s">
        <v>2635</v>
      </c>
      <c r="N62" s="375" t="s">
        <v>2635</v>
      </c>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5" s="376" customFormat="1">
      <c r="A63" s="373" t="s">
        <v>2968</v>
      </c>
      <c r="B63" s="385" t="s">
        <v>2899</v>
      </c>
      <c r="C63" s="385"/>
      <c r="D63" s="355" t="s">
        <v>2635</v>
      </c>
      <c r="E63" s="375" t="s">
        <v>2635</v>
      </c>
      <c r="F63" s="355" t="s">
        <v>2635</v>
      </c>
      <c r="G63" s="355" t="s">
        <v>2635</v>
      </c>
      <c r="H63" s="355" t="s">
        <v>2635</v>
      </c>
      <c r="I63" s="355" t="s">
        <v>2635</v>
      </c>
      <c r="J63" s="375" t="s">
        <v>2635</v>
      </c>
      <c r="K63" s="355" t="s">
        <v>2635</v>
      </c>
      <c r="L63" s="355" t="s">
        <v>2635</v>
      </c>
      <c r="M63" s="375" t="s">
        <v>2635</v>
      </c>
      <c r="N63" s="375" t="s">
        <v>2635</v>
      </c>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5" s="376" customFormat="1">
      <c r="A64" s="373" t="s">
        <v>2969</v>
      </c>
      <c r="B64" s="385" t="s">
        <v>2899</v>
      </c>
      <c r="C64" s="385"/>
      <c r="D64" s="355" t="s">
        <v>2635</v>
      </c>
      <c r="E64" s="375" t="s">
        <v>2635</v>
      </c>
      <c r="F64" s="355" t="s">
        <v>2635</v>
      </c>
      <c r="G64" s="355" t="s">
        <v>2635</v>
      </c>
      <c r="H64" s="355" t="s">
        <v>2635</v>
      </c>
      <c r="I64" s="355" t="s">
        <v>2635</v>
      </c>
      <c r="J64" s="375" t="s">
        <v>2635</v>
      </c>
      <c r="K64" s="355" t="s">
        <v>2635</v>
      </c>
      <c r="L64" s="355" t="s">
        <v>2635</v>
      </c>
      <c r="M64" s="375" t="s">
        <v>2635</v>
      </c>
      <c r="N64" s="375" t="s">
        <v>2635</v>
      </c>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s="376" customFormat="1">
      <c r="A65" s="373" t="s">
        <v>2970</v>
      </c>
      <c r="B65" s="385" t="s">
        <v>2899</v>
      </c>
      <c r="C65" s="385"/>
      <c r="D65" s="355" t="s">
        <v>2635</v>
      </c>
      <c r="E65" s="375" t="s">
        <v>2635</v>
      </c>
      <c r="F65" s="355" t="s">
        <v>2635</v>
      </c>
      <c r="G65" s="355" t="s">
        <v>2635</v>
      </c>
      <c r="H65" s="355" t="s">
        <v>2635</v>
      </c>
      <c r="I65" s="355" t="s">
        <v>2635</v>
      </c>
      <c r="J65" s="375" t="s">
        <v>2635</v>
      </c>
      <c r="K65" s="355" t="s">
        <v>2635</v>
      </c>
      <c r="L65" s="355" t="s">
        <v>2635</v>
      </c>
      <c r="M65" s="375" t="s">
        <v>2635</v>
      </c>
      <c r="N65" s="375" t="s">
        <v>2635</v>
      </c>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s="376" customFormat="1">
      <c r="A66" s="373" t="s">
        <v>2971</v>
      </c>
      <c r="B66" s="385" t="s">
        <v>2972</v>
      </c>
      <c r="C66" s="385"/>
      <c r="D66" s="355" t="s">
        <v>2635</v>
      </c>
      <c r="E66" s="375" t="s">
        <v>2635</v>
      </c>
      <c r="F66" s="355" t="s">
        <v>2635</v>
      </c>
      <c r="G66" s="355" t="s">
        <v>2635</v>
      </c>
      <c r="H66" s="355" t="s">
        <v>2635</v>
      </c>
      <c r="I66" s="355" t="s">
        <v>2635</v>
      </c>
      <c r="J66" s="375" t="s">
        <v>2635</v>
      </c>
      <c r="K66" s="355" t="s">
        <v>2635</v>
      </c>
      <c r="L66" s="355" t="s">
        <v>2635</v>
      </c>
      <c r="M66" s="375" t="s">
        <v>2635</v>
      </c>
      <c r="N66" s="375" t="s">
        <v>2635</v>
      </c>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s="376" customFormat="1">
      <c r="A67" s="373" t="s">
        <v>2973</v>
      </c>
      <c r="B67" s="385" t="s">
        <v>2974</v>
      </c>
      <c r="C67" s="385"/>
      <c r="D67" s="355" t="s">
        <v>2635</v>
      </c>
      <c r="E67" s="375" t="s">
        <v>2635</v>
      </c>
      <c r="F67" s="355" t="s">
        <v>2635</v>
      </c>
      <c r="G67" s="355" t="s">
        <v>2635</v>
      </c>
      <c r="H67" s="355" t="s">
        <v>2635</v>
      </c>
      <c r="I67" s="355" t="s">
        <v>2635</v>
      </c>
      <c r="J67" s="375" t="s">
        <v>2635</v>
      </c>
      <c r="K67" s="355" t="s">
        <v>2635</v>
      </c>
      <c r="L67" s="355" t="s">
        <v>2635</v>
      </c>
      <c r="M67" s="375" t="s">
        <v>2635</v>
      </c>
      <c r="N67" s="375" t="s">
        <v>2635</v>
      </c>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s="376" customFormat="1">
      <c r="A68" s="373" t="s">
        <v>2975</v>
      </c>
      <c r="B68" s="385" t="s">
        <v>2882</v>
      </c>
      <c r="C68" s="385"/>
      <c r="D68" s="355" t="s">
        <v>2635</v>
      </c>
      <c r="E68" s="375" t="s">
        <v>2635</v>
      </c>
      <c r="F68" s="355" t="s">
        <v>2635</v>
      </c>
      <c r="G68" s="355" t="s">
        <v>2635</v>
      </c>
      <c r="H68" s="355" t="s">
        <v>2635</v>
      </c>
      <c r="I68" s="355" t="s">
        <v>2635</v>
      </c>
      <c r="J68" s="375" t="s">
        <v>2635</v>
      </c>
      <c r="K68" s="355" t="s">
        <v>2635</v>
      </c>
      <c r="L68" s="355" t="s">
        <v>2635</v>
      </c>
      <c r="M68" s="375" t="s">
        <v>2635</v>
      </c>
      <c r="N68" s="375" t="s">
        <v>2635</v>
      </c>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s="376" customFormat="1">
      <c r="A69" s="373" t="s">
        <v>2976</v>
      </c>
      <c r="B69" s="385" t="s">
        <v>2977</v>
      </c>
      <c r="C69" s="385"/>
      <c r="D69" s="355" t="s">
        <v>2635</v>
      </c>
      <c r="E69" s="375" t="s">
        <v>2635</v>
      </c>
      <c r="F69" s="355" t="s">
        <v>2635</v>
      </c>
      <c r="G69" s="355" t="s">
        <v>2635</v>
      </c>
      <c r="H69" s="355" t="s">
        <v>2635</v>
      </c>
      <c r="I69" s="355" t="s">
        <v>2635</v>
      </c>
      <c r="J69" s="375" t="s">
        <v>2635</v>
      </c>
      <c r="K69" s="355" t="s">
        <v>2635</v>
      </c>
      <c r="L69" s="355" t="s">
        <v>2635</v>
      </c>
      <c r="M69" s="375" t="s">
        <v>2635</v>
      </c>
      <c r="N69" s="375" t="s">
        <v>2635</v>
      </c>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c r="A70" s="367" t="s">
        <v>2978</v>
      </c>
      <c r="B70" s="368"/>
      <c r="C70" s="368"/>
      <c r="D70" s="369"/>
      <c r="E70" s="370"/>
      <c r="F70" s="369"/>
      <c r="G70" s="369"/>
      <c r="H70" s="369"/>
      <c r="I70" s="369"/>
      <c r="J70" s="370"/>
      <c r="K70" s="369"/>
      <c r="L70" s="369"/>
      <c r="M70" s="370"/>
      <c r="N70" s="370"/>
    </row>
    <row r="71" spans="1:45">
      <c r="A71" s="378" t="s">
        <v>2979</v>
      </c>
      <c r="B71" s="379"/>
      <c r="C71" s="379"/>
      <c r="D71" s="380"/>
      <c r="E71" s="381"/>
      <c r="F71" s="380"/>
      <c r="G71" s="380"/>
      <c r="H71" s="380"/>
      <c r="I71" s="380"/>
      <c r="J71" s="381"/>
      <c r="K71" s="380"/>
      <c r="L71" s="380"/>
      <c r="M71" s="381"/>
      <c r="N71" s="381"/>
    </row>
    <row r="72" spans="1:45">
      <c r="A72" s="377" t="s">
        <v>2980</v>
      </c>
      <c r="B72" s="382" t="s">
        <v>2981</v>
      </c>
      <c r="C72" s="382"/>
      <c r="D72" s="355" t="s">
        <v>2635</v>
      </c>
      <c r="E72" s="355" t="s">
        <v>2635</v>
      </c>
      <c r="F72" s="595">
        <v>492</v>
      </c>
      <c r="G72" s="595">
        <v>492</v>
      </c>
      <c r="H72" s="355" t="s">
        <v>2635</v>
      </c>
      <c r="I72" s="594">
        <f>B140</f>
        <v>492</v>
      </c>
      <c r="J72" s="355" t="s">
        <v>2635</v>
      </c>
      <c r="K72" s="355" t="s">
        <v>2635</v>
      </c>
      <c r="L72" s="355" t="s">
        <v>2635</v>
      </c>
      <c r="M72" s="595">
        <f>B145</f>
        <v>492</v>
      </c>
      <c r="N72" s="595">
        <v>1E+100</v>
      </c>
    </row>
    <row r="73" spans="1:45">
      <c r="A73" s="377" t="s">
        <v>2982</v>
      </c>
      <c r="B73" s="382" t="s">
        <v>2981</v>
      </c>
      <c r="C73" s="382"/>
      <c r="D73" s="355" t="s">
        <v>2635</v>
      </c>
      <c r="E73" s="355" t="s">
        <v>2635</v>
      </c>
      <c r="F73" s="595">
        <v>15</v>
      </c>
      <c r="G73" s="595">
        <v>20</v>
      </c>
      <c r="H73" s="355" t="s">
        <v>2635</v>
      </c>
      <c r="I73" s="594">
        <f>C140</f>
        <v>90</v>
      </c>
      <c r="J73" s="355" t="s">
        <v>2635</v>
      </c>
      <c r="K73" s="355" t="s">
        <v>2635</v>
      </c>
      <c r="L73" s="355" t="s">
        <v>2635</v>
      </c>
      <c r="M73" s="595">
        <f>491.9</f>
        <v>491.9</v>
      </c>
      <c r="N73" s="595">
        <v>492</v>
      </c>
    </row>
    <row r="74" spans="1:45">
      <c r="A74" s="377" t="s">
        <v>2983</v>
      </c>
      <c r="B74" s="382" t="s">
        <v>2930</v>
      </c>
      <c r="C74" s="382"/>
      <c r="D74" s="355" t="s">
        <v>2635</v>
      </c>
      <c r="E74" s="355" t="s">
        <v>2635</v>
      </c>
      <c r="F74" s="595" t="s">
        <v>2635</v>
      </c>
      <c r="G74" s="595" t="s">
        <v>2635</v>
      </c>
      <c r="H74" s="355" t="s">
        <v>2635</v>
      </c>
      <c r="I74" s="595" t="s">
        <v>2635</v>
      </c>
      <c r="J74" s="355" t="s">
        <v>2635</v>
      </c>
      <c r="K74" s="355" t="s">
        <v>2635</v>
      </c>
      <c r="L74" s="355" t="s">
        <v>2635</v>
      </c>
      <c r="M74" s="595" t="s">
        <v>2635</v>
      </c>
      <c r="N74" s="595" t="s">
        <v>2635</v>
      </c>
    </row>
    <row r="75" spans="1:45">
      <c r="A75" s="377" t="s">
        <v>2984</v>
      </c>
      <c r="B75" s="382" t="s">
        <v>2985</v>
      </c>
      <c r="C75" s="382"/>
      <c r="D75" s="355" t="s">
        <v>2635</v>
      </c>
      <c r="E75" s="355" t="s">
        <v>2635</v>
      </c>
      <c r="F75" s="595">
        <v>0.45</v>
      </c>
      <c r="G75" s="595">
        <v>0.45</v>
      </c>
      <c r="H75" s="355" t="s">
        <v>2635</v>
      </c>
      <c r="I75" s="595">
        <v>0.45</v>
      </c>
      <c r="J75" s="355" t="s">
        <v>2635</v>
      </c>
      <c r="K75" s="355" t="s">
        <v>2635</v>
      </c>
      <c r="L75" s="355" t="s">
        <v>2635</v>
      </c>
      <c r="M75" s="595">
        <v>0.45</v>
      </c>
      <c r="N75" s="595">
        <v>0.45</v>
      </c>
    </row>
    <row r="76" spans="1:45">
      <c r="A76" s="377" t="s">
        <v>2986</v>
      </c>
      <c r="B76" s="382" t="s">
        <v>2985</v>
      </c>
      <c r="C76" s="382"/>
      <c r="D76" s="355" t="s">
        <v>2635</v>
      </c>
      <c r="E76" s="355" t="s">
        <v>2635</v>
      </c>
      <c r="F76" s="595">
        <v>0.45</v>
      </c>
      <c r="G76" s="595">
        <v>0.45</v>
      </c>
      <c r="H76" s="355" t="s">
        <v>2635</v>
      </c>
      <c r="I76" s="595">
        <v>0.45</v>
      </c>
      <c r="J76" s="355" t="s">
        <v>2635</v>
      </c>
      <c r="K76" s="355" t="s">
        <v>2635</v>
      </c>
      <c r="L76" s="355" t="s">
        <v>2635</v>
      </c>
      <c r="M76" s="595">
        <v>0.45</v>
      </c>
      <c r="N76" s="595">
        <v>0</v>
      </c>
    </row>
    <row r="77" spans="1:45">
      <c r="A77" s="377" t="s">
        <v>2987</v>
      </c>
      <c r="B77" s="382" t="s">
        <v>2988</v>
      </c>
      <c r="C77" s="382"/>
      <c r="D77" s="355" t="s">
        <v>2635</v>
      </c>
      <c r="E77" s="355" t="s">
        <v>2635</v>
      </c>
      <c r="F77" s="595">
        <v>108.97799999999999</v>
      </c>
      <c r="G77" s="595">
        <v>107.01</v>
      </c>
      <c r="H77" s="355" t="s">
        <v>2635</v>
      </c>
      <c r="I77" s="594">
        <f>H140</f>
        <v>108.97799999999999</v>
      </c>
      <c r="J77" s="355" t="s">
        <v>2635</v>
      </c>
      <c r="K77" s="355" t="s">
        <v>2635</v>
      </c>
      <c r="L77" s="355" t="s">
        <v>2635</v>
      </c>
      <c r="M77" s="595">
        <v>1.0000000000000001E-30</v>
      </c>
      <c r="N77" s="595">
        <v>1.0000000000000001E-30</v>
      </c>
    </row>
    <row r="78" spans="1:45">
      <c r="A78" s="377" t="s">
        <v>2989</v>
      </c>
      <c r="B78" s="382" t="s">
        <v>2930</v>
      </c>
      <c r="C78" s="382"/>
      <c r="D78" s="355" t="s">
        <v>2635</v>
      </c>
      <c r="E78" s="355" t="s">
        <v>2635</v>
      </c>
      <c r="F78" s="595">
        <f>I138</f>
        <v>31.2</v>
      </c>
      <c r="G78" s="595">
        <v>41.6</v>
      </c>
      <c r="H78" s="355" t="s">
        <v>2635</v>
      </c>
      <c r="I78" s="594">
        <f>I140</f>
        <v>187.2</v>
      </c>
      <c r="J78" s="355" t="s">
        <v>2635</v>
      </c>
      <c r="K78" s="355" t="s">
        <v>2635</v>
      </c>
      <c r="L78" s="355" t="s">
        <v>2635</v>
      </c>
      <c r="M78" s="595">
        <f>I145</f>
        <v>1023.36</v>
      </c>
      <c r="N78" s="595">
        <v>1023.36</v>
      </c>
    </row>
    <row r="79" spans="1:45" s="376" customFormat="1">
      <c r="A79" s="373" t="s">
        <v>2990</v>
      </c>
      <c r="B79" s="385" t="s">
        <v>2991</v>
      </c>
      <c r="C79" s="385"/>
      <c r="D79" s="355" t="s">
        <v>2635</v>
      </c>
      <c r="E79" s="355" t="s">
        <v>2635</v>
      </c>
      <c r="F79" s="355" t="s">
        <v>2635</v>
      </c>
      <c r="G79" s="355" t="s">
        <v>2635</v>
      </c>
      <c r="H79" s="355" t="s">
        <v>2635</v>
      </c>
      <c r="I79" s="355" t="s">
        <v>2635</v>
      </c>
      <c r="J79" s="355" t="s">
        <v>2635</v>
      </c>
      <c r="K79" s="355" t="s">
        <v>2635</v>
      </c>
      <c r="L79" s="355" t="s">
        <v>2635</v>
      </c>
      <c r="M79" s="355" t="s">
        <v>2635</v>
      </c>
      <c r="N79" s="355" t="s">
        <v>2635</v>
      </c>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c r="A80" s="378" t="s">
        <v>2992</v>
      </c>
      <c r="B80" s="379"/>
      <c r="C80" s="379"/>
      <c r="D80" s="380"/>
      <c r="E80" s="381"/>
      <c r="F80" s="381"/>
      <c r="G80" s="381"/>
      <c r="H80" s="381"/>
      <c r="I80" s="381"/>
      <c r="J80" s="381"/>
      <c r="K80" s="380"/>
      <c r="L80" s="380"/>
      <c r="M80" s="381"/>
      <c r="N80" s="381"/>
    </row>
    <row r="81" spans="1:14">
      <c r="A81" s="377" t="s">
        <v>2993</v>
      </c>
      <c r="B81" s="382" t="s">
        <v>2981</v>
      </c>
      <c r="C81" s="382"/>
      <c r="D81" s="355" t="s">
        <v>2635</v>
      </c>
      <c r="E81" s="355" t="s">
        <v>2635</v>
      </c>
      <c r="F81" s="328">
        <v>1</v>
      </c>
      <c r="G81" s="390">
        <v>1</v>
      </c>
      <c r="H81" s="355" t="s">
        <v>2635</v>
      </c>
      <c r="I81" s="14">
        <v>1</v>
      </c>
      <c r="J81" s="355" t="s">
        <v>2635</v>
      </c>
      <c r="K81" s="355" t="s">
        <v>2635</v>
      </c>
      <c r="L81" s="355" t="s">
        <v>2635</v>
      </c>
      <c r="M81" s="328">
        <v>1</v>
      </c>
      <c r="N81" s="328">
        <v>1</v>
      </c>
    </row>
    <row r="82" spans="1:14">
      <c r="A82" s="377" t="s">
        <v>2994</v>
      </c>
      <c r="B82" s="382" t="s">
        <v>2981</v>
      </c>
      <c r="C82" s="382"/>
      <c r="D82" s="355" t="s">
        <v>2635</v>
      </c>
      <c r="E82" s="355" t="s">
        <v>2635</v>
      </c>
      <c r="F82" s="595">
        <f>F73-F81</f>
        <v>14</v>
      </c>
      <c r="G82" s="595">
        <f>G73-G81</f>
        <v>19</v>
      </c>
      <c r="H82" s="355" t="s">
        <v>2635</v>
      </c>
      <c r="I82" s="14">
        <f>I73-I81</f>
        <v>89</v>
      </c>
      <c r="J82" s="355" t="s">
        <v>2635</v>
      </c>
      <c r="K82" s="355" t="s">
        <v>2635</v>
      </c>
      <c r="L82" s="355" t="s">
        <v>2635</v>
      </c>
      <c r="M82" s="595">
        <f>M73-M81</f>
        <v>490.9</v>
      </c>
      <c r="N82" s="595">
        <v>491</v>
      </c>
    </row>
    <row r="83" spans="1:14">
      <c r="A83" s="377" t="s">
        <v>2995</v>
      </c>
      <c r="B83" s="382" t="s">
        <v>2996</v>
      </c>
      <c r="C83" s="382"/>
      <c r="D83" s="355" t="s">
        <v>2635</v>
      </c>
      <c r="E83" s="355" t="s">
        <v>2635</v>
      </c>
      <c r="F83" s="328">
        <v>402</v>
      </c>
      <c r="G83" s="328">
        <v>402</v>
      </c>
      <c r="H83" s="355" t="s">
        <v>2635</v>
      </c>
      <c r="I83" s="14">
        <v>402</v>
      </c>
      <c r="J83" s="355" t="s">
        <v>2635</v>
      </c>
      <c r="K83" s="355" t="s">
        <v>2635</v>
      </c>
      <c r="L83" s="355" t="s">
        <v>2635</v>
      </c>
      <c r="M83" s="328">
        <v>402</v>
      </c>
      <c r="N83" s="328">
        <v>402</v>
      </c>
    </row>
    <row r="84" spans="1:14">
      <c r="A84" s="378" t="s">
        <v>2997</v>
      </c>
      <c r="B84" s="379"/>
      <c r="C84" s="379"/>
      <c r="D84" s="380"/>
      <c r="E84" s="381"/>
      <c r="F84" s="380"/>
      <c r="G84" s="380"/>
      <c r="H84" s="380"/>
      <c r="I84" s="380"/>
      <c r="J84" s="381"/>
      <c r="K84" s="380"/>
      <c r="L84" s="380"/>
      <c r="M84" s="381"/>
      <c r="N84" s="381"/>
    </row>
    <row r="85" spans="1:14">
      <c r="A85" s="373" t="s">
        <v>2998</v>
      </c>
      <c r="B85" s="385" t="s">
        <v>2991</v>
      </c>
      <c r="C85" s="385"/>
      <c r="D85" s="355" t="s">
        <v>2635</v>
      </c>
      <c r="E85" s="375" t="s">
        <v>2635</v>
      </c>
      <c r="F85" s="355" t="s">
        <v>2635</v>
      </c>
      <c r="G85" s="355" t="s">
        <v>2635</v>
      </c>
      <c r="H85" s="355" t="s">
        <v>2635</v>
      </c>
      <c r="I85" s="355" t="s">
        <v>2635</v>
      </c>
      <c r="J85" s="375" t="s">
        <v>2635</v>
      </c>
      <c r="K85" s="355" t="s">
        <v>2635</v>
      </c>
      <c r="L85" s="355" t="s">
        <v>2635</v>
      </c>
      <c r="M85" s="375" t="s">
        <v>2635</v>
      </c>
      <c r="N85" s="375" t="s">
        <v>2635</v>
      </c>
    </row>
    <row r="86" spans="1:14">
      <c r="A86" s="373" t="s">
        <v>2999</v>
      </c>
      <c r="B86" s="385" t="s">
        <v>3000</v>
      </c>
      <c r="C86" s="385"/>
      <c r="D86" s="355" t="s">
        <v>2635</v>
      </c>
      <c r="E86" s="375" t="s">
        <v>2635</v>
      </c>
      <c r="F86" s="355" t="s">
        <v>2635</v>
      </c>
      <c r="G86" s="355" t="s">
        <v>2635</v>
      </c>
      <c r="H86" s="355" t="s">
        <v>2635</v>
      </c>
      <c r="I86" s="355" t="s">
        <v>2635</v>
      </c>
      <c r="J86" s="375" t="s">
        <v>2635</v>
      </c>
      <c r="K86" s="355" t="s">
        <v>2635</v>
      </c>
      <c r="L86" s="355" t="s">
        <v>2635</v>
      </c>
      <c r="M86" s="375" t="s">
        <v>2635</v>
      </c>
      <c r="N86" s="375" t="s">
        <v>2635</v>
      </c>
    </row>
    <row r="87" spans="1:14">
      <c r="A87" s="373" t="s">
        <v>3001</v>
      </c>
      <c r="B87" s="385" t="s">
        <v>2899</v>
      </c>
      <c r="C87" s="385"/>
      <c r="D87" s="355" t="s">
        <v>2635</v>
      </c>
      <c r="E87" s="375" t="s">
        <v>2635</v>
      </c>
      <c r="F87" s="355" t="s">
        <v>2635</v>
      </c>
      <c r="G87" s="355" t="s">
        <v>2635</v>
      </c>
      <c r="H87" s="355" t="s">
        <v>2635</v>
      </c>
      <c r="I87" s="355" t="s">
        <v>2635</v>
      </c>
      <c r="J87" s="375" t="s">
        <v>2635</v>
      </c>
      <c r="K87" s="355" t="s">
        <v>2635</v>
      </c>
      <c r="L87" s="355" t="s">
        <v>2635</v>
      </c>
      <c r="M87" s="375" t="s">
        <v>2635</v>
      </c>
      <c r="N87" s="375" t="s">
        <v>2635</v>
      </c>
    </row>
    <row r="88" spans="1:14">
      <c r="A88" s="373" t="s">
        <v>3002</v>
      </c>
      <c r="B88" s="385" t="s">
        <v>578</v>
      </c>
      <c r="C88" s="385"/>
      <c r="D88" s="355" t="s">
        <v>2635</v>
      </c>
      <c r="E88" s="375" t="s">
        <v>2635</v>
      </c>
      <c r="F88" s="355" t="s">
        <v>2635</v>
      </c>
      <c r="G88" s="355" t="s">
        <v>2635</v>
      </c>
      <c r="H88" s="355" t="s">
        <v>2635</v>
      </c>
      <c r="I88" s="355" t="s">
        <v>2635</v>
      </c>
      <c r="J88" s="375" t="s">
        <v>2635</v>
      </c>
      <c r="K88" s="355" t="s">
        <v>2635</v>
      </c>
      <c r="L88" s="355" t="s">
        <v>2635</v>
      </c>
      <c r="M88" s="375" t="s">
        <v>2635</v>
      </c>
      <c r="N88" s="375" t="s">
        <v>2635</v>
      </c>
    </row>
    <row r="89" spans="1:14">
      <c r="A89" s="373" t="s">
        <v>3003</v>
      </c>
      <c r="B89" s="385" t="s">
        <v>578</v>
      </c>
      <c r="C89" s="385"/>
      <c r="D89" s="355" t="s">
        <v>2635</v>
      </c>
      <c r="E89" s="375" t="s">
        <v>2635</v>
      </c>
      <c r="F89" s="355" t="s">
        <v>2635</v>
      </c>
      <c r="G89" s="355" t="s">
        <v>2635</v>
      </c>
      <c r="H89" s="355" t="s">
        <v>2635</v>
      </c>
      <c r="I89" s="355" t="s">
        <v>2635</v>
      </c>
      <c r="J89" s="375" t="s">
        <v>2635</v>
      </c>
      <c r="K89" s="355" t="s">
        <v>2635</v>
      </c>
      <c r="L89" s="355" t="s">
        <v>2635</v>
      </c>
      <c r="M89" s="375" t="s">
        <v>2635</v>
      </c>
      <c r="N89" s="375" t="s">
        <v>2635</v>
      </c>
    </row>
    <row r="90" spans="1:14">
      <c r="A90" s="378" t="s">
        <v>3004</v>
      </c>
      <c r="B90" s="379"/>
      <c r="C90" s="379"/>
      <c r="D90" s="380"/>
      <c r="E90" s="381"/>
      <c r="F90" s="380"/>
      <c r="G90" s="380"/>
      <c r="H90" s="380"/>
      <c r="I90" s="380"/>
      <c r="J90" s="381"/>
      <c r="K90" s="380"/>
      <c r="L90" s="380"/>
      <c r="M90" s="381"/>
      <c r="N90" s="381"/>
    </row>
    <row r="91" spans="1:14">
      <c r="A91" s="391" t="s">
        <v>3005</v>
      </c>
      <c r="B91" s="385"/>
      <c r="C91" s="385"/>
      <c r="D91" s="355" t="s">
        <v>2635</v>
      </c>
      <c r="E91" s="375" t="s">
        <v>2635</v>
      </c>
      <c r="F91" s="355" t="s">
        <v>2635</v>
      </c>
      <c r="G91" s="355" t="s">
        <v>2635</v>
      </c>
      <c r="H91" s="355" t="s">
        <v>2635</v>
      </c>
      <c r="I91" s="355" t="s">
        <v>2635</v>
      </c>
      <c r="J91" s="375" t="s">
        <v>2635</v>
      </c>
      <c r="K91" s="355" t="s">
        <v>2635</v>
      </c>
      <c r="L91" s="355" t="s">
        <v>2635</v>
      </c>
      <c r="M91" s="375" t="s">
        <v>2635</v>
      </c>
      <c r="N91" s="375" t="s">
        <v>2635</v>
      </c>
    </row>
    <row r="92" spans="1:14">
      <c r="A92" s="373" t="s">
        <v>3006</v>
      </c>
      <c r="B92" s="385" t="s">
        <v>2996</v>
      </c>
      <c r="C92" s="385"/>
      <c r="D92" s="355" t="s">
        <v>2635</v>
      </c>
      <c r="E92" s="375" t="s">
        <v>2635</v>
      </c>
      <c r="F92" s="355" t="s">
        <v>2635</v>
      </c>
      <c r="G92" s="355" t="s">
        <v>2635</v>
      </c>
      <c r="H92" s="355" t="s">
        <v>2635</v>
      </c>
      <c r="I92" s="355" t="s">
        <v>2635</v>
      </c>
      <c r="J92" s="375" t="s">
        <v>2635</v>
      </c>
      <c r="K92" s="355" t="s">
        <v>2635</v>
      </c>
      <c r="L92" s="355" t="s">
        <v>2635</v>
      </c>
      <c r="M92" s="375" t="s">
        <v>2635</v>
      </c>
      <c r="N92" s="375" t="s">
        <v>2635</v>
      </c>
    </row>
    <row r="93" spans="1:14">
      <c r="A93" s="373" t="s">
        <v>3007</v>
      </c>
      <c r="B93" s="385" t="s">
        <v>2996</v>
      </c>
      <c r="C93" s="385"/>
      <c r="D93" s="355" t="s">
        <v>2635</v>
      </c>
      <c r="E93" s="375" t="s">
        <v>2635</v>
      </c>
      <c r="F93" s="355" t="s">
        <v>2635</v>
      </c>
      <c r="G93" s="355" t="s">
        <v>2635</v>
      </c>
      <c r="H93" s="355" t="s">
        <v>2635</v>
      </c>
      <c r="I93" s="355" t="s">
        <v>2635</v>
      </c>
      <c r="J93" s="375" t="s">
        <v>2635</v>
      </c>
      <c r="K93" s="355" t="s">
        <v>2635</v>
      </c>
      <c r="L93" s="355" t="s">
        <v>2635</v>
      </c>
      <c r="M93" s="375" t="s">
        <v>2635</v>
      </c>
      <c r="N93" s="375" t="s">
        <v>2635</v>
      </c>
    </row>
    <row r="94" spans="1:14">
      <c r="A94" s="373" t="s">
        <v>3008</v>
      </c>
      <c r="B94" s="385" t="s">
        <v>2926</v>
      </c>
      <c r="C94" s="385"/>
      <c r="D94" s="355" t="s">
        <v>2635</v>
      </c>
      <c r="E94" s="375" t="s">
        <v>2635</v>
      </c>
      <c r="F94" s="355" t="s">
        <v>2635</v>
      </c>
      <c r="G94" s="355" t="s">
        <v>2635</v>
      </c>
      <c r="H94" s="355" t="s">
        <v>2635</v>
      </c>
      <c r="I94" s="355" t="s">
        <v>2635</v>
      </c>
      <c r="J94" s="375" t="s">
        <v>2635</v>
      </c>
      <c r="K94" s="355" t="s">
        <v>2635</v>
      </c>
      <c r="L94" s="355" t="s">
        <v>2635</v>
      </c>
      <c r="M94" s="375" t="s">
        <v>2635</v>
      </c>
      <c r="N94" s="375" t="s">
        <v>2635</v>
      </c>
    </row>
    <row r="95" spans="1:14">
      <c r="A95" s="373" t="s">
        <v>3009</v>
      </c>
      <c r="B95" s="385" t="s">
        <v>2926</v>
      </c>
      <c r="C95" s="385"/>
      <c r="D95" s="355" t="s">
        <v>2635</v>
      </c>
      <c r="E95" s="375" t="s">
        <v>2635</v>
      </c>
      <c r="F95" s="355" t="s">
        <v>2635</v>
      </c>
      <c r="G95" s="355" t="s">
        <v>2635</v>
      </c>
      <c r="H95" s="355" t="s">
        <v>2635</v>
      </c>
      <c r="I95" s="355" t="s">
        <v>2635</v>
      </c>
      <c r="J95" s="375" t="s">
        <v>2635</v>
      </c>
      <c r="K95" s="355" t="s">
        <v>2635</v>
      </c>
      <c r="L95" s="355" t="s">
        <v>2635</v>
      </c>
      <c r="M95" s="375" t="s">
        <v>2635</v>
      </c>
      <c r="N95" s="375" t="s">
        <v>2635</v>
      </c>
    </row>
    <row r="96" spans="1:14">
      <c r="A96" s="392" t="s">
        <v>3010</v>
      </c>
      <c r="B96" s="385" t="s">
        <v>2991</v>
      </c>
      <c r="C96" s="385"/>
      <c r="D96" s="355" t="s">
        <v>2635</v>
      </c>
      <c r="E96" s="375" t="s">
        <v>2635</v>
      </c>
      <c r="F96" s="355" t="s">
        <v>2635</v>
      </c>
      <c r="G96" s="355" t="s">
        <v>2635</v>
      </c>
      <c r="H96" s="355" t="s">
        <v>2635</v>
      </c>
      <c r="I96" s="355" t="s">
        <v>2635</v>
      </c>
      <c r="J96" s="375" t="s">
        <v>2635</v>
      </c>
      <c r="K96" s="355" t="s">
        <v>2635</v>
      </c>
      <c r="L96" s="355" t="s">
        <v>2635</v>
      </c>
      <c r="M96" s="375" t="s">
        <v>2635</v>
      </c>
      <c r="N96" s="375" t="s">
        <v>2635</v>
      </c>
    </row>
    <row r="97" spans="1:14">
      <c r="A97" s="373" t="s">
        <v>3011</v>
      </c>
      <c r="B97" s="385" t="s">
        <v>2903</v>
      </c>
      <c r="C97" s="385"/>
      <c r="D97" s="355" t="s">
        <v>2635</v>
      </c>
      <c r="E97" s="375" t="s">
        <v>2635</v>
      </c>
      <c r="F97" s="355" t="s">
        <v>2635</v>
      </c>
      <c r="G97" s="355" t="s">
        <v>2635</v>
      </c>
      <c r="H97" s="355" t="s">
        <v>2635</v>
      </c>
      <c r="I97" s="355" t="s">
        <v>2635</v>
      </c>
      <c r="J97" s="375" t="s">
        <v>2635</v>
      </c>
      <c r="K97" s="355" t="s">
        <v>2635</v>
      </c>
      <c r="L97" s="355" t="s">
        <v>2635</v>
      </c>
      <c r="M97" s="375" t="s">
        <v>2635</v>
      </c>
      <c r="N97" s="375" t="s">
        <v>2635</v>
      </c>
    </row>
    <row r="98" spans="1:14">
      <c r="A98" s="391" t="s">
        <v>3012</v>
      </c>
      <c r="B98" s="385"/>
      <c r="C98" s="385"/>
      <c r="D98" s="355" t="s">
        <v>2635</v>
      </c>
      <c r="E98" s="375" t="s">
        <v>2635</v>
      </c>
      <c r="F98" s="355" t="s">
        <v>2635</v>
      </c>
      <c r="G98" s="355" t="s">
        <v>2635</v>
      </c>
      <c r="H98" s="355" t="s">
        <v>2635</v>
      </c>
      <c r="I98" s="355" t="s">
        <v>2635</v>
      </c>
      <c r="J98" s="375" t="s">
        <v>2635</v>
      </c>
      <c r="K98" s="355" t="s">
        <v>2635</v>
      </c>
      <c r="L98" s="355" t="s">
        <v>2635</v>
      </c>
      <c r="M98" s="375" t="s">
        <v>2635</v>
      </c>
      <c r="N98" s="375" t="s">
        <v>2635</v>
      </c>
    </row>
    <row r="99" spans="1:14">
      <c r="A99" s="373" t="s">
        <v>3006</v>
      </c>
      <c r="B99" s="385" t="s">
        <v>2996</v>
      </c>
      <c r="C99" s="385"/>
      <c r="D99" s="355" t="s">
        <v>2635</v>
      </c>
      <c r="E99" s="375" t="s">
        <v>2635</v>
      </c>
      <c r="F99" s="355" t="s">
        <v>2635</v>
      </c>
      <c r="G99" s="355" t="s">
        <v>2635</v>
      </c>
      <c r="H99" s="355" t="s">
        <v>2635</v>
      </c>
      <c r="I99" s="355" t="s">
        <v>2635</v>
      </c>
      <c r="J99" s="375" t="s">
        <v>2635</v>
      </c>
      <c r="K99" s="355" t="s">
        <v>2635</v>
      </c>
      <c r="L99" s="355" t="s">
        <v>2635</v>
      </c>
      <c r="M99" s="375" t="s">
        <v>2635</v>
      </c>
      <c r="N99" s="375" t="s">
        <v>2635</v>
      </c>
    </row>
    <row r="100" spans="1:14">
      <c r="A100" s="373" t="s">
        <v>3007</v>
      </c>
      <c r="B100" s="385" t="s">
        <v>2996</v>
      </c>
      <c r="C100" s="385"/>
      <c r="D100" s="355" t="s">
        <v>2635</v>
      </c>
      <c r="E100" s="375" t="s">
        <v>2635</v>
      </c>
      <c r="F100" s="355" t="s">
        <v>2635</v>
      </c>
      <c r="G100" s="355" t="s">
        <v>2635</v>
      </c>
      <c r="H100" s="355" t="s">
        <v>2635</v>
      </c>
      <c r="I100" s="355" t="s">
        <v>2635</v>
      </c>
      <c r="J100" s="375" t="s">
        <v>2635</v>
      </c>
      <c r="K100" s="355" t="s">
        <v>2635</v>
      </c>
      <c r="L100" s="355" t="s">
        <v>2635</v>
      </c>
      <c r="M100" s="375" t="s">
        <v>2635</v>
      </c>
      <c r="N100" s="375" t="s">
        <v>2635</v>
      </c>
    </row>
    <row r="101" spans="1:14">
      <c r="A101" s="373" t="s">
        <v>3008</v>
      </c>
      <c r="B101" s="385" t="s">
        <v>2926</v>
      </c>
      <c r="C101" s="385"/>
      <c r="D101" s="355" t="s">
        <v>2635</v>
      </c>
      <c r="E101" s="375" t="s">
        <v>2635</v>
      </c>
      <c r="F101" s="355" t="s">
        <v>2635</v>
      </c>
      <c r="G101" s="355" t="s">
        <v>2635</v>
      </c>
      <c r="H101" s="355" t="s">
        <v>2635</v>
      </c>
      <c r="I101" s="355" t="s">
        <v>2635</v>
      </c>
      <c r="J101" s="375" t="s">
        <v>2635</v>
      </c>
      <c r="K101" s="355" t="s">
        <v>2635</v>
      </c>
      <c r="L101" s="355" t="s">
        <v>2635</v>
      </c>
      <c r="M101" s="375" t="s">
        <v>2635</v>
      </c>
      <c r="N101" s="375" t="s">
        <v>2635</v>
      </c>
    </row>
    <row r="102" spans="1:14">
      <c r="A102" s="373" t="s">
        <v>3009</v>
      </c>
      <c r="B102" s="385" t="s">
        <v>2926</v>
      </c>
      <c r="C102" s="385"/>
      <c r="D102" s="355" t="s">
        <v>2635</v>
      </c>
      <c r="E102" s="375" t="s">
        <v>2635</v>
      </c>
      <c r="F102" s="355" t="s">
        <v>2635</v>
      </c>
      <c r="G102" s="355" t="s">
        <v>2635</v>
      </c>
      <c r="H102" s="355" t="s">
        <v>2635</v>
      </c>
      <c r="I102" s="355" t="s">
        <v>2635</v>
      </c>
      <c r="J102" s="375" t="s">
        <v>2635</v>
      </c>
      <c r="K102" s="355" t="s">
        <v>2635</v>
      </c>
      <c r="L102" s="355" t="s">
        <v>2635</v>
      </c>
      <c r="M102" s="375" t="s">
        <v>2635</v>
      </c>
      <c r="N102" s="375" t="s">
        <v>2635</v>
      </c>
    </row>
    <row r="103" spans="1:14">
      <c r="A103" s="392" t="s">
        <v>3010</v>
      </c>
      <c r="B103" s="385" t="s">
        <v>2991</v>
      </c>
      <c r="C103" s="385"/>
      <c r="D103" s="355" t="s">
        <v>2635</v>
      </c>
      <c r="E103" s="375" t="s">
        <v>2635</v>
      </c>
      <c r="F103" s="355" t="s">
        <v>2635</v>
      </c>
      <c r="G103" s="355" t="s">
        <v>2635</v>
      </c>
      <c r="H103" s="355" t="s">
        <v>2635</v>
      </c>
      <c r="I103" s="355" t="s">
        <v>2635</v>
      </c>
      <c r="J103" s="375" t="s">
        <v>2635</v>
      </c>
      <c r="K103" s="355" t="s">
        <v>2635</v>
      </c>
      <c r="L103" s="355" t="s">
        <v>2635</v>
      </c>
      <c r="M103" s="375" t="s">
        <v>2635</v>
      </c>
      <c r="N103" s="375" t="s">
        <v>2635</v>
      </c>
    </row>
    <row r="104" spans="1:14">
      <c r="A104" s="373" t="s">
        <v>3011</v>
      </c>
      <c r="B104" s="385" t="s">
        <v>2903</v>
      </c>
      <c r="C104" s="385"/>
      <c r="D104" s="355" t="s">
        <v>2635</v>
      </c>
      <c r="E104" s="375" t="s">
        <v>2635</v>
      </c>
      <c r="F104" s="355" t="s">
        <v>2635</v>
      </c>
      <c r="G104" s="355" t="s">
        <v>2635</v>
      </c>
      <c r="H104" s="355" t="s">
        <v>2635</v>
      </c>
      <c r="I104" s="355" t="s">
        <v>2635</v>
      </c>
      <c r="J104" s="375" t="s">
        <v>2635</v>
      </c>
      <c r="K104" s="355" t="s">
        <v>2635</v>
      </c>
      <c r="L104" s="355" t="s">
        <v>2635</v>
      </c>
      <c r="M104" s="375" t="s">
        <v>2635</v>
      </c>
      <c r="N104" s="375" t="s">
        <v>2635</v>
      </c>
    </row>
    <row r="105" spans="1:14">
      <c r="A105" s="391" t="s">
        <v>3013</v>
      </c>
      <c r="B105" s="385"/>
      <c r="C105" s="385"/>
      <c r="D105" s="355" t="s">
        <v>2635</v>
      </c>
      <c r="E105" s="375" t="s">
        <v>2635</v>
      </c>
      <c r="F105" s="355" t="s">
        <v>2635</v>
      </c>
      <c r="G105" s="355" t="s">
        <v>2635</v>
      </c>
      <c r="H105" s="355" t="s">
        <v>2635</v>
      </c>
      <c r="I105" s="355" t="s">
        <v>2635</v>
      </c>
      <c r="J105" s="375" t="s">
        <v>2635</v>
      </c>
      <c r="K105" s="355" t="s">
        <v>2635</v>
      </c>
      <c r="L105" s="355" t="s">
        <v>2635</v>
      </c>
      <c r="M105" s="375" t="s">
        <v>2635</v>
      </c>
      <c r="N105" s="375" t="s">
        <v>2635</v>
      </c>
    </row>
    <row r="106" spans="1:14">
      <c r="A106" s="373" t="s">
        <v>3006</v>
      </c>
      <c r="B106" s="385" t="s">
        <v>2996</v>
      </c>
      <c r="C106" s="385"/>
      <c r="D106" s="355" t="s">
        <v>2635</v>
      </c>
      <c r="E106" s="375" t="s">
        <v>2635</v>
      </c>
      <c r="F106" s="355" t="s">
        <v>2635</v>
      </c>
      <c r="G106" s="355" t="s">
        <v>2635</v>
      </c>
      <c r="H106" s="355" t="s">
        <v>2635</v>
      </c>
      <c r="I106" s="355" t="s">
        <v>2635</v>
      </c>
      <c r="J106" s="375" t="s">
        <v>2635</v>
      </c>
      <c r="K106" s="355" t="s">
        <v>2635</v>
      </c>
      <c r="L106" s="355" t="s">
        <v>2635</v>
      </c>
      <c r="M106" s="375" t="s">
        <v>2635</v>
      </c>
      <c r="N106" s="375" t="s">
        <v>2635</v>
      </c>
    </row>
    <row r="107" spans="1:14">
      <c r="A107" s="373" t="s">
        <v>3007</v>
      </c>
      <c r="B107" s="385" t="s">
        <v>2996</v>
      </c>
      <c r="C107" s="385"/>
      <c r="D107" s="355" t="s">
        <v>2635</v>
      </c>
      <c r="E107" s="375" t="s">
        <v>2635</v>
      </c>
      <c r="F107" s="355" t="s">
        <v>2635</v>
      </c>
      <c r="G107" s="355" t="s">
        <v>2635</v>
      </c>
      <c r="H107" s="355" t="s">
        <v>2635</v>
      </c>
      <c r="I107" s="355" t="s">
        <v>2635</v>
      </c>
      <c r="J107" s="375" t="s">
        <v>2635</v>
      </c>
      <c r="K107" s="355" t="s">
        <v>2635</v>
      </c>
      <c r="L107" s="355" t="s">
        <v>2635</v>
      </c>
      <c r="M107" s="375" t="s">
        <v>2635</v>
      </c>
      <c r="N107" s="375" t="s">
        <v>2635</v>
      </c>
    </row>
    <row r="108" spans="1:14">
      <c r="A108" s="373" t="s">
        <v>3009</v>
      </c>
      <c r="B108" s="385" t="s">
        <v>2926</v>
      </c>
      <c r="C108" s="385"/>
      <c r="D108" s="355" t="s">
        <v>2635</v>
      </c>
      <c r="E108" s="375" t="s">
        <v>2635</v>
      </c>
      <c r="F108" s="355" t="s">
        <v>2635</v>
      </c>
      <c r="G108" s="355" t="s">
        <v>2635</v>
      </c>
      <c r="H108" s="355" t="s">
        <v>2635</v>
      </c>
      <c r="I108" s="355" t="s">
        <v>2635</v>
      </c>
      <c r="J108" s="375" t="s">
        <v>2635</v>
      </c>
      <c r="K108" s="355" t="s">
        <v>2635</v>
      </c>
      <c r="L108" s="355" t="s">
        <v>2635</v>
      </c>
      <c r="M108" s="375" t="s">
        <v>2635</v>
      </c>
      <c r="N108" s="375" t="s">
        <v>2635</v>
      </c>
    </row>
    <row r="109" spans="1:14">
      <c r="A109" s="392" t="s">
        <v>3010</v>
      </c>
      <c r="B109" s="385" t="s">
        <v>2991</v>
      </c>
      <c r="C109" s="385"/>
      <c r="D109" s="355" t="s">
        <v>2635</v>
      </c>
      <c r="E109" s="375" t="s">
        <v>2635</v>
      </c>
      <c r="F109" s="355" t="s">
        <v>2635</v>
      </c>
      <c r="G109" s="355" t="s">
        <v>2635</v>
      </c>
      <c r="H109" s="355" t="s">
        <v>2635</v>
      </c>
      <c r="I109" s="355" t="s">
        <v>2635</v>
      </c>
      <c r="J109" s="375" t="s">
        <v>2635</v>
      </c>
      <c r="K109" s="355" t="s">
        <v>2635</v>
      </c>
      <c r="L109" s="355" t="s">
        <v>2635</v>
      </c>
      <c r="M109" s="375" t="s">
        <v>2635</v>
      </c>
      <c r="N109" s="375" t="s">
        <v>2635</v>
      </c>
    </row>
    <row r="110" spans="1:14">
      <c r="A110" s="391" t="s">
        <v>2564</v>
      </c>
      <c r="B110" s="385"/>
      <c r="C110" s="385"/>
      <c r="D110" s="355" t="s">
        <v>2635</v>
      </c>
      <c r="E110" s="375" t="s">
        <v>2635</v>
      </c>
      <c r="F110" s="355" t="s">
        <v>2635</v>
      </c>
      <c r="G110" s="355" t="s">
        <v>2635</v>
      </c>
      <c r="H110" s="355" t="s">
        <v>2635</v>
      </c>
      <c r="I110" s="355" t="s">
        <v>2635</v>
      </c>
      <c r="J110" s="375" t="s">
        <v>2635</v>
      </c>
      <c r="K110" s="355" t="s">
        <v>2635</v>
      </c>
      <c r="L110" s="355" t="s">
        <v>2635</v>
      </c>
      <c r="M110" s="375" t="s">
        <v>2635</v>
      </c>
      <c r="N110" s="375" t="s">
        <v>2635</v>
      </c>
    </row>
    <row r="111" spans="1:14">
      <c r="A111" s="373" t="s">
        <v>3014</v>
      </c>
      <c r="B111" s="385" t="s">
        <v>2903</v>
      </c>
      <c r="C111" s="385"/>
      <c r="D111" s="355" t="s">
        <v>2635</v>
      </c>
      <c r="E111" s="375" t="s">
        <v>2635</v>
      </c>
      <c r="F111" s="355" t="s">
        <v>2635</v>
      </c>
      <c r="G111" s="355" t="s">
        <v>2635</v>
      </c>
      <c r="H111" s="355" t="s">
        <v>2635</v>
      </c>
      <c r="I111" s="355" t="s">
        <v>2635</v>
      </c>
      <c r="J111" s="375" t="s">
        <v>2635</v>
      </c>
      <c r="K111" s="355" t="s">
        <v>2635</v>
      </c>
      <c r="L111" s="355" t="s">
        <v>2635</v>
      </c>
      <c r="M111" s="375" t="s">
        <v>2635</v>
      </c>
      <c r="N111" s="375" t="s">
        <v>2635</v>
      </c>
    </row>
    <row r="112" spans="1:14">
      <c r="A112" s="393" t="s">
        <v>3015</v>
      </c>
      <c r="B112" s="385" t="s">
        <v>2996</v>
      </c>
      <c r="C112" s="385"/>
      <c r="D112" s="355" t="s">
        <v>2635</v>
      </c>
      <c r="E112" s="375" t="s">
        <v>2635</v>
      </c>
      <c r="F112" s="355" t="s">
        <v>2635</v>
      </c>
      <c r="G112" s="355" t="s">
        <v>2635</v>
      </c>
      <c r="H112" s="355" t="s">
        <v>2635</v>
      </c>
      <c r="I112" s="355" t="s">
        <v>2635</v>
      </c>
      <c r="J112" s="375" t="s">
        <v>2635</v>
      </c>
      <c r="K112" s="355" t="s">
        <v>2635</v>
      </c>
      <c r="L112" s="355" t="s">
        <v>2635</v>
      </c>
      <c r="M112" s="375" t="s">
        <v>2635</v>
      </c>
      <c r="N112" s="375" t="s">
        <v>2635</v>
      </c>
    </row>
    <row r="113" spans="1:14">
      <c r="A113" s="373" t="s">
        <v>3016</v>
      </c>
      <c r="B113" s="385" t="s">
        <v>2899</v>
      </c>
      <c r="C113" s="385"/>
      <c r="D113" s="355" t="s">
        <v>2635</v>
      </c>
      <c r="E113" s="375" t="s">
        <v>2635</v>
      </c>
      <c r="F113" s="355" t="s">
        <v>2635</v>
      </c>
      <c r="G113" s="355" t="s">
        <v>2635</v>
      </c>
      <c r="H113" s="355" t="s">
        <v>2635</v>
      </c>
      <c r="I113" s="355" t="s">
        <v>2635</v>
      </c>
      <c r="J113" s="375" t="s">
        <v>2635</v>
      </c>
      <c r="K113" s="355" t="s">
        <v>2635</v>
      </c>
      <c r="L113" s="355" t="s">
        <v>2635</v>
      </c>
      <c r="M113" s="375" t="s">
        <v>2635</v>
      </c>
      <c r="N113" s="375" t="s">
        <v>2635</v>
      </c>
    </row>
    <row r="114" spans="1:14">
      <c r="A114" s="373" t="s">
        <v>3017</v>
      </c>
      <c r="B114" s="385" t="s">
        <v>2899</v>
      </c>
      <c r="C114" s="385"/>
      <c r="D114" s="355" t="s">
        <v>2635</v>
      </c>
      <c r="E114" s="375" t="s">
        <v>2635</v>
      </c>
      <c r="F114" s="355" t="s">
        <v>2635</v>
      </c>
      <c r="G114" s="355" t="s">
        <v>2635</v>
      </c>
      <c r="H114" s="355" t="s">
        <v>2635</v>
      </c>
      <c r="I114" s="355" t="s">
        <v>2635</v>
      </c>
      <c r="J114" s="375" t="s">
        <v>2635</v>
      </c>
      <c r="K114" s="355" t="s">
        <v>2635</v>
      </c>
      <c r="L114" s="355" t="s">
        <v>2635</v>
      </c>
      <c r="M114" s="375" t="s">
        <v>2635</v>
      </c>
      <c r="N114" s="375" t="s">
        <v>2635</v>
      </c>
    </row>
    <row r="115" spans="1:14">
      <c r="A115" s="367" t="s">
        <v>3018</v>
      </c>
      <c r="B115" s="367"/>
      <c r="C115" s="367"/>
      <c r="D115" s="367"/>
      <c r="E115" s="367"/>
      <c r="F115" s="367"/>
      <c r="G115" s="367"/>
      <c r="H115" s="367"/>
      <c r="I115" s="367"/>
      <c r="J115" s="367"/>
      <c r="K115" s="367"/>
      <c r="L115" s="367"/>
      <c r="M115" s="367"/>
      <c r="N115" s="367"/>
    </row>
    <row r="116" spans="1:14">
      <c r="A116" s="377" t="s">
        <v>3019</v>
      </c>
      <c r="B116" s="382" t="s">
        <v>3020</v>
      </c>
      <c r="C116" s="382"/>
      <c r="D116" s="595">
        <v>1</v>
      </c>
      <c r="E116" s="328">
        <v>1</v>
      </c>
      <c r="F116" s="595">
        <v>1</v>
      </c>
      <c r="G116" s="595">
        <v>1</v>
      </c>
      <c r="H116" s="595">
        <v>1</v>
      </c>
      <c r="I116" s="595">
        <v>1</v>
      </c>
      <c r="J116" s="328">
        <v>1</v>
      </c>
      <c r="K116" s="355" t="s">
        <v>2635</v>
      </c>
      <c r="L116" s="355" t="s">
        <v>2635</v>
      </c>
      <c r="M116" s="328">
        <v>1</v>
      </c>
      <c r="N116" s="328">
        <v>1</v>
      </c>
    </row>
    <row r="117" spans="1:14">
      <c r="A117" s="377" t="s">
        <v>3021</v>
      </c>
      <c r="B117" s="382" t="s">
        <v>2972</v>
      </c>
      <c r="C117" s="382"/>
      <c r="D117" s="595">
        <v>1</v>
      </c>
      <c r="E117" s="328">
        <v>1</v>
      </c>
      <c r="F117" s="595">
        <v>1</v>
      </c>
      <c r="G117" s="595">
        <v>1</v>
      </c>
      <c r="H117" s="595">
        <v>1</v>
      </c>
      <c r="I117" s="595">
        <v>1</v>
      </c>
      <c r="J117" s="328">
        <v>1</v>
      </c>
      <c r="K117" s="355" t="s">
        <v>2635</v>
      </c>
      <c r="L117" s="355" t="s">
        <v>2635</v>
      </c>
      <c r="M117" s="328">
        <v>1</v>
      </c>
      <c r="N117" s="328">
        <v>1</v>
      </c>
    </row>
    <row r="118" spans="1:14">
      <c r="A118" s="373" t="s">
        <v>3022</v>
      </c>
      <c r="B118" s="385" t="s">
        <v>3023</v>
      </c>
      <c r="C118" s="385"/>
      <c r="D118" s="355" t="s">
        <v>2635</v>
      </c>
      <c r="E118" s="375" t="s">
        <v>2635</v>
      </c>
      <c r="F118" s="355" t="s">
        <v>2635</v>
      </c>
      <c r="G118" s="355" t="s">
        <v>2635</v>
      </c>
      <c r="H118" s="355" t="s">
        <v>2635</v>
      </c>
      <c r="I118" s="355" t="s">
        <v>2635</v>
      </c>
      <c r="J118" s="375" t="s">
        <v>2635</v>
      </c>
      <c r="K118" s="355" t="s">
        <v>2635</v>
      </c>
      <c r="L118" s="355" t="s">
        <v>2635</v>
      </c>
      <c r="M118" s="375" t="s">
        <v>2635</v>
      </c>
      <c r="N118" s="375" t="s">
        <v>2635</v>
      </c>
    </row>
    <row r="119" spans="1:14">
      <c r="A119" s="373" t="s">
        <v>3024</v>
      </c>
      <c r="B119" s="385" t="s">
        <v>3023</v>
      </c>
      <c r="C119" s="385"/>
      <c r="D119" s="355" t="s">
        <v>2635</v>
      </c>
      <c r="E119" s="375" t="s">
        <v>2635</v>
      </c>
      <c r="F119" s="355" t="s">
        <v>2635</v>
      </c>
      <c r="G119" s="355" t="s">
        <v>2635</v>
      </c>
      <c r="H119" s="355" t="s">
        <v>2635</v>
      </c>
      <c r="I119" s="355" t="s">
        <v>2635</v>
      </c>
      <c r="J119" s="375" t="s">
        <v>2635</v>
      </c>
      <c r="K119" s="355" t="s">
        <v>2635</v>
      </c>
      <c r="L119" s="355" t="s">
        <v>2635</v>
      </c>
      <c r="M119" s="375" t="s">
        <v>2635</v>
      </c>
      <c r="N119" s="375" t="s">
        <v>2635</v>
      </c>
    </row>
    <row r="120" spans="1:14">
      <c r="A120" s="373" t="s">
        <v>3025</v>
      </c>
      <c r="B120" s="385" t="s">
        <v>3023</v>
      </c>
      <c r="C120" s="385"/>
      <c r="D120" s="355" t="s">
        <v>2635</v>
      </c>
      <c r="E120" s="375" t="s">
        <v>2635</v>
      </c>
      <c r="F120" s="355" t="s">
        <v>2635</v>
      </c>
      <c r="G120" s="355" t="s">
        <v>2635</v>
      </c>
      <c r="H120" s="355" t="s">
        <v>2635</v>
      </c>
      <c r="I120" s="355" t="s">
        <v>2635</v>
      </c>
      <c r="J120" s="375" t="s">
        <v>2635</v>
      </c>
      <c r="K120" s="355" t="s">
        <v>2635</v>
      </c>
      <c r="L120" s="355" t="s">
        <v>2635</v>
      </c>
      <c r="M120" s="375" t="s">
        <v>2635</v>
      </c>
      <c r="N120" s="375" t="s">
        <v>2635</v>
      </c>
    </row>
    <row r="121" spans="1:14">
      <c r="A121" s="373" t="s">
        <v>3026</v>
      </c>
      <c r="B121" s="385" t="s">
        <v>3023</v>
      </c>
      <c r="C121" s="385"/>
      <c r="D121" s="355" t="s">
        <v>2635</v>
      </c>
      <c r="E121" s="375" t="s">
        <v>2635</v>
      </c>
      <c r="F121" s="355" t="s">
        <v>2635</v>
      </c>
      <c r="G121" s="355" t="s">
        <v>2635</v>
      </c>
      <c r="H121" s="355" t="s">
        <v>2635</v>
      </c>
      <c r="I121" s="355" t="s">
        <v>2635</v>
      </c>
      <c r="J121" s="375" t="s">
        <v>2635</v>
      </c>
      <c r="K121" s="355" t="s">
        <v>2635</v>
      </c>
      <c r="L121" s="355" t="s">
        <v>2635</v>
      </c>
      <c r="M121" s="375" t="s">
        <v>2635</v>
      </c>
      <c r="N121" s="375" t="s">
        <v>2635</v>
      </c>
    </row>
    <row r="122" spans="1:14">
      <c r="A122" s="373" t="s">
        <v>3027</v>
      </c>
      <c r="B122" s="385" t="s">
        <v>3023</v>
      </c>
      <c r="C122" s="385"/>
      <c r="D122" s="355" t="s">
        <v>2635</v>
      </c>
      <c r="E122" s="375" t="s">
        <v>2635</v>
      </c>
      <c r="F122" s="355" t="s">
        <v>2635</v>
      </c>
      <c r="G122" s="355" t="s">
        <v>2635</v>
      </c>
      <c r="H122" s="355" t="s">
        <v>2635</v>
      </c>
      <c r="I122" s="355" t="s">
        <v>2635</v>
      </c>
      <c r="J122" s="375" t="s">
        <v>2635</v>
      </c>
      <c r="K122" s="355" t="s">
        <v>2635</v>
      </c>
      <c r="L122" s="355" t="s">
        <v>2635</v>
      </c>
      <c r="M122" s="375" t="s">
        <v>2635</v>
      </c>
      <c r="N122" s="375" t="s">
        <v>2635</v>
      </c>
    </row>
    <row r="123" spans="1:14">
      <c r="A123" s="373" t="s">
        <v>3028</v>
      </c>
      <c r="B123" s="385" t="s">
        <v>3023</v>
      </c>
      <c r="C123" s="385"/>
      <c r="D123" s="355" t="s">
        <v>2635</v>
      </c>
      <c r="E123" s="375" t="s">
        <v>2635</v>
      </c>
      <c r="F123" s="355" t="s">
        <v>2635</v>
      </c>
      <c r="G123" s="355" t="s">
        <v>2635</v>
      </c>
      <c r="H123" s="355" t="s">
        <v>2635</v>
      </c>
      <c r="I123" s="355" t="s">
        <v>2635</v>
      </c>
      <c r="J123" s="375" t="s">
        <v>2635</v>
      </c>
      <c r="K123" s="355" t="s">
        <v>2635</v>
      </c>
      <c r="L123" s="355" t="s">
        <v>2635</v>
      </c>
      <c r="M123" s="375" t="s">
        <v>2635</v>
      </c>
      <c r="N123" s="375" t="s">
        <v>2635</v>
      </c>
    </row>
    <row r="124" spans="1:14">
      <c r="A124" s="373" t="s">
        <v>3029</v>
      </c>
      <c r="B124" s="385" t="s">
        <v>3023</v>
      </c>
      <c r="C124" s="385"/>
      <c r="D124" s="355" t="s">
        <v>2635</v>
      </c>
      <c r="E124" s="375" t="s">
        <v>2635</v>
      </c>
      <c r="F124" s="355" t="s">
        <v>2635</v>
      </c>
      <c r="G124" s="355" t="s">
        <v>2635</v>
      </c>
      <c r="H124" s="355" t="s">
        <v>2635</v>
      </c>
      <c r="I124" s="355" t="s">
        <v>2635</v>
      </c>
      <c r="J124" s="375" t="s">
        <v>2635</v>
      </c>
      <c r="K124" s="355" t="s">
        <v>2635</v>
      </c>
      <c r="L124" s="355" t="s">
        <v>2635</v>
      </c>
      <c r="M124" s="375" t="s">
        <v>2635</v>
      </c>
      <c r="N124" s="375" t="s">
        <v>2635</v>
      </c>
    </row>
    <row r="134" spans="1:9">
      <c r="A134" s="10" t="s">
        <v>3030</v>
      </c>
      <c r="B134" s="10" t="s">
        <v>3031</v>
      </c>
      <c r="C134" s="10" t="s">
        <v>3032</v>
      </c>
      <c r="D134" s="10" t="s">
        <v>3033</v>
      </c>
      <c r="E134" s="10" t="s">
        <v>3034</v>
      </c>
      <c r="F134" s="10" t="s">
        <v>3035</v>
      </c>
      <c r="H134" s="10" t="s">
        <v>3036</v>
      </c>
      <c r="I134" s="10" t="s">
        <v>3037</v>
      </c>
    </row>
    <row r="135" spans="1:9">
      <c r="A135" s="10" t="s">
        <v>3038</v>
      </c>
      <c r="B135" s="10">
        <v>2.4</v>
      </c>
      <c r="C135" s="10">
        <v>2.4</v>
      </c>
      <c r="D135" s="10">
        <v>0</v>
      </c>
      <c r="E135" s="10">
        <v>12.5</v>
      </c>
      <c r="F135" s="10">
        <v>12.5</v>
      </c>
      <c r="H135" s="10">
        <v>9.4871999999999996</v>
      </c>
      <c r="I135" s="10">
        <v>4.992</v>
      </c>
    </row>
    <row r="136" spans="1:9">
      <c r="A136" s="10" t="s">
        <v>3039</v>
      </c>
      <c r="B136" s="10">
        <v>1400</v>
      </c>
      <c r="C136" s="10">
        <v>50</v>
      </c>
      <c r="D136" s="10">
        <v>0</v>
      </c>
      <c r="E136" s="10">
        <v>1.5</v>
      </c>
      <c r="F136" s="10">
        <v>1.5</v>
      </c>
      <c r="H136" s="10">
        <v>883.4</v>
      </c>
      <c r="I136" s="10">
        <v>104</v>
      </c>
    </row>
    <row r="137" spans="1:9">
      <c r="A137" s="10" t="s">
        <v>2639</v>
      </c>
      <c r="B137" s="10">
        <v>1E+100</v>
      </c>
      <c r="C137" s="10">
        <v>492</v>
      </c>
      <c r="D137" s="10">
        <v>1327</v>
      </c>
      <c r="E137" s="10">
        <v>0.45</v>
      </c>
      <c r="F137" s="10">
        <v>0</v>
      </c>
      <c r="H137" s="10">
        <v>1.0000000000000001E-30</v>
      </c>
      <c r="I137" s="10">
        <v>1023.36</v>
      </c>
    </row>
    <row r="138" spans="1:9">
      <c r="A138" s="10" t="s">
        <v>2907</v>
      </c>
      <c r="B138" s="10">
        <v>492</v>
      </c>
      <c r="C138" s="10">
        <v>15</v>
      </c>
      <c r="D138" s="10">
        <v>0</v>
      </c>
      <c r="E138" s="10">
        <v>0.45</v>
      </c>
      <c r="F138" s="10">
        <v>0.45</v>
      </c>
      <c r="H138" s="10">
        <v>107.01</v>
      </c>
      <c r="I138" s="10">
        <v>31.2</v>
      </c>
    </row>
    <row r="139" spans="1:9">
      <c r="A139" s="10" t="s">
        <v>3040</v>
      </c>
      <c r="B139" s="10">
        <v>492</v>
      </c>
      <c r="C139" s="10">
        <v>36</v>
      </c>
      <c r="D139" s="10">
        <v>0</v>
      </c>
      <c r="E139" s="10">
        <v>0.45</v>
      </c>
      <c r="F139" s="10">
        <v>0.45</v>
      </c>
      <c r="H139" s="10">
        <v>107.01</v>
      </c>
      <c r="I139" s="10">
        <v>74.88</v>
      </c>
    </row>
    <row r="140" spans="1:9">
      <c r="A140" s="10" t="s">
        <v>2909</v>
      </c>
      <c r="B140" s="10">
        <v>492</v>
      </c>
      <c r="C140" s="10">
        <v>90</v>
      </c>
      <c r="D140" s="10">
        <v>0</v>
      </c>
      <c r="E140" s="10">
        <v>0.45</v>
      </c>
      <c r="F140" s="10">
        <v>0.45</v>
      </c>
      <c r="H140" s="10">
        <v>108.97799999999999</v>
      </c>
      <c r="I140" s="10">
        <v>187.2</v>
      </c>
    </row>
    <row r="141" spans="1:9">
      <c r="A141" s="10" t="s">
        <v>3041</v>
      </c>
      <c r="B141" s="10">
        <v>492</v>
      </c>
      <c r="C141" s="10">
        <v>24</v>
      </c>
      <c r="D141" s="10">
        <v>0</v>
      </c>
      <c r="E141" s="10">
        <v>0.45</v>
      </c>
      <c r="F141" s="10">
        <v>0.45</v>
      </c>
      <c r="H141" s="10">
        <v>108.97799999999999</v>
      </c>
      <c r="I141" s="10">
        <v>49.92</v>
      </c>
    </row>
    <row r="142" spans="1:9">
      <c r="A142" s="10" t="s">
        <v>3042</v>
      </c>
      <c r="B142" s="10">
        <v>492</v>
      </c>
      <c r="C142" s="10">
        <v>8</v>
      </c>
      <c r="D142" s="10">
        <v>0</v>
      </c>
      <c r="E142" s="10">
        <v>0.45</v>
      </c>
      <c r="F142" s="10">
        <v>0.45</v>
      </c>
      <c r="H142" s="10">
        <v>107.01</v>
      </c>
      <c r="I142" s="10">
        <v>16.64</v>
      </c>
    </row>
    <row r="143" spans="1:9">
      <c r="A143" s="10" t="s">
        <v>3043</v>
      </c>
      <c r="B143" s="10">
        <v>492</v>
      </c>
      <c r="C143" s="10">
        <v>50</v>
      </c>
      <c r="D143" s="10">
        <v>0</v>
      </c>
      <c r="E143" s="10">
        <v>0.45</v>
      </c>
      <c r="F143" s="10">
        <v>0.45</v>
      </c>
      <c r="H143" s="10">
        <v>108.97799999999999</v>
      </c>
      <c r="I143" s="10">
        <v>104</v>
      </c>
    </row>
    <row r="144" spans="1:9">
      <c r="A144" s="10" t="s">
        <v>2908</v>
      </c>
      <c r="B144" s="10">
        <v>492</v>
      </c>
      <c r="C144" s="10">
        <v>20</v>
      </c>
      <c r="D144" s="10">
        <v>0</v>
      </c>
      <c r="E144" s="10">
        <v>0.45</v>
      </c>
      <c r="F144" s="10">
        <v>0.45</v>
      </c>
      <c r="H144" s="10">
        <v>107.01</v>
      </c>
      <c r="I144" s="10">
        <v>41.6</v>
      </c>
    </row>
    <row r="145" spans="1:9">
      <c r="A145" s="10" t="s">
        <v>2910</v>
      </c>
      <c r="B145" s="10">
        <v>492</v>
      </c>
      <c r="C145" s="10">
        <v>492</v>
      </c>
      <c r="D145" s="10">
        <v>0</v>
      </c>
      <c r="E145" s="10">
        <v>0.45</v>
      </c>
      <c r="F145" s="10">
        <v>0.45</v>
      </c>
      <c r="H145" s="10">
        <v>1.0000000000000001E-30</v>
      </c>
      <c r="I145" s="10">
        <v>1023.36</v>
      </c>
    </row>
    <row r="146" spans="1:9">
      <c r="A146" s="10" t="s">
        <v>3044</v>
      </c>
      <c r="B146" s="10">
        <v>2800</v>
      </c>
      <c r="C146" s="10">
        <v>50</v>
      </c>
      <c r="D146" s="10">
        <v>0</v>
      </c>
      <c r="E146" s="10">
        <v>1.5</v>
      </c>
      <c r="F146" s="10">
        <v>1.5</v>
      </c>
      <c r="H146" s="10">
        <v>0</v>
      </c>
      <c r="I146" s="10">
        <v>104</v>
      </c>
    </row>
  </sheetData>
  <sheetProtection sheet="1" objects="1" scenarios="1" formatCells="0" formatColumns="0" formatRows="0"/>
  <sortState xmlns:xlrd2="http://schemas.microsoft.com/office/spreadsheetml/2017/richdata2" ref="A135:F146">
    <sortCondition ref="A135:A146"/>
  </sortState>
  <mergeCells count="35">
    <mergeCell ref="U8:U10"/>
    <mergeCell ref="V8:V10"/>
    <mergeCell ref="W8:W10"/>
    <mergeCell ref="P11:P13"/>
    <mergeCell ref="S11:S13"/>
    <mergeCell ref="U11:U13"/>
    <mergeCell ref="V11:V13"/>
    <mergeCell ref="W11:W13"/>
    <mergeCell ref="U2:U4"/>
    <mergeCell ref="V2:V4"/>
    <mergeCell ref="W2:W4"/>
    <mergeCell ref="P5:P7"/>
    <mergeCell ref="S5:S7"/>
    <mergeCell ref="U5:U7"/>
    <mergeCell ref="V5:V7"/>
    <mergeCell ref="W5:W7"/>
    <mergeCell ref="J11:J12"/>
    <mergeCell ref="H11:H12"/>
    <mergeCell ref="P2:P4"/>
    <mergeCell ref="S2:S4"/>
    <mergeCell ref="P8:P10"/>
    <mergeCell ref="S8:S10"/>
    <mergeCell ref="A4:B4"/>
    <mergeCell ref="A7:A9"/>
    <mergeCell ref="B7:B9"/>
    <mergeCell ref="A15:A17"/>
    <mergeCell ref="B15:B17"/>
    <mergeCell ref="E11:E12"/>
    <mergeCell ref="B42:B44"/>
    <mergeCell ref="A42:A44"/>
    <mergeCell ref="A11:B11"/>
    <mergeCell ref="A12:B12"/>
    <mergeCell ref="B38:B40"/>
    <mergeCell ref="A38:A40"/>
    <mergeCell ref="D11:D12"/>
  </mergeCells>
  <dataValidations count="1">
    <dataValidation type="list" allowBlank="1" showInputMessage="1" showErrorMessage="1" sqref="I21 F21:G21 M21:N21" xr:uid="{DAC60287-66F6-4A5E-8B31-00D60E06F79C}">
      <formula1>$A$134:$A$146</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6680-0B38-4163-8870-02034BC131B3}">
  <sheetPr codeName="Sheet14"/>
  <dimension ref="A1:BQ135"/>
  <sheetViews>
    <sheetView topLeftCell="A6" zoomScale="96" zoomScaleNormal="81" workbookViewId="0">
      <pane ySplit="1" topLeftCell="A12" activePane="bottomLeft" state="frozen"/>
      <selection pane="bottomLeft" activeCell="A6" sqref="A6:B6"/>
      <selection activeCell="O16" sqref="N16:P17"/>
    </sheetView>
  </sheetViews>
  <sheetFormatPr defaultColWidth="8.7109375" defaultRowHeight="15"/>
  <cols>
    <col min="1" max="1" width="36.5703125" style="457" customWidth="1"/>
    <col min="2" max="2" width="11.42578125" style="310" customWidth="1"/>
    <col min="3" max="3" width="8.5703125" style="457" customWidth="1"/>
    <col min="4" max="5" width="23.28515625" style="311" customWidth="1"/>
    <col min="6" max="6" width="22.7109375" style="311" customWidth="1"/>
    <col min="7" max="7" width="23" style="311" customWidth="1"/>
    <col min="8" max="8" width="18.7109375" style="10" customWidth="1"/>
    <col min="9" max="9" width="20.28515625" style="10" customWidth="1"/>
    <col min="10" max="10" width="24" style="310" customWidth="1"/>
    <col min="11" max="11" width="21.28515625" style="53" customWidth="1"/>
    <col min="12" max="12" width="20.28515625" style="310" customWidth="1"/>
    <col min="13" max="13" width="8.7109375" style="10"/>
    <col min="14" max="14" width="38.5703125" style="10" customWidth="1"/>
    <col min="15" max="15" width="13.140625" style="10" customWidth="1"/>
    <col min="16" max="16" width="10.42578125" style="10" customWidth="1"/>
    <col min="17" max="19" width="8.7109375" style="10"/>
    <col min="20" max="20" width="11.85546875" style="10" customWidth="1"/>
    <col min="21" max="21" width="14.7109375" style="10" customWidth="1"/>
    <col min="22" max="22" width="11.42578125" style="10" hidden="1" customWidth="1"/>
    <col min="23" max="23" width="0" style="10" hidden="1" customWidth="1"/>
    <col min="24" max="24" width="8.7109375" style="10" hidden="1" customWidth="1"/>
    <col min="25" max="25" width="10.7109375" style="10" hidden="1" customWidth="1"/>
    <col min="26" max="30" width="8.7109375" style="10" hidden="1" customWidth="1"/>
    <col min="31" max="37" width="0" style="10" hidden="1" customWidth="1"/>
    <col min="38" max="39" width="10.7109375" style="10" hidden="1" customWidth="1"/>
    <col min="40" max="43" width="8.7109375" style="10" hidden="1" customWidth="1"/>
    <col min="44" max="44" width="9.7109375" style="10" customWidth="1"/>
    <col min="45" max="16384" width="8.7109375" style="10"/>
  </cols>
  <sheetData>
    <row r="1" spans="1:69" s="122" customFormat="1" ht="18" customHeight="1">
      <c r="A1" s="394" t="s">
        <v>3045</v>
      </c>
      <c r="B1" s="395"/>
      <c r="C1" s="396"/>
      <c r="D1" s="396"/>
      <c r="E1" s="397" t="s">
        <v>3046</v>
      </c>
      <c r="F1" s="398"/>
      <c r="G1" s="398"/>
      <c r="K1" s="399"/>
      <c r="L1" s="400"/>
    </row>
    <row r="2" spans="1:69" s="122" customFormat="1" ht="13.15" customHeight="1">
      <c r="A2" s="401" t="s">
        <v>3047</v>
      </c>
      <c r="B2" s="402"/>
      <c r="C2" s="403"/>
      <c r="D2" s="403"/>
      <c r="E2" s="404" t="s">
        <v>3048</v>
      </c>
      <c r="F2" s="405" t="s">
        <v>3049</v>
      </c>
      <c r="G2" s="406"/>
      <c r="K2" s="399"/>
      <c r="L2" s="400"/>
    </row>
    <row r="3" spans="1:69" s="122" customFormat="1" ht="13.15" customHeight="1">
      <c r="A3" s="401"/>
      <c r="B3" s="402"/>
      <c r="C3" s="403"/>
      <c r="D3" s="403"/>
      <c r="E3" s="404" t="s">
        <v>3050</v>
      </c>
      <c r="F3" s="405" t="s">
        <v>3051</v>
      </c>
      <c r="G3" s="406"/>
      <c r="K3" s="399"/>
      <c r="L3" s="400"/>
    </row>
    <row r="4" spans="1:69" s="122" customFormat="1" ht="13.15" customHeight="1" thickBot="1">
      <c r="B4" s="407"/>
      <c r="E4" s="408" t="s">
        <v>3052</v>
      </c>
      <c r="F4" s="409"/>
      <c r="G4" s="409"/>
      <c r="K4" s="399"/>
      <c r="L4" s="400"/>
    </row>
    <row r="5" spans="1:69" s="122" customFormat="1" ht="13.15" customHeight="1" thickBot="1">
      <c r="A5" s="401"/>
      <c r="B5" s="402"/>
      <c r="C5" s="403"/>
      <c r="D5" s="403"/>
      <c r="E5" s="403"/>
      <c r="F5" s="403"/>
      <c r="G5" s="403"/>
      <c r="J5" s="403"/>
      <c r="K5" s="399"/>
      <c r="L5" s="400"/>
    </row>
    <row r="6" spans="1:69" s="53" customFormat="1" ht="51">
      <c r="A6" s="793" t="s">
        <v>2733</v>
      </c>
      <c r="B6" s="794"/>
      <c r="C6" s="603"/>
      <c r="D6" s="410" t="str">
        <f>'BBP Crosswalk'!AO2</f>
        <v>Adult Toys</v>
      </c>
      <c r="E6" s="410" t="str">
        <f>'BBP Crosswalk'!AP2</f>
        <v>Car mat</v>
      </c>
      <c r="F6" s="410" t="str">
        <f>'BBP Crosswalk'!AQ2</f>
        <v>Children's Toys (Legacy)</v>
      </c>
      <c r="G6" s="410" t="str">
        <f>'BBP Crosswalk'!AR2</f>
        <v>Children's Toys (New)</v>
      </c>
      <c r="H6" s="410" t="str">
        <f>'BBP Crosswalk'!AS2</f>
        <v>Clothing (Synthetic Leather)</v>
      </c>
      <c r="I6" s="410" t="str">
        <f>'BBP Crosswalk'!AT2</f>
        <v>Furniture (Synthetic Leather)</v>
      </c>
      <c r="J6" s="410" t="str">
        <f>'BBP Crosswalk'!AU2</f>
        <v>Small articles with the potetial for semi-routine contact</v>
      </c>
      <c r="K6" s="410" t="str">
        <f>'BBP Crosswalk'!AV2</f>
        <v>Vinyl Flooring</v>
      </c>
      <c r="L6" s="571"/>
      <c r="M6" s="571"/>
      <c r="N6" s="343" t="s">
        <v>2733</v>
      </c>
      <c r="O6" s="344" t="s">
        <v>2868</v>
      </c>
      <c r="P6" s="345" t="s">
        <v>2869</v>
      </c>
      <c r="Q6" s="346" t="s">
        <v>2870</v>
      </c>
      <c r="R6" s="347" t="s">
        <v>2871</v>
      </c>
      <c r="S6" s="347" t="s">
        <v>2872</v>
      </c>
      <c r="T6" s="345" t="s">
        <v>296</v>
      </c>
      <c r="U6" s="346" t="s">
        <v>2873</v>
      </c>
      <c r="V6" s="411" t="s">
        <v>3053</v>
      </c>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71"/>
      <c r="BJ6" s="571"/>
      <c r="BK6" s="571"/>
      <c r="BL6" s="571"/>
      <c r="BM6" s="571"/>
      <c r="BN6" s="571"/>
      <c r="BO6" s="571"/>
      <c r="BP6" s="571"/>
      <c r="BQ6" s="571"/>
    </row>
    <row r="7" spans="1:69" s="53" customFormat="1" ht="45">
      <c r="A7" s="611" t="s">
        <v>2874</v>
      </c>
      <c r="B7" s="611"/>
      <c r="C7" s="611"/>
      <c r="D7" s="611" t="s">
        <v>2693</v>
      </c>
      <c r="E7" s="611" t="s">
        <v>3054</v>
      </c>
      <c r="F7" s="611" t="s">
        <v>3055</v>
      </c>
      <c r="G7" s="611" t="s">
        <v>3055</v>
      </c>
      <c r="H7" s="611" t="s">
        <v>2617</v>
      </c>
      <c r="I7" s="611" t="s">
        <v>3055</v>
      </c>
      <c r="J7" s="611" t="s">
        <v>2617</v>
      </c>
      <c r="K7" s="611" t="s">
        <v>3054</v>
      </c>
      <c r="L7" s="571"/>
      <c r="M7" s="571"/>
      <c r="N7" s="742" t="s">
        <v>2692</v>
      </c>
      <c r="O7" s="10" t="s">
        <v>2741</v>
      </c>
      <c r="P7" s="348">
        <f>'BBP Crosswalk'!AO3</f>
        <v>2.5999999999999998E-5</v>
      </c>
      <c r="Q7" s="743">
        <v>1.4</v>
      </c>
      <c r="R7" s="349" t="s">
        <v>2635</v>
      </c>
      <c r="S7" s="744">
        <v>0.01</v>
      </c>
      <c r="T7" s="745" t="s">
        <v>2635</v>
      </c>
      <c r="U7" s="743" t="s">
        <v>2635</v>
      </c>
      <c r="V7" s="798">
        <v>107.01</v>
      </c>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row>
    <row r="8" spans="1:69" s="352" customFormat="1" ht="30">
      <c r="A8" s="350" t="s">
        <v>2875</v>
      </c>
      <c r="B8" s="351" t="s">
        <v>553</v>
      </c>
      <c r="C8" s="351" t="s">
        <v>2780</v>
      </c>
      <c r="D8" s="351" t="s">
        <v>2896</v>
      </c>
      <c r="E8" s="351" t="s">
        <v>2896</v>
      </c>
      <c r="F8" s="351" t="s">
        <v>2896</v>
      </c>
      <c r="G8" s="351" t="s">
        <v>2896</v>
      </c>
      <c r="H8" s="351" t="s">
        <v>2896</v>
      </c>
      <c r="I8" s="351" t="s">
        <v>2896</v>
      </c>
      <c r="J8" s="351"/>
      <c r="K8" s="351" t="s">
        <v>2896</v>
      </c>
      <c r="L8" s="10"/>
      <c r="M8" s="10"/>
      <c r="N8" s="742"/>
      <c r="O8" s="10" t="s">
        <v>2790</v>
      </c>
      <c r="P8" s="348">
        <f>'BBP Crosswalk'!AO4</f>
        <v>2.5999999999999998E-5</v>
      </c>
      <c r="Q8" s="743"/>
      <c r="R8" s="349" t="s">
        <v>2635</v>
      </c>
      <c r="S8" s="744"/>
      <c r="T8" s="745"/>
      <c r="U8" s="743"/>
      <c r="V8" s="798"/>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10"/>
      <c r="AW8" s="10"/>
      <c r="AX8" s="10"/>
      <c r="AY8" s="10"/>
      <c r="AZ8" s="10"/>
      <c r="BA8" s="10"/>
      <c r="BB8" s="10"/>
      <c r="BC8" s="10"/>
      <c r="BD8" s="10"/>
      <c r="BE8" s="10"/>
      <c r="BF8" s="10"/>
      <c r="BG8" s="10"/>
      <c r="BH8" s="10"/>
      <c r="BI8" s="10"/>
      <c r="BJ8" s="10"/>
      <c r="BK8" s="10"/>
      <c r="BL8" s="10"/>
      <c r="BM8" s="10"/>
      <c r="BN8" s="10"/>
      <c r="BO8" s="10"/>
      <c r="BP8" s="10"/>
      <c r="BQ8" s="10"/>
    </row>
    <row r="9" spans="1:69" s="53" customFormat="1" ht="40.5" customHeight="1">
      <c r="A9" s="732" t="s">
        <v>2876</v>
      </c>
      <c r="B9" s="733"/>
      <c r="C9" s="412"/>
      <c r="D9" s="573" t="s">
        <v>3056</v>
      </c>
      <c r="E9" s="573" t="s">
        <v>3056</v>
      </c>
      <c r="F9" s="573" t="s">
        <v>3057</v>
      </c>
      <c r="G9" s="573" t="s">
        <v>3057</v>
      </c>
      <c r="H9" s="573" t="s">
        <v>3056</v>
      </c>
      <c r="I9" s="573" t="s">
        <v>3058</v>
      </c>
      <c r="J9" s="573" t="s">
        <v>3058</v>
      </c>
      <c r="K9" s="573" t="s">
        <v>3058</v>
      </c>
      <c r="L9" s="571"/>
      <c r="M9" s="571"/>
      <c r="N9" s="742"/>
      <c r="O9" s="10" t="s">
        <v>2745</v>
      </c>
      <c r="P9" s="348">
        <f>'BBP Crosswalk'!AO5</f>
        <v>2.5999999999999998E-5</v>
      </c>
      <c r="Q9" s="743"/>
      <c r="R9" s="349" t="s">
        <v>2635</v>
      </c>
      <c r="S9" s="744"/>
      <c r="T9" s="745"/>
      <c r="U9" s="743"/>
      <c r="V9" s="798"/>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row>
    <row r="10" spans="1:69" s="53" customFormat="1" ht="40.5" customHeight="1">
      <c r="A10" s="596" t="s">
        <v>2975</v>
      </c>
      <c r="B10" s="356" t="s">
        <v>2882</v>
      </c>
      <c r="C10" s="412"/>
      <c r="D10" s="573">
        <v>1</v>
      </c>
      <c r="E10" s="573">
        <v>1</v>
      </c>
      <c r="F10" s="573">
        <v>1</v>
      </c>
      <c r="G10" s="573">
        <v>1</v>
      </c>
      <c r="H10" s="573">
        <v>1</v>
      </c>
      <c r="I10" s="573">
        <v>1</v>
      </c>
      <c r="J10" s="573">
        <v>1</v>
      </c>
      <c r="K10" s="573">
        <v>1</v>
      </c>
      <c r="L10" s="571"/>
      <c r="M10" s="571"/>
      <c r="N10" s="742" t="s">
        <v>3059</v>
      </c>
      <c r="O10" s="10" t="s">
        <v>2741</v>
      </c>
      <c r="P10" s="348">
        <f>'BBP Crosswalk'!AP3</f>
        <v>5.0000000000000002E-5</v>
      </c>
      <c r="Q10" s="743">
        <v>1.4</v>
      </c>
      <c r="R10" s="349">
        <v>1.29</v>
      </c>
      <c r="S10" s="744">
        <v>0.01</v>
      </c>
      <c r="T10" s="745" t="s">
        <v>3038</v>
      </c>
      <c r="U10" s="743">
        <v>2.4</v>
      </c>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row>
    <row r="11" spans="1:69" s="53" customFormat="1" ht="40.5" customHeight="1">
      <c r="A11" s="596" t="s">
        <v>2975</v>
      </c>
      <c r="B11" s="356" t="s">
        <v>2880</v>
      </c>
      <c r="C11" s="412"/>
      <c r="D11" s="573">
        <v>365</v>
      </c>
      <c r="E11" s="573">
        <v>52</v>
      </c>
      <c r="F11" s="573">
        <v>365</v>
      </c>
      <c r="G11" s="573">
        <v>365</v>
      </c>
      <c r="H11" s="573">
        <v>52</v>
      </c>
      <c r="I11" s="573">
        <v>365</v>
      </c>
      <c r="J11" s="573">
        <v>365</v>
      </c>
      <c r="K11" s="573">
        <v>365</v>
      </c>
      <c r="L11" s="571"/>
      <c r="M11" s="571"/>
      <c r="N11" s="742"/>
      <c r="O11" s="10" t="s">
        <v>2790</v>
      </c>
      <c r="P11" s="348">
        <f>'BBP Crosswalk'!AP4</f>
        <v>5.0000000000000002E-5</v>
      </c>
      <c r="Q11" s="743"/>
      <c r="R11" s="349">
        <v>1.29</v>
      </c>
      <c r="S11" s="744"/>
      <c r="T11" s="745"/>
      <c r="U11" s="743"/>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1"/>
      <c r="BP11" s="571"/>
      <c r="BQ11" s="571"/>
    </row>
    <row r="12" spans="1:69" s="53" customFormat="1" ht="19.5" customHeight="1">
      <c r="A12" s="734" t="s">
        <v>2933</v>
      </c>
      <c r="B12" s="736" t="s">
        <v>2884</v>
      </c>
      <c r="C12" s="598" t="s">
        <v>2741</v>
      </c>
      <c r="D12" s="357">
        <v>60</v>
      </c>
      <c r="E12" s="413">
        <v>60</v>
      </c>
      <c r="F12" s="357">
        <v>137</v>
      </c>
      <c r="G12" s="357">
        <v>137</v>
      </c>
      <c r="H12" s="357">
        <v>480</v>
      </c>
      <c r="I12" s="357">
        <v>480</v>
      </c>
      <c r="J12" s="413">
        <v>120</v>
      </c>
      <c r="K12" s="357">
        <v>120</v>
      </c>
      <c r="L12" s="571"/>
      <c r="M12" s="571"/>
      <c r="N12" s="742"/>
      <c r="O12" s="10" t="s">
        <v>2745</v>
      </c>
      <c r="P12" s="348">
        <f>'BBP Crosswalk'!AP5</f>
        <v>5.0000000000000002E-5</v>
      </c>
      <c r="Q12" s="743"/>
      <c r="R12" s="349">
        <v>1.29</v>
      </c>
      <c r="S12" s="744"/>
      <c r="T12" s="745"/>
      <c r="U12" s="743"/>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row>
    <row r="13" spans="1:69" s="53" customFormat="1" ht="18.600000000000001" customHeight="1">
      <c r="A13" s="735"/>
      <c r="B13" s="737"/>
      <c r="C13" s="598" t="s">
        <v>2744</v>
      </c>
      <c r="D13" s="357">
        <v>30</v>
      </c>
      <c r="E13" s="413">
        <v>30</v>
      </c>
      <c r="F13" s="357">
        <v>88</v>
      </c>
      <c r="G13" s="357">
        <v>88</v>
      </c>
      <c r="H13" s="357">
        <v>240</v>
      </c>
      <c r="I13" s="357">
        <v>240</v>
      </c>
      <c r="J13" s="413">
        <v>60</v>
      </c>
      <c r="K13" s="357">
        <v>60</v>
      </c>
      <c r="L13" s="571"/>
      <c r="M13" s="571"/>
      <c r="N13" s="742" t="s">
        <v>3060</v>
      </c>
      <c r="O13" s="10" t="s">
        <v>2741</v>
      </c>
      <c r="P13" s="348">
        <f>'BBP Crosswalk'!AQ3</f>
        <v>5.0000000000000001E-3</v>
      </c>
      <c r="Q13" s="743">
        <v>1.4</v>
      </c>
      <c r="R13" s="349">
        <v>9.4499999999999993</v>
      </c>
      <c r="S13" s="744">
        <v>0.01</v>
      </c>
      <c r="T13" s="745" t="s">
        <v>2704</v>
      </c>
      <c r="U13" s="743">
        <v>36</v>
      </c>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1"/>
      <c r="BP13" s="571"/>
      <c r="BQ13" s="571"/>
    </row>
    <row r="14" spans="1:69" s="53" customFormat="1" ht="15" customHeight="1">
      <c r="A14" s="735"/>
      <c r="B14" s="737"/>
      <c r="C14" s="598" t="s">
        <v>2745</v>
      </c>
      <c r="D14" s="357">
        <v>15</v>
      </c>
      <c r="E14" s="413">
        <v>15</v>
      </c>
      <c r="F14" s="357">
        <v>24</v>
      </c>
      <c r="G14" s="357">
        <v>24</v>
      </c>
      <c r="H14" s="357">
        <v>120</v>
      </c>
      <c r="I14" s="357">
        <v>120</v>
      </c>
      <c r="J14" s="413">
        <v>30</v>
      </c>
      <c r="K14" s="357">
        <v>30</v>
      </c>
      <c r="L14" s="571"/>
      <c r="M14" s="571"/>
      <c r="N14" s="742"/>
      <c r="O14" s="10" t="s">
        <v>2790</v>
      </c>
      <c r="P14" s="348">
        <f>'BBP Crosswalk'!AQ4</f>
        <v>3.0000000000000001E-3</v>
      </c>
      <c r="Q14" s="743"/>
      <c r="R14" s="349">
        <v>2.3199999999999998</v>
      </c>
      <c r="S14" s="744"/>
      <c r="T14" s="745"/>
      <c r="U14" s="743"/>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row>
    <row r="15" spans="1:69" s="363" customFormat="1" ht="20.100000000000001" customHeight="1">
      <c r="A15" s="359" t="s">
        <v>2885</v>
      </c>
      <c r="B15" s="360"/>
      <c r="C15" s="361"/>
      <c r="D15" s="362"/>
      <c r="E15" s="414"/>
      <c r="F15" s="362"/>
      <c r="G15" s="362"/>
      <c r="H15" s="362"/>
      <c r="I15" s="362"/>
      <c r="J15" s="362"/>
      <c r="K15" s="362"/>
      <c r="L15" s="571"/>
      <c r="M15" s="571"/>
      <c r="N15" s="742"/>
      <c r="O15" s="10" t="s">
        <v>2745</v>
      </c>
      <c r="P15" s="348">
        <f>'BBP Crosswalk'!AQ5</f>
        <v>1E-3</v>
      </c>
      <c r="Q15" s="743"/>
      <c r="R15" s="349">
        <v>0.28000000000000003</v>
      </c>
      <c r="S15" s="744"/>
      <c r="T15" s="745"/>
      <c r="U15" s="743"/>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1"/>
      <c r="BJ15" s="571"/>
      <c r="BK15" s="571"/>
      <c r="BL15" s="571"/>
      <c r="BM15" s="571"/>
      <c r="BN15" s="571"/>
      <c r="BO15" s="571"/>
      <c r="BP15" s="571"/>
      <c r="BQ15" s="571"/>
    </row>
    <row r="16" spans="1:69" s="53" customFormat="1" ht="32.1" customHeight="1">
      <c r="A16" s="799" t="s">
        <v>2886</v>
      </c>
      <c r="B16" s="800"/>
      <c r="C16" s="801"/>
      <c r="D16" s="573" t="s">
        <v>3061</v>
      </c>
      <c r="E16" s="573" t="s">
        <v>3062</v>
      </c>
      <c r="F16" s="573" t="s">
        <v>3063</v>
      </c>
      <c r="G16" s="573" t="s">
        <v>3063</v>
      </c>
      <c r="H16" s="795" t="s">
        <v>3064</v>
      </c>
      <c r="I16" s="595" t="s">
        <v>3063</v>
      </c>
      <c r="J16" s="796" t="s">
        <v>3064</v>
      </c>
      <c r="K16" s="573" t="s">
        <v>3062</v>
      </c>
      <c r="L16" s="571"/>
      <c r="M16" s="571"/>
      <c r="N16" s="742" t="s">
        <v>2783</v>
      </c>
      <c r="O16" s="10" t="s">
        <v>2741</v>
      </c>
      <c r="P16" s="348">
        <f>'BBP Crosswalk'!AR3</f>
        <v>1E-3</v>
      </c>
      <c r="Q16" s="743">
        <v>1.4</v>
      </c>
      <c r="R16" s="349">
        <v>9.4499999999999993</v>
      </c>
      <c r="S16" s="744">
        <v>0.01</v>
      </c>
      <c r="T16" s="745" t="s">
        <v>2704</v>
      </c>
      <c r="U16" s="743">
        <v>36</v>
      </c>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row>
    <row r="17" spans="1:69" s="53" customFormat="1" ht="65.650000000000006" customHeight="1">
      <c r="A17" s="788" t="s">
        <v>2891</v>
      </c>
      <c r="B17" s="789"/>
      <c r="C17" s="790"/>
      <c r="D17" s="573" t="s">
        <v>3065</v>
      </c>
      <c r="E17" s="573" t="s">
        <v>3065</v>
      </c>
      <c r="F17" s="573" t="s">
        <v>3065</v>
      </c>
      <c r="G17" s="573" t="s">
        <v>3065</v>
      </c>
      <c r="H17" s="795"/>
      <c r="I17" s="595" t="s">
        <v>3066</v>
      </c>
      <c r="J17" s="797"/>
      <c r="K17" s="573" t="s">
        <v>3067</v>
      </c>
      <c r="L17" s="571"/>
      <c r="M17" s="571"/>
      <c r="N17" s="742"/>
      <c r="O17" s="10" t="s">
        <v>2790</v>
      </c>
      <c r="P17" s="348">
        <f>'BBP Crosswalk'!AR4</f>
        <v>1E-3</v>
      </c>
      <c r="Q17" s="743"/>
      <c r="R17" s="349">
        <v>2.3199999999999998</v>
      </c>
      <c r="S17" s="744"/>
      <c r="T17" s="745"/>
      <c r="U17" s="743"/>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row>
    <row r="18" spans="1:69" s="57" customFormat="1" ht="30.6" customHeight="1">
      <c r="A18" s="351" t="s">
        <v>3068</v>
      </c>
      <c r="B18" s="351" t="s">
        <v>553</v>
      </c>
      <c r="C18" s="351" t="s">
        <v>2780</v>
      </c>
      <c r="D18" s="351" t="s">
        <v>2896</v>
      </c>
      <c r="E18" s="351" t="s">
        <v>2896</v>
      </c>
      <c r="F18" s="351" t="s">
        <v>2896</v>
      </c>
      <c r="G18" s="351" t="s">
        <v>2896</v>
      </c>
      <c r="H18" s="351" t="s">
        <v>2896</v>
      </c>
      <c r="I18" s="351" t="s">
        <v>2896</v>
      </c>
      <c r="J18" s="351"/>
      <c r="K18" s="351" t="s">
        <v>2896</v>
      </c>
      <c r="L18" s="614"/>
      <c r="M18" s="614"/>
      <c r="N18" s="742"/>
      <c r="O18" s="10" t="s">
        <v>2745</v>
      </c>
      <c r="P18" s="348">
        <f>'BBP Crosswalk'!AR5</f>
        <v>1E-3</v>
      </c>
      <c r="Q18" s="743"/>
      <c r="R18" s="349">
        <v>0.28000000000000003</v>
      </c>
      <c r="S18" s="744"/>
      <c r="T18" s="745"/>
      <c r="U18" s="743"/>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4"/>
      <c r="BJ18" s="614"/>
      <c r="BK18" s="614"/>
      <c r="BL18" s="614"/>
      <c r="BM18" s="614"/>
      <c r="BN18" s="614"/>
      <c r="BO18" s="614"/>
      <c r="BP18" s="614"/>
      <c r="BQ18" s="614"/>
    </row>
    <row r="19" spans="1:69">
      <c r="A19" s="415" t="s">
        <v>2897</v>
      </c>
      <c r="B19" s="370"/>
      <c r="C19" s="416"/>
      <c r="D19" s="369"/>
      <c r="E19" s="369"/>
      <c r="F19" s="369"/>
      <c r="G19" s="369"/>
      <c r="H19" s="369"/>
      <c r="I19" s="369"/>
      <c r="J19" s="370"/>
      <c r="K19" s="369"/>
      <c r="L19" s="610"/>
      <c r="N19" s="742" t="s">
        <v>2667</v>
      </c>
      <c r="O19" s="10" t="s">
        <v>2741</v>
      </c>
      <c r="P19" s="348">
        <f>'BBP Crosswalk'!AT3</f>
        <v>6.5200000000000002E-4</v>
      </c>
      <c r="Q19" s="743">
        <v>1.4</v>
      </c>
      <c r="R19" s="349">
        <v>17</v>
      </c>
      <c r="S19" s="744">
        <v>0.01</v>
      </c>
      <c r="T19" s="745" t="s">
        <v>2669</v>
      </c>
      <c r="U19" s="743">
        <v>50</v>
      </c>
    </row>
    <row r="20" spans="1:69">
      <c r="A20" s="791" t="s">
        <v>3069</v>
      </c>
      <c r="B20" s="792" t="s">
        <v>2899</v>
      </c>
      <c r="C20" s="605" t="s">
        <v>2741</v>
      </c>
      <c r="D20" s="417">
        <f>'BBP Crosswalk'!AO3</f>
        <v>2.5999999999999998E-5</v>
      </c>
      <c r="E20" s="417">
        <f>'BBP Crosswalk'!AP3</f>
        <v>5.0000000000000002E-5</v>
      </c>
      <c r="F20" s="417">
        <f>'BBP Crosswalk'!AQ3</f>
        <v>5.0000000000000001E-3</v>
      </c>
      <c r="G20" s="417">
        <f>'BBP Crosswalk'!AR3</f>
        <v>1E-3</v>
      </c>
      <c r="H20" s="418">
        <f>'BBP Crosswalk'!AS3</f>
        <v>6.5200000000000002E-4</v>
      </c>
      <c r="I20" s="417">
        <f>'BBP Crosswalk'!AT3</f>
        <v>6.5200000000000002E-4</v>
      </c>
      <c r="J20" s="418">
        <f>'BBP Crosswalk'!AU3</f>
        <v>3.9820000000000001E-2</v>
      </c>
      <c r="K20" s="417">
        <f>'BBP Crosswalk'!AV3</f>
        <v>8.8999999999999999E-3</v>
      </c>
      <c r="L20" s="610"/>
      <c r="N20" s="742"/>
      <c r="O20" s="10" t="s">
        <v>2790</v>
      </c>
      <c r="P20" s="348">
        <f>'BBP Crosswalk'!AT4</f>
        <v>3.88E-4</v>
      </c>
      <c r="Q20" s="743"/>
      <c r="R20" s="349">
        <v>12</v>
      </c>
      <c r="S20" s="744"/>
      <c r="T20" s="745"/>
      <c r="U20" s="743"/>
    </row>
    <row r="21" spans="1:69" ht="15.75" thickBot="1">
      <c r="A21" s="791"/>
      <c r="B21" s="792"/>
      <c r="C21" s="605" t="s">
        <v>2744</v>
      </c>
      <c r="D21" s="417">
        <f>'BBP Crosswalk'!AO4</f>
        <v>2.5999999999999998E-5</v>
      </c>
      <c r="E21" s="417">
        <f>'BBP Crosswalk'!AP4</f>
        <v>5.0000000000000002E-5</v>
      </c>
      <c r="F21" s="417">
        <f>'BBP Crosswalk'!AQ4</f>
        <v>3.0000000000000001E-3</v>
      </c>
      <c r="G21" s="417">
        <f>'BBP Crosswalk'!AR4</f>
        <v>1E-3</v>
      </c>
      <c r="H21" s="418">
        <f>'BBP Crosswalk'!AS4</f>
        <v>3.88E-4</v>
      </c>
      <c r="I21" s="417">
        <f>'BBP Crosswalk'!AT4</f>
        <v>3.88E-4</v>
      </c>
      <c r="J21" s="418">
        <f>'BBP Crosswalk'!AU4</f>
        <v>8.29008E-3</v>
      </c>
      <c r="K21" s="417">
        <f>'BBP Crosswalk'!AV4</f>
        <v>4.9532500000000002E-3</v>
      </c>
      <c r="L21" s="610"/>
      <c r="N21" s="742"/>
      <c r="O21" s="10" t="s">
        <v>2745</v>
      </c>
      <c r="P21" s="348">
        <f>'BBP Crosswalk'!AT5</f>
        <v>1.2400000000000001E-4</v>
      </c>
      <c r="Q21" s="743"/>
      <c r="R21" s="349">
        <v>7.9</v>
      </c>
      <c r="S21" s="744"/>
      <c r="T21" s="745"/>
      <c r="U21" s="743"/>
    </row>
    <row r="22" spans="1:69" ht="16.149999999999999" customHeight="1" thickBot="1">
      <c r="A22" s="791"/>
      <c r="B22" s="792"/>
      <c r="C22" s="605" t="s">
        <v>2745</v>
      </c>
      <c r="D22" s="417">
        <f>'BBP Crosswalk'!AO5</f>
        <v>2.5999999999999998E-5</v>
      </c>
      <c r="E22" s="417">
        <f>'BBP Crosswalk'!AP5</f>
        <v>5.0000000000000002E-5</v>
      </c>
      <c r="F22" s="417">
        <f>'BBP Crosswalk'!AQ5</f>
        <v>1E-3</v>
      </c>
      <c r="G22" s="417">
        <f>'BBP Crosswalk'!AR5</f>
        <v>1E-3</v>
      </c>
      <c r="H22" s="418">
        <f>'BBP Crosswalk'!AS5</f>
        <v>1.2400000000000001E-4</v>
      </c>
      <c r="I22" s="417">
        <f>'BBP Crosswalk'!AT5</f>
        <v>1.2400000000000001E-4</v>
      </c>
      <c r="J22" s="418">
        <f>'BBP Crosswalk'!AU5</f>
        <v>1.29E-5</v>
      </c>
      <c r="K22" s="417">
        <f>'BBP Crosswalk'!AV5</f>
        <v>1.13E-4</v>
      </c>
      <c r="L22" s="610"/>
      <c r="N22" s="742" t="s">
        <v>45</v>
      </c>
      <c r="O22" s="10" t="s">
        <v>2741</v>
      </c>
      <c r="P22" s="348">
        <f>'BBP Crosswalk'!AV3</f>
        <v>8.8999999999999999E-3</v>
      </c>
      <c r="Q22" s="743">
        <v>1.4</v>
      </c>
      <c r="R22" s="349">
        <v>202</v>
      </c>
      <c r="S22" s="744">
        <v>0.01</v>
      </c>
      <c r="T22" s="745" t="s">
        <v>2659</v>
      </c>
      <c r="U22" s="743">
        <v>491.9</v>
      </c>
      <c r="V22" s="419" t="s">
        <v>2733</v>
      </c>
      <c r="W22" s="420" t="s">
        <v>3070</v>
      </c>
      <c r="X22" s="420" t="s">
        <v>3071</v>
      </c>
      <c r="Y22" s="420" t="s">
        <v>3072</v>
      </c>
      <c r="Z22" s="420" t="s">
        <v>3073</v>
      </c>
      <c r="AA22" s="420" t="s">
        <v>3074</v>
      </c>
      <c r="AB22" s="420" t="s">
        <v>3075</v>
      </c>
      <c r="AC22" s="420" t="s">
        <v>3076</v>
      </c>
      <c r="AD22" s="420" t="s">
        <v>3077</v>
      </c>
      <c r="AJ22" s="419" t="s">
        <v>2733</v>
      </c>
      <c r="AK22" s="420" t="s">
        <v>3070</v>
      </c>
      <c r="AL22" s="420" t="s">
        <v>3071</v>
      </c>
      <c r="AM22" s="420" t="s">
        <v>3072</v>
      </c>
      <c r="AN22" s="420" t="s">
        <v>3073</v>
      </c>
      <c r="AO22" s="421" t="s">
        <v>3074</v>
      </c>
      <c r="AP22" s="420" t="s">
        <v>3075</v>
      </c>
      <c r="AQ22" s="420" t="s">
        <v>3076</v>
      </c>
      <c r="AR22" s="420" t="s">
        <v>3077</v>
      </c>
    </row>
    <row r="23" spans="1:69" ht="15.6" customHeight="1" thickTop="1" thickBot="1">
      <c r="A23" s="422" t="s">
        <v>2900</v>
      </c>
      <c r="B23" s="584" t="s">
        <v>2901</v>
      </c>
      <c r="C23" s="328"/>
      <c r="D23" s="595" t="s">
        <v>3078</v>
      </c>
      <c r="E23" s="595" t="s">
        <v>3078</v>
      </c>
      <c r="F23" s="595" t="s">
        <v>3078</v>
      </c>
      <c r="G23" s="595" t="s">
        <v>3078</v>
      </c>
      <c r="H23" s="375" t="s">
        <v>2635</v>
      </c>
      <c r="I23" s="595" t="s">
        <v>3078</v>
      </c>
      <c r="J23" s="375" t="s">
        <v>2635</v>
      </c>
      <c r="K23" s="595" t="s">
        <v>3078</v>
      </c>
      <c r="L23" s="610"/>
      <c r="N23" s="742"/>
      <c r="O23" s="10" t="s">
        <v>2790</v>
      </c>
      <c r="P23" s="348">
        <f>'BBP Crosswalk'!AV4</f>
        <v>4.9532500000000002E-3</v>
      </c>
      <c r="Q23" s="743"/>
      <c r="R23" s="349">
        <v>101</v>
      </c>
      <c r="S23" s="744"/>
      <c r="T23" s="745"/>
      <c r="U23" s="743"/>
      <c r="V23" s="749" t="e">
        <f>#REF!</f>
        <v>#REF!</v>
      </c>
      <c r="W23" s="607" t="s">
        <v>2741</v>
      </c>
      <c r="X23" s="602" t="e">
        <f>#REF!</f>
        <v>#REF!</v>
      </c>
      <c r="Y23" s="602" t="e">
        <f>X23*1.4*1000</f>
        <v>#REF!</v>
      </c>
      <c r="Z23" s="602">
        <v>1.4</v>
      </c>
      <c r="AA23" s="602" t="e">
        <f>#REF!</f>
        <v>#REF!</v>
      </c>
      <c r="AB23" s="752" t="e">
        <f>#REF!</f>
        <v>#REF!</v>
      </c>
      <c r="AC23" s="752" t="e">
        <f>#REF!</f>
        <v>#REF!</v>
      </c>
      <c r="AD23" s="752" t="e">
        <f>#REF!</f>
        <v>#REF!</v>
      </c>
      <c r="AJ23" s="749" t="s">
        <v>3079</v>
      </c>
      <c r="AK23" s="607" t="s">
        <v>2741</v>
      </c>
      <c r="AL23" s="423">
        <v>0.30399999999999999</v>
      </c>
      <c r="AM23" s="607">
        <v>425.59999999999997</v>
      </c>
      <c r="AN23" s="769">
        <v>1.4</v>
      </c>
      <c r="AO23" s="609">
        <v>7.2</v>
      </c>
      <c r="AP23" s="771">
        <v>0.01</v>
      </c>
      <c r="AQ23" s="749">
        <v>492</v>
      </c>
      <c r="AR23" s="780">
        <v>1.0000000000000001E-30</v>
      </c>
    </row>
    <row r="24" spans="1:69" ht="15.75" thickBot="1">
      <c r="A24" s="424" t="s">
        <v>2902</v>
      </c>
      <c r="B24" s="328" t="s">
        <v>2903</v>
      </c>
      <c r="C24" s="425"/>
      <c r="D24" s="595" t="s">
        <v>2635</v>
      </c>
      <c r="E24" s="595" t="s">
        <v>2635</v>
      </c>
      <c r="F24" s="595">
        <v>0</v>
      </c>
      <c r="G24" s="595">
        <v>0</v>
      </c>
      <c r="H24" s="375" t="s">
        <v>2635</v>
      </c>
      <c r="I24" s="595">
        <v>0</v>
      </c>
      <c r="J24" s="355">
        <v>0</v>
      </c>
      <c r="K24" s="595">
        <v>0</v>
      </c>
      <c r="L24" s="610"/>
      <c r="N24" s="742"/>
      <c r="O24" s="10" t="s">
        <v>2745</v>
      </c>
      <c r="P24" s="348">
        <f>'BBP Crosswalk'!AV5</f>
        <v>1.13E-4</v>
      </c>
      <c r="Q24" s="743"/>
      <c r="R24" s="349">
        <v>50.5</v>
      </c>
      <c r="S24" s="744"/>
      <c r="T24" s="745"/>
      <c r="U24" s="743"/>
      <c r="V24" s="750"/>
      <c r="W24" s="607" t="s">
        <v>2790</v>
      </c>
      <c r="X24" s="602" t="e">
        <f>#REF!</f>
        <v>#REF!</v>
      </c>
      <c r="Y24" s="602" t="e">
        <f t="shared" ref="Y24:Y25" si="0">X24*1.4*1000</f>
        <v>#REF!</v>
      </c>
      <c r="Z24" s="600"/>
      <c r="AA24" s="600"/>
      <c r="AB24" s="750"/>
      <c r="AC24" s="750"/>
      <c r="AD24" s="750"/>
      <c r="AJ24" s="750"/>
      <c r="AK24" s="607" t="s">
        <v>2790</v>
      </c>
      <c r="AL24" s="423">
        <v>0.1108335</v>
      </c>
      <c r="AM24" s="426">
        <v>155.1669</v>
      </c>
      <c r="AN24" s="770"/>
      <c r="AO24" s="609">
        <v>5.9</v>
      </c>
      <c r="AP24" s="772"/>
      <c r="AQ24" s="750"/>
      <c r="AR24" s="781"/>
    </row>
    <row r="25" spans="1:69" ht="15.75" thickBot="1">
      <c r="A25" s="424" t="s">
        <v>2904</v>
      </c>
      <c r="B25" s="328" t="s">
        <v>2905</v>
      </c>
      <c r="C25" s="425"/>
      <c r="D25" s="595" t="s">
        <v>2635</v>
      </c>
      <c r="E25" s="595" t="s">
        <v>2635</v>
      </c>
      <c r="F25" s="595">
        <v>0</v>
      </c>
      <c r="G25" s="595">
        <v>0</v>
      </c>
      <c r="H25" s="375" t="s">
        <v>2635</v>
      </c>
      <c r="I25" s="595">
        <v>0</v>
      </c>
      <c r="J25" s="355">
        <v>0</v>
      </c>
      <c r="K25" s="595">
        <v>0</v>
      </c>
      <c r="L25" s="610"/>
      <c r="V25" s="751"/>
      <c r="W25" s="607" t="s">
        <v>2745</v>
      </c>
      <c r="X25" s="602" t="e">
        <f>#REF!</f>
        <v>#REF!</v>
      </c>
      <c r="Y25" s="602" t="e">
        <f t="shared" si="0"/>
        <v>#REF!</v>
      </c>
      <c r="Z25" s="601"/>
      <c r="AA25" s="601"/>
      <c r="AB25" s="751"/>
      <c r="AC25" s="751"/>
      <c r="AD25" s="751"/>
      <c r="AJ25" s="751"/>
      <c r="AK25" s="607" t="s">
        <v>2745</v>
      </c>
      <c r="AL25" s="602">
        <v>3.0000000000000001E-5</v>
      </c>
      <c r="AM25" s="607">
        <v>4.1999999999999996E-2</v>
      </c>
      <c r="AN25" s="776"/>
      <c r="AO25" s="609">
        <v>3.9</v>
      </c>
      <c r="AP25" s="774"/>
      <c r="AQ25" s="751"/>
      <c r="AR25" s="782"/>
    </row>
    <row r="26" spans="1:69" ht="15.75" thickBot="1">
      <c r="A26" s="424" t="s">
        <v>2906</v>
      </c>
      <c r="B26" s="328" t="s">
        <v>2635</v>
      </c>
      <c r="C26" s="425"/>
      <c r="D26" s="595" t="s">
        <v>2635</v>
      </c>
      <c r="E26" s="595" t="s">
        <v>3080</v>
      </c>
      <c r="F26" s="595" t="s">
        <v>2704</v>
      </c>
      <c r="G26" s="595" t="s">
        <v>2704</v>
      </c>
      <c r="H26" s="375" t="s">
        <v>2635</v>
      </c>
      <c r="I26" s="595" t="s">
        <v>2669</v>
      </c>
      <c r="J26" s="355">
        <v>0</v>
      </c>
      <c r="K26" s="595" t="s">
        <v>2659</v>
      </c>
      <c r="L26" s="610"/>
      <c r="V26" s="749" t="e">
        <f>#REF!</f>
        <v>#REF!</v>
      </c>
      <c r="W26" s="607" t="s">
        <v>2741</v>
      </c>
      <c r="X26" s="427" t="e">
        <f>#REF!</f>
        <v>#REF!</v>
      </c>
      <c r="Y26" s="607" t="e">
        <f>X26*1.4*1000</f>
        <v>#REF!</v>
      </c>
      <c r="Z26" s="749">
        <v>1.4</v>
      </c>
      <c r="AA26" s="607" t="e">
        <f>#REF!</f>
        <v>#REF!</v>
      </c>
      <c r="AB26" s="749" t="e">
        <f>#REF!</f>
        <v>#REF!</v>
      </c>
      <c r="AC26" s="749" t="e">
        <f>#REF!</f>
        <v>#REF!</v>
      </c>
      <c r="AD26" s="746" t="e">
        <f>#REF!</f>
        <v>#REF!</v>
      </c>
      <c r="AJ26" s="749" t="s">
        <v>3059</v>
      </c>
      <c r="AK26" s="607" t="s">
        <v>2741</v>
      </c>
      <c r="AL26" s="423">
        <v>0.128</v>
      </c>
      <c r="AM26" s="602">
        <v>179.2</v>
      </c>
      <c r="AN26" s="769">
        <v>1.4</v>
      </c>
      <c r="AO26" s="662">
        <v>1.29</v>
      </c>
      <c r="AP26" s="771">
        <v>0.01</v>
      </c>
      <c r="AQ26" s="749">
        <v>2.4</v>
      </c>
      <c r="AR26" s="777">
        <v>9.4871999999999996</v>
      </c>
    </row>
    <row r="27" spans="1:69" ht="15.75" thickBot="1">
      <c r="A27" s="424" t="s">
        <v>2911</v>
      </c>
      <c r="B27" s="328" t="s">
        <v>2635</v>
      </c>
      <c r="C27" s="425"/>
      <c r="D27" s="595" t="s">
        <v>3081</v>
      </c>
      <c r="E27" s="595" t="s">
        <v>3082</v>
      </c>
      <c r="F27" s="595" t="s">
        <v>3082</v>
      </c>
      <c r="G27" s="595" t="s">
        <v>3082</v>
      </c>
      <c r="H27" s="375" t="s">
        <v>2635</v>
      </c>
      <c r="I27" s="595" t="s">
        <v>3082</v>
      </c>
      <c r="J27" s="355">
        <v>0</v>
      </c>
      <c r="K27" s="595" t="s">
        <v>3082</v>
      </c>
      <c r="L27" s="610"/>
      <c r="V27" s="750"/>
      <c r="W27" s="607" t="s">
        <v>2790</v>
      </c>
      <c r="X27" s="427" t="e">
        <f>#REF!</f>
        <v>#REF!</v>
      </c>
      <c r="Y27" s="607" t="e">
        <f>X27*1.4*1000</f>
        <v>#REF!</v>
      </c>
      <c r="Z27" s="750"/>
      <c r="AA27" s="607" t="e">
        <f>#REF!</f>
        <v>#REF!</v>
      </c>
      <c r="AB27" s="750"/>
      <c r="AC27" s="750"/>
      <c r="AD27" s="747"/>
      <c r="AJ27" s="750"/>
      <c r="AK27" s="607" t="s">
        <v>2790</v>
      </c>
      <c r="AL27" s="423">
        <v>0.1075</v>
      </c>
      <c r="AM27" s="602">
        <v>150.5</v>
      </c>
      <c r="AN27" s="770"/>
      <c r="AO27" s="663"/>
      <c r="AP27" s="772"/>
      <c r="AQ27" s="750"/>
      <c r="AR27" s="778"/>
    </row>
    <row r="28" spans="1:69" ht="30.75" thickBot="1">
      <c r="A28" s="210" t="s">
        <v>3083</v>
      </c>
      <c r="B28" s="328" t="s">
        <v>2635</v>
      </c>
      <c r="C28" s="425"/>
      <c r="D28" s="595" t="s">
        <v>2877</v>
      </c>
      <c r="E28" s="595" t="s">
        <v>2878</v>
      </c>
      <c r="F28" s="595" t="s">
        <v>3084</v>
      </c>
      <c r="G28" s="595" t="s">
        <v>3084</v>
      </c>
      <c r="H28" s="375" t="s">
        <v>2635</v>
      </c>
      <c r="I28" s="595" t="s">
        <v>2878</v>
      </c>
      <c r="J28" s="355" t="s">
        <v>2635</v>
      </c>
      <c r="K28" s="595" t="s">
        <v>2878</v>
      </c>
      <c r="L28" s="610"/>
      <c r="V28" s="751"/>
      <c r="W28" s="607" t="s">
        <v>2745</v>
      </c>
      <c r="X28" s="427" t="e">
        <f>#REF!</f>
        <v>#REF!</v>
      </c>
      <c r="Y28" s="607" t="e">
        <f>X28*1.4*1000</f>
        <v>#REF!</v>
      </c>
      <c r="Z28" s="751"/>
      <c r="AA28" s="607" t="e">
        <f>#REF!</f>
        <v>#REF!</v>
      </c>
      <c r="AB28" s="751"/>
      <c r="AC28" s="751"/>
      <c r="AD28" s="748"/>
      <c r="AJ28" s="751"/>
      <c r="AK28" s="607" t="s">
        <v>2745</v>
      </c>
      <c r="AL28" s="428">
        <v>8.6999999999999994E-2</v>
      </c>
      <c r="AM28" s="602">
        <v>121.79999999999998</v>
      </c>
      <c r="AN28" s="776"/>
      <c r="AO28" s="664"/>
      <c r="AP28" s="774"/>
      <c r="AQ28" s="751"/>
      <c r="AR28" s="779"/>
    </row>
    <row r="29" spans="1:69" ht="15.75" thickBot="1">
      <c r="A29" s="424" t="s">
        <v>2914</v>
      </c>
      <c r="B29" s="328" t="s">
        <v>2635</v>
      </c>
      <c r="C29" s="425"/>
      <c r="D29" s="595" t="s">
        <v>2635</v>
      </c>
      <c r="E29" s="595" t="s">
        <v>3085</v>
      </c>
      <c r="F29" s="595" t="s">
        <v>3085</v>
      </c>
      <c r="G29" s="595" t="s">
        <v>3085</v>
      </c>
      <c r="H29" s="375" t="s">
        <v>2635</v>
      </c>
      <c r="I29" s="595" t="s">
        <v>3085</v>
      </c>
      <c r="J29" s="355">
        <v>0</v>
      </c>
      <c r="K29" s="595" t="s">
        <v>3085</v>
      </c>
      <c r="L29" s="610"/>
      <c r="V29" s="749" t="str">
        <f>E6</f>
        <v>Car mat</v>
      </c>
      <c r="W29" s="607" t="s">
        <v>2741</v>
      </c>
      <c r="X29" s="423">
        <f>E20</f>
        <v>5.0000000000000002E-5</v>
      </c>
      <c r="Y29" s="602">
        <f>X29*1.4*1000</f>
        <v>6.9999999999999993E-2</v>
      </c>
      <c r="Z29" s="749">
        <v>1.4</v>
      </c>
      <c r="AA29" s="607">
        <f>E38</f>
        <v>1.29</v>
      </c>
      <c r="AB29" s="749">
        <f>E41</f>
        <v>0.01</v>
      </c>
      <c r="AC29" s="749">
        <f>E69</f>
        <v>2.4</v>
      </c>
      <c r="AD29" s="746">
        <f>E73</f>
        <v>9.4871999999999996</v>
      </c>
      <c r="AJ29" s="749" t="s">
        <v>2702</v>
      </c>
      <c r="AK29" s="607" t="s">
        <v>2741</v>
      </c>
      <c r="AL29" s="423">
        <v>0.33</v>
      </c>
      <c r="AM29" s="602">
        <v>461.99999999999994</v>
      </c>
      <c r="AN29" s="769">
        <v>1.4</v>
      </c>
      <c r="AO29" s="609">
        <v>9.4499999999999993</v>
      </c>
      <c r="AP29" s="771">
        <v>0.01</v>
      </c>
      <c r="AQ29" s="749">
        <v>36</v>
      </c>
      <c r="AR29" s="767">
        <v>107.01</v>
      </c>
    </row>
    <row r="30" spans="1:69" ht="15.75" thickBot="1">
      <c r="A30" s="424" t="s">
        <v>2916</v>
      </c>
      <c r="B30" s="328" t="s">
        <v>2635</v>
      </c>
      <c r="C30" s="425"/>
      <c r="D30" s="595" t="s">
        <v>2635</v>
      </c>
      <c r="E30" s="595" t="s">
        <v>2635</v>
      </c>
      <c r="F30" s="595" t="s">
        <v>2635</v>
      </c>
      <c r="G30" s="595" t="s">
        <v>2635</v>
      </c>
      <c r="H30" s="375" t="s">
        <v>2635</v>
      </c>
      <c r="I30" s="595" t="s">
        <v>2635</v>
      </c>
      <c r="J30" s="355">
        <v>0</v>
      </c>
      <c r="K30" s="595" t="s">
        <v>2635</v>
      </c>
      <c r="L30" s="610"/>
      <c r="V30" s="750"/>
      <c r="W30" s="607" t="s">
        <v>2790</v>
      </c>
      <c r="X30" s="423">
        <f>E21</f>
        <v>5.0000000000000002E-5</v>
      </c>
      <c r="Y30" s="602">
        <f t="shared" ref="Y30:Y31" si="1">X30*1.4*1000</f>
        <v>6.9999999999999993E-2</v>
      </c>
      <c r="Z30" s="750"/>
      <c r="AA30" s="607">
        <f>E39</f>
        <v>1.29</v>
      </c>
      <c r="AB30" s="750"/>
      <c r="AC30" s="750"/>
      <c r="AD30" s="747"/>
      <c r="AJ30" s="750"/>
      <c r="AK30" s="607" t="s">
        <v>2790</v>
      </c>
      <c r="AL30" s="428">
        <v>2.3138427777777779E-2</v>
      </c>
      <c r="AM30" s="608">
        <v>32.393798888888888</v>
      </c>
      <c r="AN30" s="770"/>
      <c r="AO30" s="609">
        <v>2.3199999999999998</v>
      </c>
      <c r="AP30" s="772"/>
      <c r="AQ30" s="750"/>
      <c r="AR30" s="768"/>
    </row>
    <row r="31" spans="1:69" s="376" customFormat="1" ht="15.75" thickBot="1">
      <c r="A31" s="429" t="s">
        <v>2918</v>
      </c>
      <c r="B31" s="375" t="s">
        <v>2635</v>
      </c>
      <c r="C31" s="430"/>
      <c r="D31" s="355" t="s">
        <v>2635</v>
      </c>
      <c r="E31" s="355" t="s">
        <v>2635</v>
      </c>
      <c r="F31" s="355" t="s">
        <v>2635</v>
      </c>
      <c r="G31" s="355" t="s">
        <v>2635</v>
      </c>
      <c r="H31" s="375" t="s">
        <v>2635</v>
      </c>
      <c r="I31" s="355" t="s">
        <v>2635</v>
      </c>
      <c r="J31" s="355">
        <v>0</v>
      </c>
      <c r="K31" s="355" t="s">
        <v>2635</v>
      </c>
      <c r="L31" s="10"/>
      <c r="M31" s="10"/>
      <c r="S31" s="10"/>
      <c r="T31" s="10"/>
      <c r="U31" s="10"/>
      <c r="V31" s="751"/>
      <c r="W31" s="607" t="s">
        <v>2745</v>
      </c>
      <c r="X31" s="423">
        <f>E22</f>
        <v>5.0000000000000002E-5</v>
      </c>
      <c r="Y31" s="602">
        <f t="shared" si="1"/>
        <v>6.9999999999999993E-2</v>
      </c>
      <c r="Z31" s="751"/>
      <c r="AA31" s="607">
        <f>E40</f>
        <v>1.29</v>
      </c>
      <c r="AB31" s="751"/>
      <c r="AC31" s="751"/>
      <c r="AD31" s="748"/>
      <c r="AE31" s="10"/>
      <c r="AF31" s="10"/>
      <c r="AG31" s="10"/>
      <c r="AH31" s="10"/>
      <c r="AI31" s="10"/>
      <c r="AJ31" s="751"/>
      <c r="AK31" s="607" t="s">
        <v>2745</v>
      </c>
      <c r="AL31" s="602">
        <v>8.3000000000000002E-6</v>
      </c>
      <c r="AM31" s="428">
        <v>1.1619999999999998E-2</v>
      </c>
      <c r="AN31" s="776"/>
      <c r="AO31" s="609">
        <v>0.28000000000000003</v>
      </c>
      <c r="AP31" s="774"/>
      <c r="AQ31" s="751"/>
      <c r="AR31" s="775"/>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row>
    <row r="32" spans="1:69" ht="15.75" thickBot="1">
      <c r="A32" s="424" t="s">
        <v>2920</v>
      </c>
      <c r="B32" s="328" t="s">
        <v>2635</v>
      </c>
      <c r="C32" s="425"/>
      <c r="D32" s="595" t="s">
        <v>2635</v>
      </c>
      <c r="E32" s="595" t="s">
        <v>2635</v>
      </c>
      <c r="F32" s="595" t="s">
        <v>2635</v>
      </c>
      <c r="G32" s="595" t="s">
        <v>2635</v>
      </c>
      <c r="H32" s="375" t="s">
        <v>2635</v>
      </c>
      <c r="I32" s="595" t="s">
        <v>2635</v>
      </c>
      <c r="J32" s="355">
        <v>0</v>
      </c>
      <c r="K32" s="595" t="s">
        <v>2635</v>
      </c>
      <c r="L32" s="610"/>
      <c r="V32" s="749" t="str">
        <f>F6</f>
        <v>Children's Toys (Legacy)</v>
      </c>
      <c r="W32" s="607" t="s">
        <v>2741</v>
      </c>
      <c r="X32" s="423">
        <f>F20</f>
        <v>5.0000000000000001E-3</v>
      </c>
      <c r="Y32" s="602">
        <f t="shared" ref="Y32" si="2">X32*1.4*1000</f>
        <v>6.9999999999999991</v>
      </c>
      <c r="Z32" s="749">
        <v>1.4</v>
      </c>
      <c r="AA32" s="602">
        <f>F38</f>
        <v>9.4499999999999993</v>
      </c>
      <c r="AB32" s="749">
        <f>F41</f>
        <v>0.01</v>
      </c>
      <c r="AC32" s="749">
        <f>F69</f>
        <v>36</v>
      </c>
      <c r="AD32" s="749">
        <f>F73</f>
        <v>107.01</v>
      </c>
      <c r="AJ32" s="749" t="s">
        <v>2709</v>
      </c>
      <c r="AK32" s="607" t="s">
        <v>2741</v>
      </c>
      <c r="AL32" s="749">
        <v>1E-4</v>
      </c>
      <c r="AM32" s="749">
        <v>0.13999999999999999</v>
      </c>
      <c r="AN32" s="769">
        <v>1.4</v>
      </c>
      <c r="AO32" s="609">
        <v>9.4499999999999993</v>
      </c>
      <c r="AP32" s="771">
        <v>0.01</v>
      </c>
      <c r="AQ32" s="749">
        <v>36</v>
      </c>
      <c r="AR32" s="767">
        <v>107.01</v>
      </c>
    </row>
    <row r="33" spans="1:69" ht="15.75" thickBot="1">
      <c r="A33" s="424" t="s">
        <v>2921</v>
      </c>
      <c r="B33" s="328" t="s">
        <v>2635</v>
      </c>
      <c r="C33" s="425"/>
      <c r="D33" s="595" t="s">
        <v>2635</v>
      </c>
      <c r="E33" s="595" t="s">
        <v>2635</v>
      </c>
      <c r="F33" s="595" t="s">
        <v>2635</v>
      </c>
      <c r="G33" s="595" t="s">
        <v>2635</v>
      </c>
      <c r="H33" s="375" t="s">
        <v>2635</v>
      </c>
      <c r="I33" s="595" t="s">
        <v>2635</v>
      </c>
      <c r="J33" s="355">
        <v>0</v>
      </c>
      <c r="K33" s="595" t="s">
        <v>2635</v>
      </c>
      <c r="L33" s="610"/>
      <c r="V33" s="750"/>
      <c r="W33" s="607" t="s">
        <v>2790</v>
      </c>
      <c r="X33" s="423">
        <f>F21</f>
        <v>3.0000000000000001E-3</v>
      </c>
      <c r="Y33" s="602">
        <f t="shared" ref="Y33:Y34" si="3">X33*1.4*1000</f>
        <v>4.2</v>
      </c>
      <c r="Z33" s="750"/>
      <c r="AA33" s="602">
        <f>F39</f>
        <v>2.3199999999999998</v>
      </c>
      <c r="AB33" s="750"/>
      <c r="AC33" s="750"/>
      <c r="AD33" s="750"/>
      <c r="AJ33" s="750"/>
      <c r="AK33" s="607" t="s">
        <v>2790</v>
      </c>
      <c r="AL33" s="750"/>
      <c r="AM33" s="750"/>
      <c r="AN33" s="770"/>
      <c r="AO33" s="609">
        <v>2.3199999999999998</v>
      </c>
      <c r="AP33" s="772"/>
      <c r="AQ33" s="750"/>
      <c r="AR33" s="768"/>
    </row>
    <row r="34" spans="1:69" ht="15.75" thickBot="1">
      <c r="A34" s="415" t="s">
        <v>2923</v>
      </c>
      <c r="B34" s="370"/>
      <c r="C34" s="416"/>
      <c r="D34" s="369"/>
      <c r="E34" s="369"/>
      <c r="F34" s="369"/>
      <c r="G34" s="369"/>
      <c r="H34" s="369"/>
      <c r="I34" s="369"/>
      <c r="J34" s="369"/>
      <c r="K34" s="369"/>
      <c r="L34" s="610"/>
      <c r="V34" s="751"/>
      <c r="W34" s="607" t="s">
        <v>2745</v>
      </c>
      <c r="X34" s="423">
        <f>F22</f>
        <v>1E-3</v>
      </c>
      <c r="Y34" s="602">
        <f t="shared" si="3"/>
        <v>1.4</v>
      </c>
      <c r="Z34" s="751"/>
      <c r="AA34" s="602">
        <f>F40</f>
        <v>0.28000000000000003</v>
      </c>
      <c r="AB34" s="751"/>
      <c r="AC34" s="751"/>
      <c r="AD34" s="751"/>
      <c r="AJ34" s="750"/>
      <c r="AK34" s="606" t="s">
        <v>2745</v>
      </c>
      <c r="AL34" s="773"/>
      <c r="AM34" s="750"/>
      <c r="AN34" s="770"/>
      <c r="AO34" s="572">
        <v>0.28000000000000003</v>
      </c>
      <c r="AP34" s="772"/>
      <c r="AQ34" s="750"/>
      <c r="AR34" s="768"/>
    </row>
    <row r="35" spans="1:69" ht="26.65" customHeight="1" thickBot="1">
      <c r="A35" s="431" t="s">
        <v>2924</v>
      </c>
      <c r="B35" s="381"/>
      <c r="C35" s="432"/>
      <c r="D35" s="432"/>
      <c r="E35" s="432"/>
      <c r="F35" s="432"/>
      <c r="G35" s="432"/>
      <c r="H35" s="432"/>
      <c r="I35" s="432"/>
      <c r="J35" s="432"/>
      <c r="K35" s="432"/>
      <c r="L35" s="610"/>
      <c r="V35" s="749" t="str">
        <f>G6</f>
        <v>Children's Toys (New)</v>
      </c>
      <c r="W35" s="607" t="s">
        <v>2741</v>
      </c>
      <c r="X35" s="602">
        <f>G20</f>
        <v>1E-3</v>
      </c>
      <c r="Y35" s="749">
        <f t="shared" ref="Y35" si="4">X35*1.4*1000</f>
        <v>1.4</v>
      </c>
      <c r="Z35" s="749">
        <v>1.4</v>
      </c>
      <c r="AA35" s="602">
        <f>G38</f>
        <v>9.4499999999999993</v>
      </c>
      <c r="AB35" s="749">
        <f>G41</f>
        <v>0.01</v>
      </c>
      <c r="AC35" s="749">
        <f>G69</f>
        <v>36</v>
      </c>
      <c r="AD35" s="746">
        <f>G73</f>
        <v>107.01</v>
      </c>
      <c r="AJ35" s="753" t="s">
        <v>3086</v>
      </c>
      <c r="AK35" s="609" t="s">
        <v>2741</v>
      </c>
      <c r="AL35" s="433">
        <v>0.39200000000000002</v>
      </c>
      <c r="AM35" s="609">
        <v>548.79999999999995</v>
      </c>
      <c r="AN35" s="753">
        <v>1.4</v>
      </c>
      <c r="AO35" s="119">
        <v>17</v>
      </c>
      <c r="AP35" s="753">
        <v>0.01</v>
      </c>
      <c r="AQ35" s="753">
        <v>50</v>
      </c>
      <c r="AR35" s="757">
        <v>108.98</v>
      </c>
    </row>
    <row r="36" spans="1:69" ht="15" customHeight="1" thickBot="1">
      <c r="A36" s="424" t="s">
        <v>2925</v>
      </c>
      <c r="B36" s="328" t="s">
        <v>2926</v>
      </c>
      <c r="C36" s="425"/>
      <c r="D36" s="355" t="s">
        <v>2635</v>
      </c>
      <c r="E36" s="595" t="s">
        <v>2635</v>
      </c>
      <c r="F36" s="595" t="s">
        <v>2635</v>
      </c>
      <c r="G36" s="595" t="s">
        <v>2635</v>
      </c>
      <c r="H36" s="355" t="s">
        <v>2635</v>
      </c>
      <c r="I36" s="595" t="s">
        <v>2635</v>
      </c>
      <c r="J36" s="355" t="s">
        <v>2635</v>
      </c>
      <c r="K36" s="595" t="s">
        <v>2635</v>
      </c>
      <c r="L36" s="610"/>
      <c r="V36" s="750"/>
      <c r="W36" s="607" t="s">
        <v>2790</v>
      </c>
      <c r="X36" s="602">
        <f>G21</f>
        <v>1E-3</v>
      </c>
      <c r="Y36" s="750"/>
      <c r="Z36" s="750"/>
      <c r="AA36" s="602">
        <f>G39</f>
        <v>2.3199999999999998</v>
      </c>
      <c r="AB36" s="750"/>
      <c r="AC36" s="750"/>
      <c r="AD36" s="747"/>
      <c r="AJ36" s="753"/>
      <c r="AK36" s="609" t="s">
        <v>2790</v>
      </c>
      <c r="AL36" s="433">
        <v>0.12293833333333333</v>
      </c>
      <c r="AM36" s="434">
        <v>172.11366666666666</v>
      </c>
      <c r="AN36" s="753"/>
      <c r="AO36" s="119">
        <v>12</v>
      </c>
      <c r="AP36" s="753"/>
      <c r="AQ36" s="753"/>
      <c r="AR36" s="757"/>
    </row>
    <row r="37" spans="1:69" ht="15" customHeight="1" thickBot="1">
      <c r="A37" s="424" t="s">
        <v>2927</v>
      </c>
      <c r="B37" s="328" t="s">
        <v>2928</v>
      </c>
      <c r="C37" s="425"/>
      <c r="D37" s="355" t="s">
        <v>2635</v>
      </c>
      <c r="E37" s="595">
        <v>1.4</v>
      </c>
      <c r="F37" s="595">
        <v>1.4</v>
      </c>
      <c r="G37" s="595">
        <v>1.4</v>
      </c>
      <c r="H37" s="355" t="s">
        <v>2635</v>
      </c>
      <c r="I37" s="595">
        <v>1.4</v>
      </c>
      <c r="J37" s="355" t="s">
        <v>2635</v>
      </c>
      <c r="K37" s="595">
        <v>1.4</v>
      </c>
      <c r="L37" s="610"/>
      <c r="V37" s="751"/>
      <c r="W37" s="607" t="s">
        <v>2745</v>
      </c>
      <c r="X37" s="602">
        <f>G22</f>
        <v>1E-3</v>
      </c>
      <c r="Y37" s="751"/>
      <c r="Z37" s="751"/>
      <c r="AA37" s="602">
        <f>G40</f>
        <v>0.28000000000000003</v>
      </c>
      <c r="AB37" s="751"/>
      <c r="AC37" s="751"/>
      <c r="AD37" s="748"/>
      <c r="AJ37" s="753"/>
      <c r="AK37" s="609" t="s">
        <v>2745</v>
      </c>
      <c r="AL37" s="609">
        <v>2.0000000000000002E-5</v>
      </c>
      <c r="AM37" s="609">
        <v>2.8000000000000001E-2</v>
      </c>
      <c r="AN37" s="753"/>
      <c r="AO37" s="119">
        <v>7.9</v>
      </c>
      <c r="AP37" s="753"/>
      <c r="AQ37" s="753"/>
      <c r="AR37" s="757"/>
    </row>
    <row r="38" spans="1:69" ht="18.600000000000001" customHeight="1" thickTop="1" thickBot="1">
      <c r="A38" s="783" t="s">
        <v>2929</v>
      </c>
      <c r="B38" s="727" t="s">
        <v>3087</v>
      </c>
      <c r="C38" s="605" t="s">
        <v>2741</v>
      </c>
      <c r="D38" s="355" t="s">
        <v>2635</v>
      </c>
      <c r="E38" s="371">
        <v>1.29</v>
      </c>
      <c r="F38" s="371">
        <v>9.4499999999999993</v>
      </c>
      <c r="G38" s="371">
        <v>9.4499999999999993</v>
      </c>
      <c r="H38" s="355" t="s">
        <v>2635</v>
      </c>
      <c r="I38" s="435">
        <v>17</v>
      </c>
      <c r="J38" s="355" t="s">
        <v>2635</v>
      </c>
      <c r="K38" s="371">
        <v>202</v>
      </c>
      <c r="L38" s="610"/>
      <c r="V38" s="749" t="str">
        <f>H6</f>
        <v>Clothing (Synthetic Leather)</v>
      </c>
      <c r="W38" s="607" t="s">
        <v>2741</v>
      </c>
      <c r="X38" s="602">
        <f>H20</f>
        <v>6.5200000000000002E-4</v>
      </c>
      <c r="Y38" s="602">
        <f t="shared" ref="Y38:Y40" si="5">X38*1.4*1000</f>
        <v>0.91279999999999994</v>
      </c>
      <c r="Z38" s="749">
        <v>1.4</v>
      </c>
      <c r="AA38" s="602" t="str">
        <f>H38</f>
        <v>n/a</v>
      </c>
      <c r="AB38" s="752" t="str">
        <f>H41</f>
        <v>n/a</v>
      </c>
      <c r="AC38" s="752" t="str">
        <f>H69</f>
        <v>n/a</v>
      </c>
      <c r="AD38" s="752" t="str">
        <f>H73</f>
        <v>n/a</v>
      </c>
      <c r="AJ38" s="753" t="s">
        <v>3088</v>
      </c>
      <c r="AK38" s="609" t="s">
        <v>2741</v>
      </c>
      <c r="AL38" s="758">
        <v>0.13692599999999999</v>
      </c>
      <c r="AM38" s="761">
        <v>191.69639999999998</v>
      </c>
      <c r="AN38" s="753">
        <v>1.4</v>
      </c>
      <c r="AO38" s="119">
        <v>3.7</v>
      </c>
      <c r="AP38" s="753">
        <v>0.01</v>
      </c>
      <c r="AQ38" s="753">
        <v>492</v>
      </c>
      <c r="AR38" s="753">
        <v>1.0000000000000001E-30</v>
      </c>
    </row>
    <row r="39" spans="1:69" ht="18.600000000000001" customHeight="1" thickBot="1">
      <c r="A39" s="784"/>
      <c r="B39" s="728"/>
      <c r="C39" s="605" t="s">
        <v>2744</v>
      </c>
      <c r="D39" s="355" t="s">
        <v>2635</v>
      </c>
      <c r="E39" s="371">
        <v>1.29</v>
      </c>
      <c r="F39" s="371">
        <v>2.3199999999999998</v>
      </c>
      <c r="G39" s="371">
        <v>2.3199999999999998</v>
      </c>
      <c r="H39" s="355" t="s">
        <v>2635</v>
      </c>
      <c r="I39" s="436">
        <v>12</v>
      </c>
      <c r="J39" s="355" t="s">
        <v>2635</v>
      </c>
      <c r="K39" s="371">
        <v>101</v>
      </c>
      <c r="L39" s="610"/>
      <c r="V39" s="750"/>
      <c r="W39" s="607" t="s">
        <v>2790</v>
      </c>
      <c r="X39" s="602">
        <f>H21</f>
        <v>3.88E-4</v>
      </c>
      <c r="Y39" s="602">
        <f t="shared" si="5"/>
        <v>0.54320000000000002</v>
      </c>
      <c r="Z39" s="750"/>
      <c r="AA39" s="602" t="str">
        <f>H39</f>
        <v>n/a</v>
      </c>
      <c r="AB39" s="750"/>
      <c r="AC39" s="750"/>
      <c r="AD39" s="750"/>
      <c r="AJ39" s="753"/>
      <c r="AK39" s="609" t="s">
        <v>2790</v>
      </c>
      <c r="AL39" s="759"/>
      <c r="AM39" s="762"/>
      <c r="AN39" s="753"/>
      <c r="AO39" s="119">
        <v>1.9</v>
      </c>
      <c r="AP39" s="753"/>
      <c r="AQ39" s="753"/>
      <c r="AR39" s="753"/>
    </row>
    <row r="40" spans="1:69" ht="18.600000000000001" customHeight="1" thickBot="1">
      <c r="A40" s="785"/>
      <c r="B40" s="729"/>
      <c r="C40" s="605" t="s">
        <v>2745</v>
      </c>
      <c r="D40" s="355" t="s">
        <v>2635</v>
      </c>
      <c r="E40" s="371">
        <v>1.29</v>
      </c>
      <c r="F40" s="371">
        <v>0.28000000000000003</v>
      </c>
      <c r="G40" s="371">
        <v>0.28000000000000003</v>
      </c>
      <c r="H40" s="355" t="s">
        <v>2635</v>
      </c>
      <c r="I40" s="436">
        <v>7.9</v>
      </c>
      <c r="J40" s="355" t="s">
        <v>2635</v>
      </c>
      <c r="K40" s="371">
        <v>50.5</v>
      </c>
      <c r="L40" s="610"/>
      <c r="V40" s="751"/>
      <c r="W40" s="607" t="s">
        <v>2745</v>
      </c>
      <c r="X40" s="602">
        <f>H22</f>
        <v>1.2400000000000001E-4</v>
      </c>
      <c r="Y40" s="602">
        <f t="shared" si="5"/>
        <v>0.1736</v>
      </c>
      <c r="Z40" s="751"/>
      <c r="AA40" s="602" t="str">
        <f>H40</f>
        <v>n/a</v>
      </c>
      <c r="AB40" s="751"/>
      <c r="AC40" s="751"/>
      <c r="AD40" s="751"/>
      <c r="AJ40" s="753"/>
      <c r="AK40" s="609" t="s">
        <v>2745</v>
      </c>
      <c r="AL40" s="760"/>
      <c r="AM40" s="763"/>
      <c r="AN40" s="753"/>
      <c r="AO40" s="119">
        <v>1.4</v>
      </c>
      <c r="AP40" s="753"/>
      <c r="AQ40" s="753"/>
      <c r="AR40" s="753"/>
    </row>
    <row r="41" spans="1:69" s="122" customFormat="1" ht="15.75" thickBot="1">
      <c r="A41" s="424" t="s">
        <v>2931</v>
      </c>
      <c r="B41" s="437" t="s">
        <v>2932</v>
      </c>
      <c r="C41" s="424"/>
      <c r="D41" s="386" t="s">
        <v>2635</v>
      </c>
      <c r="E41" s="573">
        <v>0.01</v>
      </c>
      <c r="F41" s="573">
        <v>0.01</v>
      </c>
      <c r="G41" s="573">
        <v>0.01</v>
      </c>
      <c r="H41" s="386" t="s">
        <v>2635</v>
      </c>
      <c r="I41" s="573">
        <v>0.01</v>
      </c>
      <c r="J41" s="355" t="s">
        <v>2635</v>
      </c>
      <c r="K41" s="573">
        <v>0.01</v>
      </c>
      <c r="V41" s="802" t="e">
        <f>#REF!</f>
        <v>#REF!</v>
      </c>
      <c r="W41" s="607" t="s">
        <v>2741</v>
      </c>
      <c r="X41" s="602" t="e">
        <f>#REF!</f>
        <v>#REF!</v>
      </c>
      <c r="Y41" s="607" t="e">
        <f t="shared" ref="Y41:Y43" si="6">X41*1.4*1000</f>
        <v>#REF!</v>
      </c>
      <c r="Z41" s="769">
        <v>1.4</v>
      </c>
      <c r="AA41" s="607" t="e">
        <f>#REF!</f>
        <v>#REF!</v>
      </c>
      <c r="AB41" s="749" t="e">
        <f>#REF!</f>
        <v>#REF!</v>
      </c>
      <c r="AC41" s="749" t="e">
        <f>#REF!</f>
        <v>#REF!</v>
      </c>
      <c r="AD41" s="746" t="e">
        <f>#REF!</f>
        <v>#REF!</v>
      </c>
      <c r="AJ41" s="753" t="s">
        <v>3089</v>
      </c>
      <c r="AK41" s="609" t="s">
        <v>2741</v>
      </c>
      <c r="AL41" s="609">
        <v>0.48</v>
      </c>
      <c r="AM41" s="434">
        <v>671.99999999999989</v>
      </c>
      <c r="AN41" s="753">
        <v>1.4</v>
      </c>
      <c r="AO41" s="764">
        <v>6.5</v>
      </c>
      <c r="AP41" s="753">
        <v>0.01</v>
      </c>
      <c r="AQ41" s="753">
        <v>15</v>
      </c>
      <c r="AR41" s="757">
        <v>107.01</v>
      </c>
    </row>
    <row r="42" spans="1:69" s="406" customFormat="1" ht="15.75" thickBot="1">
      <c r="A42" s="438" t="s">
        <v>2933</v>
      </c>
      <c r="B42" s="439" t="s">
        <v>2764</v>
      </c>
      <c r="C42" s="440"/>
      <c r="D42" s="441" t="s">
        <v>2635</v>
      </c>
      <c r="E42" s="441" t="s">
        <v>2635</v>
      </c>
      <c r="F42" s="441" t="s">
        <v>2635</v>
      </c>
      <c r="G42" s="441" t="s">
        <v>2635</v>
      </c>
      <c r="H42" s="386" t="s">
        <v>2635</v>
      </c>
      <c r="I42" s="441" t="s">
        <v>2635</v>
      </c>
      <c r="J42" s="386" t="s">
        <v>2635</v>
      </c>
      <c r="K42" s="441" t="s">
        <v>2635</v>
      </c>
      <c r="L42" s="122"/>
      <c r="M42" s="122"/>
      <c r="N42" s="122"/>
      <c r="O42" s="122"/>
      <c r="P42" s="122"/>
      <c r="Q42" s="122"/>
      <c r="R42" s="122"/>
      <c r="S42" s="122"/>
      <c r="T42" s="122"/>
      <c r="U42" s="122"/>
      <c r="V42" s="755"/>
      <c r="W42" s="607" t="s">
        <v>2790</v>
      </c>
      <c r="X42" s="602" t="e">
        <f>#REF!</f>
        <v>#REF!</v>
      </c>
      <c r="Y42" s="607" t="e">
        <f t="shared" si="6"/>
        <v>#REF!</v>
      </c>
      <c r="Z42" s="770"/>
      <c r="AA42" s="607" t="e">
        <f>#REF!</f>
        <v>#REF!</v>
      </c>
      <c r="AB42" s="750"/>
      <c r="AC42" s="750"/>
      <c r="AD42" s="747"/>
      <c r="AE42" s="122"/>
      <c r="AF42" s="122"/>
      <c r="AG42" s="122"/>
      <c r="AH42" s="122"/>
      <c r="AI42" s="122"/>
      <c r="AJ42" s="753"/>
      <c r="AK42" s="609" t="s">
        <v>2790</v>
      </c>
      <c r="AL42" s="433">
        <v>0.1795525</v>
      </c>
      <c r="AM42" s="434">
        <v>251.37349999999998</v>
      </c>
      <c r="AN42" s="753"/>
      <c r="AO42" s="765"/>
      <c r="AP42" s="753"/>
      <c r="AQ42" s="753"/>
      <c r="AR42" s="757"/>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row>
    <row r="43" spans="1:69" ht="15.75" thickBot="1">
      <c r="A43" s="424" t="s">
        <v>2934</v>
      </c>
      <c r="B43" s="328" t="s">
        <v>2935</v>
      </c>
      <c r="C43" s="425"/>
      <c r="D43" s="595">
        <v>100</v>
      </c>
      <c r="E43" s="595" t="s">
        <v>2635</v>
      </c>
      <c r="F43" s="595">
        <v>10</v>
      </c>
      <c r="G43" s="595">
        <v>10</v>
      </c>
      <c r="H43" s="355" t="s">
        <v>2635</v>
      </c>
      <c r="I43" s="595">
        <v>10</v>
      </c>
      <c r="J43" s="355">
        <v>0</v>
      </c>
      <c r="K43" s="595" t="s">
        <v>2635</v>
      </c>
      <c r="L43" s="610"/>
      <c r="V43" s="755"/>
      <c r="W43" s="607" t="s">
        <v>2745</v>
      </c>
      <c r="X43" s="602" t="e">
        <f>#REF!</f>
        <v>#REF!</v>
      </c>
      <c r="Y43" s="607" t="e">
        <f t="shared" si="6"/>
        <v>#REF!</v>
      </c>
      <c r="Z43" s="776"/>
      <c r="AA43" s="607" t="e">
        <f>#REF!</f>
        <v>#REF!</v>
      </c>
      <c r="AB43" s="751"/>
      <c r="AC43" s="751"/>
      <c r="AD43" s="748"/>
      <c r="AJ43" s="753"/>
      <c r="AK43" s="609" t="s">
        <v>2745</v>
      </c>
      <c r="AL43" s="609">
        <v>5.0000000000000001E-4</v>
      </c>
      <c r="AM43" s="609">
        <v>0.7</v>
      </c>
      <c r="AN43" s="753"/>
      <c r="AO43" s="766"/>
      <c r="AP43" s="753"/>
      <c r="AQ43" s="753"/>
      <c r="AR43" s="757"/>
    </row>
    <row r="44" spans="1:69" ht="21" customHeight="1" thickBot="1">
      <c r="A44" s="431" t="s">
        <v>2949</v>
      </c>
      <c r="B44" s="381"/>
      <c r="C44" s="432"/>
      <c r="D44" s="432"/>
      <c r="E44" s="432"/>
      <c r="F44" s="432"/>
      <c r="G44" s="432"/>
      <c r="H44" s="432"/>
      <c r="I44" s="432"/>
      <c r="J44" s="432"/>
      <c r="K44" s="432"/>
      <c r="L44" s="610"/>
      <c r="V44" s="755" t="str">
        <f>I6</f>
        <v>Furniture (Synthetic Leather)</v>
      </c>
      <c r="W44" s="607" t="s">
        <v>2741</v>
      </c>
      <c r="X44" s="442">
        <f>I20</f>
        <v>6.5200000000000002E-4</v>
      </c>
      <c r="Y44" s="602">
        <f t="shared" ref="Y44" si="7">X44*1.4*1000</f>
        <v>0.91279999999999994</v>
      </c>
      <c r="Z44" s="749">
        <v>1.4</v>
      </c>
      <c r="AA44" s="443">
        <f>I38</f>
        <v>17</v>
      </c>
      <c r="AB44" s="749">
        <f>I41</f>
        <v>0.01</v>
      </c>
      <c r="AC44" s="749">
        <f>I69</f>
        <v>50</v>
      </c>
      <c r="AD44" s="746">
        <f>I73</f>
        <v>108.98</v>
      </c>
      <c r="AJ44" s="753" t="s">
        <v>45</v>
      </c>
      <c r="AK44" s="609" t="s">
        <v>2741</v>
      </c>
      <c r="AL44" s="444">
        <v>2.8136999999999999E-2</v>
      </c>
      <c r="AM44" s="434">
        <v>39.391799999999996</v>
      </c>
      <c r="AN44" s="753">
        <v>1.4</v>
      </c>
      <c r="AO44" s="119">
        <v>202</v>
      </c>
      <c r="AP44" s="753">
        <v>0.01</v>
      </c>
      <c r="AQ44" s="753">
        <v>492</v>
      </c>
      <c r="AR44" s="754">
        <v>1.0000000000000001E-30</v>
      </c>
    </row>
    <row r="45" spans="1:69" s="448" customFormat="1" ht="22.5" customHeight="1" thickBot="1">
      <c r="A45" s="445" t="s">
        <v>2950</v>
      </c>
      <c r="B45" s="440" t="s">
        <v>2932</v>
      </c>
      <c r="C45" s="446"/>
      <c r="D45" s="447" t="s">
        <v>2635</v>
      </c>
      <c r="E45" s="447" t="s">
        <v>2635</v>
      </c>
      <c r="F45" s="447" t="s">
        <v>2635</v>
      </c>
      <c r="G45" s="447" t="s">
        <v>2635</v>
      </c>
      <c r="H45" s="447" t="s">
        <v>2635</v>
      </c>
      <c r="I45" s="447" t="s">
        <v>2635</v>
      </c>
      <c r="J45" s="447"/>
      <c r="K45" s="447" t="s">
        <v>2635</v>
      </c>
      <c r="L45" s="10"/>
      <c r="M45" s="10"/>
      <c r="N45" s="10"/>
      <c r="O45" s="10"/>
      <c r="P45" s="10"/>
      <c r="Q45" s="10"/>
      <c r="R45" s="10"/>
      <c r="S45" s="10"/>
      <c r="T45" s="10"/>
      <c r="U45" s="10"/>
      <c r="V45" s="755"/>
      <c r="W45" s="607" t="s">
        <v>2790</v>
      </c>
      <c r="X45" s="442">
        <f>I21</f>
        <v>3.88E-4</v>
      </c>
      <c r="Y45" s="602">
        <f t="shared" ref="Y45:Y47" si="8">X45*1.4*1000</f>
        <v>0.54320000000000002</v>
      </c>
      <c r="Z45" s="750"/>
      <c r="AA45" s="443">
        <f>I39</f>
        <v>12</v>
      </c>
      <c r="AB45" s="750"/>
      <c r="AC45" s="750"/>
      <c r="AD45" s="747"/>
      <c r="AE45" s="10"/>
      <c r="AF45" s="10"/>
      <c r="AG45" s="10"/>
      <c r="AH45" s="10"/>
      <c r="AI45" s="10"/>
      <c r="AJ45" s="753"/>
      <c r="AK45" s="609" t="s">
        <v>2790</v>
      </c>
      <c r="AL45" s="444">
        <v>1.4161874999999999E-2</v>
      </c>
      <c r="AM45" s="434">
        <v>19.826624999999996</v>
      </c>
      <c r="AN45" s="753"/>
      <c r="AO45" s="119">
        <v>101</v>
      </c>
      <c r="AP45" s="753"/>
      <c r="AQ45" s="753"/>
      <c r="AR45" s="754"/>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row>
    <row r="46" spans="1:69" s="448" customFormat="1" ht="15" customHeight="1" thickBot="1">
      <c r="A46" s="445" t="s">
        <v>2951</v>
      </c>
      <c r="B46" s="440" t="s">
        <v>2952</v>
      </c>
      <c r="C46" s="446"/>
      <c r="D46" s="447" t="s">
        <v>2635</v>
      </c>
      <c r="E46" s="447" t="s">
        <v>2635</v>
      </c>
      <c r="F46" s="447" t="s">
        <v>2635</v>
      </c>
      <c r="G46" s="447" t="s">
        <v>2635</v>
      </c>
      <c r="H46" s="447" t="s">
        <v>2635</v>
      </c>
      <c r="I46" s="447" t="s">
        <v>2635</v>
      </c>
      <c r="J46" s="447"/>
      <c r="K46" s="447" t="s">
        <v>2635</v>
      </c>
      <c r="L46" s="10"/>
      <c r="M46" s="10"/>
      <c r="N46" s="10"/>
      <c r="O46" s="10"/>
      <c r="P46" s="10"/>
      <c r="Q46" s="10"/>
      <c r="R46" s="10"/>
      <c r="S46" s="10"/>
      <c r="T46" s="10"/>
      <c r="U46" s="10"/>
      <c r="V46" s="755"/>
      <c r="W46" s="607" t="s">
        <v>2745</v>
      </c>
      <c r="X46" s="449">
        <f>I22</f>
        <v>1.2400000000000001E-4</v>
      </c>
      <c r="Y46" s="602">
        <f t="shared" si="8"/>
        <v>0.1736</v>
      </c>
      <c r="Z46" s="751"/>
      <c r="AA46" s="443">
        <f>I40</f>
        <v>7.9</v>
      </c>
      <c r="AB46" s="751"/>
      <c r="AC46" s="751"/>
      <c r="AD46" s="748"/>
      <c r="AE46" s="10"/>
      <c r="AF46" s="10"/>
      <c r="AG46" s="10"/>
      <c r="AH46" s="10"/>
      <c r="AI46" s="10"/>
      <c r="AJ46" s="753"/>
      <c r="AK46" s="609" t="s">
        <v>2745</v>
      </c>
      <c r="AL46" s="450">
        <v>4.85E-5</v>
      </c>
      <c r="AM46" s="444">
        <v>6.7900000000000002E-2</v>
      </c>
      <c r="AN46" s="753"/>
      <c r="AO46" s="119">
        <v>50.5</v>
      </c>
      <c r="AP46" s="753"/>
      <c r="AQ46" s="753"/>
      <c r="AR46" s="754"/>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row>
    <row r="47" spans="1:69" s="448" customFormat="1" ht="26.65" customHeight="1" thickBot="1">
      <c r="A47" s="445" t="s">
        <v>2953</v>
      </c>
      <c r="B47" s="440" t="s">
        <v>2954</v>
      </c>
      <c r="C47" s="446"/>
      <c r="D47" s="447" t="s">
        <v>2635</v>
      </c>
      <c r="E47" s="447" t="s">
        <v>2635</v>
      </c>
      <c r="F47" s="447" t="s">
        <v>2635</v>
      </c>
      <c r="G47" s="447" t="s">
        <v>2635</v>
      </c>
      <c r="H47" s="447" t="s">
        <v>2635</v>
      </c>
      <c r="I47" s="447" t="s">
        <v>2635</v>
      </c>
      <c r="J47" s="447"/>
      <c r="K47" s="447" t="s">
        <v>2635</v>
      </c>
      <c r="L47" s="10"/>
      <c r="M47" s="10"/>
      <c r="N47" s="10"/>
      <c r="O47" s="10"/>
      <c r="P47" s="10"/>
      <c r="Q47" s="10"/>
      <c r="R47" s="10"/>
      <c r="S47" s="10"/>
      <c r="T47" s="10"/>
      <c r="U47" s="10"/>
      <c r="V47" s="755" t="e">
        <f>#REF!</f>
        <v>#REF!</v>
      </c>
      <c r="W47" s="607" t="s">
        <v>2741</v>
      </c>
      <c r="X47" s="451" t="e">
        <f>#REF!</f>
        <v>#REF!</v>
      </c>
      <c r="Y47" s="602" t="e">
        <f t="shared" si="8"/>
        <v>#REF!</v>
      </c>
      <c r="Z47" s="749">
        <v>1.4</v>
      </c>
      <c r="AA47" s="443" t="e">
        <f>#REF!</f>
        <v>#REF!</v>
      </c>
      <c r="AB47" s="749" t="e">
        <f>#REF!</f>
        <v>#REF!</v>
      </c>
      <c r="AC47" s="749" t="e">
        <f>#REF!</f>
        <v>#REF!</v>
      </c>
      <c r="AD47" s="749" t="e">
        <f>#REF!</f>
        <v>#REF!</v>
      </c>
      <c r="AE47" s="10"/>
      <c r="AF47" s="10"/>
      <c r="AG47" s="10"/>
      <c r="AH47" s="10"/>
      <c r="AI47" s="10"/>
      <c r="AJ47" s="753" t="s">
        <v>3090</v>
      </c>
      <c r="AK47" s="609" t="s">
        <v>2741</v>
      </c>
      <c r="AL47" s="609">
        <v>4.0000000000000003E-5</v>
      </c>
      <c r="AM47" s="609">
        <v>5.6000000000000001E-2</v>
      </c>
      <c r="AN47" s="753">
        <v>1.4</v>
      </c>
      <c r="AO47" s="119">
        <v>200</v>
      </c>
      <c r="AP47" s="753">
        <v>0.01</v>
      </c>
      <c r="AQ47" s="753">
        <v>492</v>
      </c>
      <c r="AR47" s="754">
        <v>1.0000000000000001E-30</v>
      </c>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row>
    <row r="48" spans="1:69" ht="18" customHeight="1" thickBot="1">
      <c r="A48" s="783" t="s">
        <v>2955</v>
      </c>
      <c r="B48" s="727" t="s">
        <v>2956</v>
      </c>
      <c r="C48" s="605" t="s">
        <v>2741</v>
      </c>
      <c r="D48" s="452">
        <f>'Article Inputs'!$P$70*0.006</f>
        <v>2.964420341079265E-4</v>
      </c>
      <c r="E48" s="371" t="s">
        <v>2635</v>
      </c>
      <c r="F48" s="452">
        <f>'Article Inputs'!$P$70*0.006</f>
        <v>2.964420341079265E-4</v>
      </c>
      <c r="G48" s="452">
        <f>'Article Inputs'!$P$70*0.006</f>
        <v>2.964420341079265E-4</v>
      </c>
      <c r="H48" s="371" t="s">
        <v>2635</v>
      </c>
      <c r="I48" s="452">
        <f>'Article Inputs'!$P$70*0.006</f>
        <v>2.964420341079265E-4</v>
      </c>
      <c r="J48" s="371" t="s">
        <v>2635</v>
      </c>
      <c r="K48" s="371" t="s">
        <v>2635</v>
      </c>
      <c r="L48" s="610"/>
      <c r="V48" s="755"/>
      <c r="W48" s="607" t="s">
        <v>2790</v>
      </c>
      <c r="X48" s="451"/>
      <c r="Y48" s="600"/>
      <c r="Z48" s="750"/>
      <c r="AA48" s="443" t="e">
        <f>#REF!</f>
        <v>#REF!</v>
      </c>
      <c r="AB48" s="750"/>
      <c r="AC48" s="750"/>
      <c r="AD48" s="750"/>
      <c r="AJ48" s="753"/>
      <c r="AK48" s="609" t="s">
        <v>2790</v>
      </c>
      <c r="AL48" s="609">
        <v>2.5000000000000001E-5</v>
      </c>
      <c r="AM48" s="609">
        <v>3.4999999999999996E-2</v>
      </c>
      <c r="AN48" s="753"/>
      <c r="AO48" s="119">
        <v>100</v>
      </c>
      <c r="AP48" s="753"/>
      <c r="AQ48" s="753"/>
      <c r="AR48" s="754"/>
    </row>
    <row r="49" spans="1:69" ht="22.15" customHeight="1" thickBot="1">
      <c r="A49" s="786"/>
      <c r="B49" s="728"/>
      <c r="C49" s="605" t="s">
        <v>2744</v>
      </c>
      <c r="D49" s="452">
        <f>'Article Inputs'!$P$71*0.006</f>
        <v>7.3830860664430678E-5</v>
      </c>
      <c r="E49" s="371" t="s">
        <v>2635</v>
      </c>
      <c r="F49" s="452">
        <f>'Article Inputs'!$P$71*0.006</f>
        <v>7.3830860664430678E-5</v>
      </c>
      <c r="G49" s="452">
        <f>'Article Inputs'!$P$71*0.006</f>
        <v>7.3830860664430678E-5</v>
      </c>
      <c r="H49" s="371" t="s">
        <v>2635</v>
      </c>
      <c r="I49" s="452">
        <f>'Article Inputs'!$P$71*0.006</f>
        <v>7.3830860664430678E-5</v>
      </c>
      <c r="J49" s="371" t="s">
        <v>2635</v>
      </c>
      <c r="K49" s="371" t="s">
        <v>2635</v>
      </c>
      <c r="L49" s="610"/>
      <c r="V49" s="755"/>
      <c r="W49" s="607" t="s">
        <v>2745</v>
      </c>
      <c r="X49" s="451"/>
      <c r="Y49" s="600"/>
      <c r="Z49" s="751"/>
      <c r="AA49" s="443" t="e">
        <f>#REF!</f>
        <v>#REF!</v>
      </c>
      <c r="AB49" s="751"/>
      <c r="AC49" s="751"/>
      <c r="AD49" s="751"/>
      <c r="AJ49" s="753"/>
      <c r="AK49" s="609" t="s">
        <v>2745</v>
      </c>
      <c r="AL49" s="609">
        <v>1.0000000000000001E-5</v>
      </c>
      <c r="AM49" s="609">
        <v>1.4E-2</v>
      </c>
      <c r="AN49" s="753"/>
      <c r="AO49" s="119">
        <v>50</v>
      </c>
      <c r="AP49" s="753"/>
      <c r="AQ49" s="753"/>
      <c r="AR49" s="754"/>
    </row>
    <row r="50" spans="1:69" ht="20.65" customHeight="1" thickBot="1">
      <c r="A50" s="787"/>
      <c r="B50" s="729"/>
      <c r="C50" s="605" t="s">
        <v>2745</v>
      </c>
      <c r="D50" s="452">
        <f>'Article Inputs'!$P$72*0.006</f>
        <v>2.3478095280031989E-6</v>
      </c>
      <c r="E50" s="371" t="s">
        <v>2635</v>
      </c>
      <c r="F50" s="452">
        <f>'Article Inputs'!$P$72*0.006</f>
        <v>2.3478095280031989E-6</v>
      </c>
      <c r="G50" s="452">
        <f>'Article Inputs'!$P$72*0.006</f>
        <v>2.3478095280031989E-6</v>
      </c>
      <c r="H50" s="371" t="s">
        <v>2635</v>
      </c>
      <c r="I50" s="452">
        <f>'Article Inputs'!$P$72*0.006</f>
        <v>2.3478095280031989E-6</v>
      </c>
      <c r="J50" s="371" t="s">
        <v>2635</v>
      </c>
      <c r="K50" s="371" t="s">
        <v>2635</v>
      </c>
      <c r="L50" s="610"/>
      <c r="V50" s="755" t="e">
        <f>#REF!</f>
        <v>#REF!</v>
      </c>
      <c r="W50" s="607" t="s">
        <v>2741</v>
      </c>
      <c r="X50" s="443" t="e">
        <f>#REF!</f>
        <v>#REF!</v>
      </c>
      <c r="Y50" s="602" t="e">
        <f t="shared" ref="Y50:Y67" si="9">X50*1.4*1000</f>
        <v>#REF!</v>
      </c>
      <c r="Z50" s="749">
        <v>1.4</v>
      </c>
      <c r="AA50" s="443" t="e">
        <f>#REF!</f>
        <v>#REF!</v>
      </c>
      <c r="AB50" s="749" t="e">
        <f>#REF!</f>
        <v>#REF!</v>
      </c>
      <c r="AC50" s="749" t="e">
        <f>#REF!</f>
        <v>#REF!</v>
      </c>
      <c r="AD50" s="746" t="e">
        <f>#REF!</f>
        <v>#REF!</v>
      </c>
      <c r="AJ50" s="755"/>
      <c r="AK50" s="607"/>
      <c r="AL50" s="600"/>
      <c r="AM50" s="600"/>
      <c r="AN50" s="750"/>
      <c r="AO50" s="453"/>
      <c r="AP50" s="750"/>
      <c r="AQ50" s="750"/>
      <c r="AR50" s="747"/>
    </row>
    <row r="51" spans="1:69" s="448" customFormat="1" ht="15.75" thickBot="1">
      <c r="A51" s="445" t="s">
        <v>2957</v>
      </c>
      <c r="B51" s="440" t="s">
        <v>2932</v>
      </c>
      <c r="C51" s="446"/>
      <c r="D51" s="447" t="s">
        <v>2635</v>
      </c>
      <c r="E51" s="447" t="s">
        <v>2635</v>
      </c>
      <c r="F51" s="447" t="s">
        <v>2635</v>
      </c>
      <c r="G51" s="447" t="s">
        <v>2635</v>
      </c>
      <c r="H51" s="447" t="s">
        <v>2635</v>
      </c>
      <c r="I51" s="447" t="s">
        <v>2635</v>
      </c>
      <c r="J51" s="447" t="s">
        <v>2635</v>
      </c>
      <c r="K51" s="447" t="s">
        <v>2635</v>
      </c>
      <c r="L51" s="10"/>
      <c r="M51" s="10"/>
      <c r="N51" s="10"/>
      <c r="O51" s="10"/>
      <c r="P51" s="10"/>
      <c r="Q51" s="10"/>
      <c r="R51" s="10"/>
      <c r="S51" s="10"/>
      <c r="T51" s="10"/>
      <c r="U51" s="10"/>
      <c r="V51" s="755"/>
      <c r="W51" s="607" t="s">
        <v>2790</v>
      </c>
      <c r="X51" s="443" t="e">
        <f>#REF!</f>
        <v>#REF!</v>
      </c>
      <c r="Y51" s="602" t="e">
        <f t="shared" si="9"/>
        <v>#REF!</v>
      </c>
      <c r="Z51" s="750"/>
      <c r="AA51" s="443" t="e">
        <f>#REF!</f>
        <v>#REF!</v>
      </c>
      <c r="AB51" s="750"/>
      <c r="AC51" s="750"/>
      <c r="AD51" s="747"/>
      <c r="AE51" s="10"/>
      <c r="AF51" s="10"/>
      <c r="AG51" s="10"/>
      <c r="AH51" s="10"/>
      <c r="AI51" s="10"/>
      <c r="AJ51" s="755"/>
      <c r="AK51" s="607"/>
      <c r="AL51" s="602"/>
      <c r="AM51" s="602"/>
      <c r="AN51" s="750"/>
      <c r="AO51" s="453"/>
      <c r="AP51" s="750"/>
      <c r="AQ51" s="750"/>
      <c r="AR51" s="747"/>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row>
    <row r="52" spans="1:69" s="448" customFormat="1" ht="15" customHeight="1" thickBot="1">
      <c r="A52" s="445" t="s">
        <v>2958</v>
      </c>
      <c r="B52" s="440" t="s">
        <v>2959</v>
      </c>
      <c r="C52" s="446"/>
      <c r="D52" s="447" t="s">
        <v>2635</v>
      </c>
      <c r="E52" s="447" t="s">
        <v>2635</v>
      </c>
      <c r="F52" s="447" t="s">
        <v>2635</v>
      </c>
      <c r="G52" s="447" t="s">
        <v>2635</v>
      </c>
      <c r="H52" s="447" t="s">
        <v>2635</v>
      </c>
      <c r="I52" s="447" t="s">
        <v>2635</v>
      </c>
      <c r="J52" s="447" t="s">
        <v>2635</v>
      </c>
      <c r="K52" s="447" t="s">
        <v>2635</v>
      </c>
      <c r="L52" s="10"/>
      <c r="M52" s="10"/>
      <c r="N52" s="10"/>
      <c r="O52" s="10"/>
      <c r="P52" s="10"/>
      <c r="Q52" s="10"/>
      <c r="R52" s="10"/>
      <c r="S52" s="10"/>
      <c r="T52" s="10"/>
      <c r="U52" s="10"/>
      <c r="V52" s="755"/>
      <c r="W52" s="607" t="s">
        <v>2745</v>
      </c>
      <c r="X52" s="443" t="e">
        <f>#REF!</f>
        <v>#REF!</v>
      </c>
      <c r="Y52" s="602" t="e">
        <f t="shared" si="9"/>
        <v>#REF!</v>
      </c>
      <c r="Z52" s="751"/>
      <c r="AA52" s="443" t="e">
        <f>#REF!</f>
        <v>#REF!</v>
      </c>
      <c r="AB52" s="751"/>
      <c r="AC52" s="751"/>
      <c r="AD52" s="748"/>
      <c r="AE52" s="10"/>
      <c r="AF52" s="10"/>
      <c r="AG52" s="10"/>
      <c r="AH52" s="10"/>
      <c r="AI52" s="10"/>
      <c r="AJ52" s="755"/>
      <c r="AK52" s="607"/>
      <c r="AL52" s="602"/>
      <c r="AM52" s="602"/>
      <c r="AN52" s="751"/>
      <c r="AO52" s="453"/>
      <c r="AP52" s="751"/>
      <c r="AQ52" s="751"/>
      <c r="AR52" s="748"/>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row>
    <row r="53" spans="1:69" s="448" customFormat="1" ht="26.65" customHeight="1" thickTop="1" thickBot="1">
      <c r="A53" s="445" t="s">
        <v>2960</v>
      </c>
      <c r="B53" s="440" t="s">
        <v>2961</v>
      </c>
      <c r="C53" s="446"/>
      <c r="D53" s="447" t="s">
        <v>2635</v>
      </c>
      <c r="E53" s="447" t="s">
        <v>2635</v>
      </c>
      <c r="F53" s="447" t="s">
        <v>2635</v>
      </c>
      <c r="G53" s="447" t="s">
        <v>2635</v>
      </c>
      <c r="H53" s="447" t="s">
        <v>2635</v>
      </c>
      <c r="I53" s="447" t="s">
        <v>2635</v>
      </c>
      <c r="J53" s="447" t="s">
        <v>2635</v>
      </c>
      <c r="K53" s="447" t="s">
        <v>2635</v>
      </c>
      <c r="L53" s="10"/>
      <c r="M53" s="10"/>
      <c r="N53" s="10"/>
      <c r="O53" s="10"/>
      <c r="P53" s="10"/>
      <c r="Q53" s="10"/>
      <c r="R53" s="10"/>
      <c r="S53" s="10"/>
      <c r="T53" s="10"/>
      <c r="U53" s="10"/>
      <c r="V53" s="755" t="e">
        <f>#REF!</f>
        <v>#REF!</v>
      </c>
      <c r="W53" s="607" t="s">
        <v>2741</v>
      </c>
      <c r="X53" s="443" t="e">
        <f>#REF!</f>
        <v>#REF!</v>
      </c>
      <c r="Y53" s="602" t="e">
        <f t="shared" si="9"/>
        <v>#REF!</v>
      </c>
      <c r="Z53" s="749">
        <v>1.4</v>
      </c>
      <c r="AA53" s="443" t="e">
        <f>#REF!</f>
        <v>#REF!</v>
      </c>
      <c r="AB53" s="752" t="e">
        <f>#REF!</f>
        <v>#REF!</v>
      </c>
      <c r="AC53" s="752" t="e">
        <f>#REF!</f>
        <v>#REF!</v>
      </c>
      <c r="AD53" s="752" t="e">
        <f>#REF!</f>
        <v>#REF!</v>
      </c>
      <c r="AE53" s="10"/>
      <c r="AF53" s="10"/>
      <c r="AG53" s="10"/>
      <c r="AH53" s="10"/>
      <c r="AI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row>
    <row r="54" spans="1:69" s="448" customFormat="1" ht="15.75" thickBot="1">
      <c r="A54" s="445" t="s">
        <v>2962</v>
      </c>
      <c r="B54" s="440" t="s">
        <v>2899</v>
      </c>
      <c r="C54" s="446"/>
      <c r="D54" s="447" t="s">
        <v>2635</v>
      </c>
      <c r="E54" s="447" t="s">
        <v>2635</v>
      </c>
      <c r="F54" s="447" t="s">
        <v>2635</v>
      </c>
      <c r="G54" s="447" t="s">
        <v>2635</v>
      </c>
      <c r="H54" s="447" t="s">
        <v>2635</v>
      </c>
      <c r="I54" s="447" t="s">
        <v>2635</v>
      </c>
      <c r="J54" s="447" t="s">
        <v>2635</v>
      </c>
      <c r="K54" s="447" t="s">
        <v>2635</v>
      </c>
      <c r="L54" s="10"/>
      <c r="M54" s="10"/>
      <c r="N54" s="10"/>
      <c r="O54" s="10"/>
      <c r="P54" s="10"/>
      <c r="Q54" s="10"/>
      <c r="R54" s="10"/>
      <c r="S54" s="10"/>
      <c r="T54" s="10"/>
      <c r="U54" s="10"/>
      <c r="V54" s="755"/>
      <c r="W54" s="607" t="s">
        <v>2790</v>
      </c>
      <c r="X54" s="442" t="e">
        <f>#REF!</f>
        <v>#REF!</v>
      </c>
      <c r="Y54" s="602" t="e">
        <f t="shared" si="9"/>
        <v>#REF!</v>
      </c>
      <c r="Z54" s="750"/>
      <c r="AA54" s="443" t="e">
        <f>#REF!</f>
        <v>#REF!</v>
      </c>
      <c r="AB54" s="750"/>
      <c r="AC54" s="750"/>
      <c r="AD54" s="750"/>
      <c r="AE54" s="10"/>
      <c r="AF54" s="10"/>
      <c r="AG54" s="10"/>
      <c r="AH54" s="10"/>
      <c r="AI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row>
    <row r="55" spans="1:69" s="448" customFormat="1" ht="15" customHeight="1" thickBot="1">
      <c r="A55" s="445" t="s">
        <v>2963</v>
      </c>
      <c r="B55" s="440" t="s">
        <v>2899</v>
      </c>
      <c r="C55" s="446"/>
      <c r="D55" s="447" t="s">
        <v>2635</v>
      </c>
      <c r="E55" s="447" t="s">
        <v>2635</v>
      </c>
      <c r="F55" s="447" t="s">
        <v>2635</v>
      </c>
      <c r="G55" s="447" t="s">
        <v>2635</v>
      </c>
      <c r="H55" s="447" t="s">
        <v>2635</v>
      </c>
      <c r="I55" s="447" t="s">
        <v>2635</v>
      </c>
      <c r="J55" s="447" t="s">
        <v>2635</v>
      </c>
      <c r="K55" s="447" t="s">
        <v>2635</v>
      </c>
      <c r="L55" s="10"/>
      <c r="M55" s="10"/>
      <c r="N55" s="10"/>
      <c r="O55" s="10"/>
      <c r="P55" s="10"/>
      <c r="Q55" s="10"/>
      <c r="R55" s="10"/>
      <c r="S55" s="10"/>
      <c r="T55" s="10"/>
      <c r="U55" s="10"/>
      <c r="V55" s="755"/>
      <c r="W55" s="607" t="s">
        <v>2745</v>
      </c>
      <c r="X55" s="443" t="e">
        <f>#REF!</f>
        <v>#REF!</v>
      </c>
      <c r="Y55" s="602" t="e">
        <f t="shared" si="9"/>
        <v>#REF!</v>
      </c>
      <c r="Z55" s="751"/>
      <c r="AA55" s="443" t="e">
        <f>#REF!</f>
        <v>#REF!</v>
      </c>
      <c r="AB55" s="751"/>
      <c r="AC55" s="751"/>
      <c r="AD55" s="751"/>
      <c r="AE55" s="10"/>
      <c r="AF55" s="10"/>
      <c r="AG55" s="10"/>
      <c r="AH55" s="10"/>
      <c r="AI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row>
    <row r="56" spans="1:69" s="448" customFormat="1" ht="65.650000000000006" customHeight="1" thickBot="1">
      <c r="A56" s="445" t="s">
        <v>2964</v>
      </c>
      <c r="B56" s="440" t="s">
        <v>2965</v>
      </c>
      <c r="C56" s="446"/>
      <c r="D56" s="447" t="s">
        <v>2635</v>
      </c>
      <c r="E56" s="447" t="s">
        <v>2635</v>
      </c>
      <c r="F56" s="447" t="s">
        <v>2635</v>
      </c>
      <c r="G56" s="447" t="s">
        <v>2635</v>
      </c>
      <c r="H56" s="447" t="s">
        <v>2635</v>
      </c>
      <c r="I56" s="447" t="s">
        <v>2635</v>
      </c>
      <c r="J56" s="447" t="s">
        <v>2635</v>
      </c>
      <c r="K56" s="447" t="s">
        <v>2635</v>
      </c>
      <c r="L56" s="10"/>
      <c r="M56" s="10"/>
      <c r="N56" s="10"/>
      <c r="O56" s="10"/>
      <c r="P56" s="10"/>
      <c r="Q56" s="10"/>
      <c r="R56" s="10"/>
      <c r="S56" s="10"/>
      <c r="T56" s="10"/>
      <c r="U56" s="10"/>
      <c r="V56" s="755" t="str">
        <f>J6</f>
        <v>Small articles with the potetial for semi-routine contact</v>
      </c>
      <c r="W56" s="607" t="s">
        <v>2741</v>
      </c>
      <c r="X56" s="443">
        <f>J20</f>
        <v>3.9820000000000001E-2</v>
      </c>
      <c r="Y56" s="602">
        <f t="shared" si="9"/>
        <v>55.747999999999998</v>
      </c>
      <c r="Z56" s="749">
        <v>1.4</v>
      </c>
      <c r="AA56" s="443" t="str">
        <f>J38</f>
        <v>n/a</v>
      </c>
      <c r="AB56" s="749" t="str">
        <f>J41</f>
        <v>n/a</v>
      </c>
      <c r="AC56" s="749" t="str">
        <f>J69</f>
        <v>n/a</v>
      </c>
      <c r="AD56" s="746" t="str">
        <f>J73</f>
        <v>n/a</v>
      </c>
      <c r="AE56" s="10"/>
      <c r="AF56" s="10"/>
      <c r="AG56" s="10"/>
      <c r="AH56" s="10"/>
      <c r="AI56" s="10"/>
      <c r="AJ56" s="755"/>
      <c r="AK56" s="607"/>
      <c r="AL56" s="602"/>
      <c r="AM56" s="602"/>
      <c r="AN56" s="749"/>
      <c r="AO56" s="453"/>
      <c r="AP56" s="749"/>
      <c r="AQ56" s="749"/>
      <c r="AR56" s="746"/>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row>
    <row r="57" spans="1:69" s="448" customFormat="1" ht="15.75" thickBot="1">
      <c r="A57" s="445" t="s">
        <v>2966</v>
      </c>
      <c r="B57" s="440" t="s">
        <v>2899</v>
      </c>
      <c r="C57" s="446"/>
      <c r="D57" s="447" t="s">
        <v>2635</v>
      </c>
      <c r="E57" s="447" t="s">
        <v>2635</v>
      </c>
      <c r="F57" s="447" t="s">
        <v>2635</v>
      </c>
      <c r="G57" s="447" t="s">
        <v>2635</v>
      </c>
      <c r="H57" s="447" t="s">
        <v>2635</v>
      </c>
      <c r="I57" s="447" t="s">
        <v>2635</v>
      </c>
      <c r="J57" s="447" t="s">
        <v>2635</v>
      </c>
      <c r="K57" s="447" t="s">
        <v>2635</v>
      </c>
      <c r="L57" s="10"/>
      <c r="M57" s="10"/>
      <c r="N57" s="10"/>
      <c r="O57" s="10"/>
      <c r="P57" s="10"/>
      <c r="Q57" s="10"/>
      <c r="R57" s="10"/>
      <c r="S57" s="10"/>
      <c r="T57" s="10"/>
      <c r="U57" s="10"/>
      <c r="V57" s="755"/>
      <c r="W57" s="607" t="s">
        <v>2790</v>
      </c>
      <c r="X57" s="443">
        <f>J21</f>
        <v>8.29008E-3</v>
      </c>
      <c r="Y57" s="602">
        <f t="shared" si="9"/>
        <v>11.606112</v>
      </c>
      <c r="Z57" s="750"/>
      <c r="AA57" s="443" t="str">
        <f>J39</f>
        <v>n/a</v>
      </c>
      <c r="AB57" s="750"/>
      <c r="AC57" s="750"/>
      <c r="AD57" s="747"/>
      <c r="AE57" s="10"/>
      <c r="AF57" s="10"/>
      <c r="AG57" s="10"/>
      <c r="AH57" s="10"/>
      <c r="AI57" s="10"/>
      <c r="AJ57" s="755"/>
      <c r="AK57" s="607"/>
      <c r="AL57" s="602"/>
      <c r="AM57" s="602"/>
      <c r="AN57" s="750"/>
      <c r="AO57" s="453"/>
      <c r="AP57" s="750"/>
      <c r="AQ57" s="750"/>
      <c r="AR57" s="747"/>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row>
    <row r="58" spans="1:69" s="448" customFormat="1" ht="15" customHeight="1" thickBot="1">
      <c r="A58" s="445" t="s">
        <v>2967</v>
      </c>
      <c r="B58" s="440" t="s">
        <v>2899</v>
      </c>
      <c r="C58" s="446"/>
      <c r="D58" s="447" t="s">
        <v>2635</v>
      </c>
      <c r="E58" s="447" t="s">
        <v>2635</v>
      </c>
      <c r="F58" s="447" t="s">
        <v>2635</v>
      </c>
      <c r="G58" s="447" t="s">
        <v>2635</v>
      </c>
      <c r="H58" s="447" t="s">
        <v>2635</v>
      </c>
      <c r="I58" s="447" t="s">
        <v>2635</v>
      </c>
      <c r="J58" s="447" t="s">
        <v>2635</v>
      </c>
      <c r="K58" s="447" t="s">
        <v>2635</v>
      </c>
      <c r="L58" s="10"/>
      <c r="M58" s="10"/>
      <c r="N58" s="10"/>
      <c r="O58" s="10"/>
      <c r="P58" s="10"/>
      <c r="Q58" s="10"/>
      <c r="R58" s="10"/>
      <c r="S58" s="10"/>
      <c r="T58" s="10"/>
      <c r="U58" s="10"/>
      <c r="V58" s="755"/>
      <c r="W58" s="607" t="s">
        <v>2745</v>
      </c>
      <c r="X58" s="443">
        <f>J22</f>
        <v>1.29E-5</v>
      </c>
      <c r="Y58" s="602">
        <f t="shared" si="9"/>
        <v>1.806E-2</v>
      </c>
      <c r="Z58" s="751"/>
      <c r="AA58" s="443" t="str">
        <f>J40</f>
        <v>n/a</v>
      </c>
      <c r="AB58" s="751"/>
      <c r="AC58" s="751"/>
      <c r="AD58" s="748"/>
      <c r="AE58" s="10"/>
      <c r="AF58" s="10"/>
      <c r="AG58" s="10"/>
      <c r="AH58" s="10"/>
      <c r="AI58" s="10"/>
      <c r="AJ58" s="755"/>
      <c r="AK58" s="607"/>
      <c r="AL58" s="602"/>
      <c r="AM58" s="602"/>
      <c r="AN58" s="751"/>
      <c r="AO58" s="453"/>
      <c r="AP58" s="751"/>
      <c r="AQ58" s="751"/>
      <c r="AR58" s="748"/>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row>
    <row r="59" spans="1:69" ht="15.75" thickBot="1">
      <c r="A59" s="424" t="s">
        <v>2968</v>
      </c>
      <c r="B59" s="328" t="s">
        <v>2899</v>
      </c>
      <c r="C59" s="425"/>
      <c r="D59" s="595" t="s">
        <v>2635</v>
      </c>
      <c r="E59" s="595" t="s">
        <v>2635</v>
      </c>
      <c r="F59" s="595" t="s">
        <v>2635</v>
      </c>
      <c r="G59" s="595" t="s">
        <v>2635</v>
      </c>
      <c r="H59" s="595" t="s">
        <v>2635</v>
      </c>
      <c r="I59" s="595" t="s">
        <v>2635</v>
      </c>
      <c r="J59" s="595" t="s">
        <v>2635</v>
      </c>
      <c r="K59" s="595" t="s">
        <v>2635</v>
      </c>
      <c r="L59" s="610"/>
      <c r="V59" s="755" t="str">
        <f>K6</f>
        <v>Vinyl Flooring</v>
      </c>
      <c r="W59" s="607" t="s">
        <v>2741</v>
      </c>
      <c r="X59" s="454">
        <f>K20</f>
        <v>8.8999999999999999E-3</v>
      </c>
      <c r="Y59" s="602">
        <f t="shared" si="9"/>
        <v>12.459999999999999</v>
      </c>
      <c r="Z59" s="749">
        <v>1.4</v>
      </c>
      <c r="AA59" s="443">
        <f>K38</f>
        <v>202</v>
      </c>
      <c r="AB59" s="749">
        <f>K41</f>
        <v>0.01</v>
      </c>
      <c r="AC59" s="749">
        <f>K69</f>
        <v>491.9</v>
      </c>
      <c r="AD59" s="746">
        <f>K73</f>
        <v>1.0000000000000001E-30</v>
      </c>
    </row>
    <row r="60" spans="1:69" ht="15.75" thickBot="1">
      <c r="A60" s="424" t="s">
        <v>2969</v>
      </c>
      <c r="B60" s="328" t="s">
        <v>2899</v>
      </c>
      <c r="C60" s="425"/>
      <c r="D60" s="595" t="s">
        <v>2635</v>
      </c>
      <c r="E60" s="595" t="s">
        <v>2635</v>
      </c>
      <c r="F60" s="595" t="s">
        <v>2635</v>
      </c>
      <c r="G60" s="595" t="s">
        <v>2635</v>
      </c>
      <c r="H60" s="595" t="s">
        <v>2635</v>
      </c>
      <c r="I60" s="595" t="s">
        <v>2635</v>
      </c>
      <c r="J60" s="595" t="s">
        <v>2635</v>
      </c>
      <c r="K60" s="595" t="s">
        <v>2635</v>
      </c>
      <c r="L60" s="610"/>
      <c r="V60" s="755"/>
      <c r="W60" s="607" t="s">
        <v>2790</v>
      </c>
      <c r="X60" s="454">
        <f>K21</f>
        <v>4.9532500000000002E-3</v>
      </c>
      <c r="Y60" s="602">
        <f t="shared" si="9"/>
        <v>6.9345499999999998</v>
      </c>
      <c r="Z60" s="750"/>
      <c r="AA60" s="443">
        <f>K39</f>
        <v>101</v>
      </c>
      <c r="AB60" s="750"/>
      <c r="AC60" s="750"/>
      <c r="AD60" s="747"/>
    </row>
    <row r="61" spans="1:69" ht="15.75" thickBot="1">
      <c r="A61" s="424" t="s">
        <v>2970</v>
      </c>
      <c r="B61" s="328" t="s">
        <v>2899</v>
      </c>
      <c r="C61" s="425"/>
      <c r="D61" s="595" t="s">
        <v>2635</v>
      </c>
      <c r="E61" s="595" t="s">
        <v>2635</v>
      </c>
      <c r="F61" s="595" t="s">
        <v>2635</v>
      </c>
      <c r="G61" s="595" t="s">
        <v>2635</v>
      </c>
      <c r="H61" s="595" t="s">
        <v>2635</v>
      </c>
      <c r="I61" s="595" t="s">
        <v>2635</v>
      </c>
      <c r="J61" s="595" t="s">
        <v>2635</v>
      </c>
      <c r="K61" s="595" t="s">
        <v>2635</v>
      </c>
      <c r="L61" s="610"/>
      <c r="V61" s="755"/>
      <c r="W61" s="607" t="s">
        <v>2745</v>
      </c>
      <c r="X61" s="449">
        <f>K22</f>
        <v>1.13E-4</v>
      </c>
      <c r="Y61" s="602">
        <f t="shared" si="9"/>
        <v>0.15820000000000001</v>
      </c>
      <c r="Z61" s="751"/>
      <c r="AA61" s="443">
        <f>K40</f>
        <v>50.5</v>
      </c>
      <c r="AB61" s="751"/>
      <c r="AC61" s="751"/>
      <c r="AD61" s="748"/>
    </row>
    <row r="62" spans="1:69" s="448" customFormat="1" ht="26.65" customHeight="1" thickBot="1">
      <c r="A62" s="445" t="s">
        <v>2971</v>
      </c>
      <c r="B62" s="440" t="s">
        <v>2972</v>
      </c>
      <c r="C62" s="446"/>
      <c r="D62" s="447" t="s">
        <v>2635</v>
      </c>
      <c r="E62" s="447" t="s">
        <v>2635</v>
      </c>
      <c r="F62" s="447" t="s">
        <v>2635</v>
      </c>
      <c r="G62" s="447" t="s">
        <v>2635</v>
      </c>
      <c r="H62" s="447" t="s">
        <v>2635</v>
      </c>
      <c r="I62" s="447" t="s">
        <v>2635</v>
      </c>
      <c r="J62" s="447" t="s">
        <v>2635</v>
      </c>
      <c r="K62" s="447" t="s">
        <v>2635</v>
      </c>
      <c r="L62" s="10"/>
      <c r="M62" s="10"/>
      <c r="N62" s="10"/>
      <c r="O62" s="10"/>
      <c r="P62" s="10"/>
      <c r="Q62" s="10"/>
      <c r="R62" s="10"/>
      <c r="S62" s="10"/>
      <c r="T62" s="10"/>
      <c r="U62" s="10"/>
      <c r="V62" s="755" t="e">
        <f>#REF!</f>
        <v>#REF!</v>
      </c>
      <c r="W62" s="607" t="s">
        <v>2741</v>
      </c>
      <c r="X62" s="443" t="e">
        <f>#REF!</f>
        <v>#REF!</v>
      </c>
      <c r="Y62" s="602" t="e">
        <f t="shared" si="9"/>
        <v>#REF!</v>
      </c>
      <c r="Z62" s="749">
        <v>1.4</v>
      </c>
      <c r="AA62" s="443" t="e">
        <f>#REF!</f>
        <v>#REF!</v>
      </c>
      <c r="AB62" s="749" t="e">
        <f>#REF!</f>
        <v>#REF!</v>
      </c>
      <c r="AC62" s="749" t="e">
        <f>#REF!</f>
        <v>#REF!</v>
      </c>
      <c r="AD62" s="749" t="e">
        <f>#REF!</f>
        <v>#REF!</v>
      </c>
      <c r="AE62" s="10"/>
      <c r="AF62" s="10"/>
      <c r="AG62" s="10"/>
      <c r="AH62" s="10"/>
      <c r="AI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row>
    <row r="63" spans="1:69" s="448" customFormat="1" ht="15.75" thickBot="1">
      <c r="A63" s="445" t="s">
        <v>2973</v>
      </c>
      <c r="B63" s="440" t="s">
        <v>2974</v>
      </c>
      <c r="C63" s="446"/>
      <c r="D63" s="447" t="s">
        <v>2635</v>
      </c>
      <c r="E63" s="447" t="s">
        <v>2635</v>
      </c>
      <c r="F63" s="447" t="s">
        <v>2635</v>
      </c>
      <c r="G63" s="447" t="s">
        <v>2635</v>
      </c>
      <c r="H63" s="447" t="s">
        <v>2635</v>
      </c>
      <c r="I63" s="447" t="s">
        <v>2635</v>
      </c>
      <c r="J63" s="447" t="s">
        <v>2635</v>
      </c>
      <c r="K63" s="447" t="s">
        <v>2635</v>
      </c>
      <c r="L63" s="10"/>
      <c r="M63" s="10"/>
      <c r="N63" s="10"/>
      <c r="O63" s="10"/>
      <c r="P63" s="10"/>
      <c r="Q63" s="10"/>
      <c r="R63" s="10"/>
      <c r="S63" s="10"/>
      <c r="T63" s="10"/>
      <c r="U63" s="10"/>
      <c r="V63" s="755"/>
      <c r="W63" s="607" t="s">
        <v>2790</v>
      </c>
      <c r="X63" s="443" t="e">
        <f>#REF!</f>
        <v>#REF!</v>
      </c>
      <c r="Y63" s="602" t="e">
        <f t="shared" si="9"/>
        <v>#REF!</v>
      </c>
      <c r="Z63" s="750"/>
      <c r="AA63" s="443" t="e">
        <f>#REF!</f>
        <v>#REF!</v>
      </c>
      <c r="AB63" s="750"/>
      <c r="AC63" s="750"/>
      <c r="AD63" s="750"/>
      <c r="AE63" s="10"/>
      <c r="AF63" s="10"/>
      <c r="AG63" s="10"/>
      <c r="AH63" s="10"/>
      <c r="AI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row>
    <row r="64" spans="1:69" s="448" customFormat="1" ht="15" customHeight="1" thickBot="1">
      <c r="A64" s="445" t="s">
        <v>2975</v>
      </c>
      <c r="B64" s="440" t="s">
        <v>2882</v>
      </c>
      <c r="C64" s="446"/>
      <c r="D64" s="447" t="s">
        <v>2635</v>
      </c>
      <c r="E64" s="447" t="s">
        <v>2635</v>
      </c>
      <c r="F64" s="447" t="s">
        <v>2635</v>
      </c>
      <c r="G64" s="447" t="s">
        <v>2635</v>
      </c>
      <c r="H64" s="447" t="s">
        <v>2635</v>
      </c>
      <c r="I64" s="447" t="s">
        <v>2635</v>
      </c>
      <c r="J64" s="447" t="s">
        <v>2635</v>
      </c>
      <c r="K64" s="447" t="s">
        <v>2635</v>
      </c>
      <c r="L64" s="10"/>
      <c r="M64" s="10"/>
      <c r="N64" s="10"/>
      <c r="O64" s="10"/>
      <c r="P64" s="10"/>
      <c r="Q64" s="10"/>
      <c r="R64" s="10"/>
      <c r="S64" s="10"/>
      <c r="T64" s="10"/>
      <c r="U64" s="10"/>
      <c r="V64" s="755"/>
      <c r="W64" s="607" t="s">
        <v>2745</v>
      </c>
      <c r="X64" s="443" t="e">
        <f>#REF!</f>
        <v>#REF!</v>
      </c>
      <c r="Y64" s="602" t="e">
        <f t="shared" si="9"/>
        <v>#REF!</v>
      </c>
      <c r="Z64" s="751"/>
      <c r="AA64" s="443" t="e">
        <f>#REF!</f>
        <v>#REF!</v>
      </c>
      <c r="AB64" s="751"/>
      <c r="AC64" s="751"/>
      <c r="AD64" s="751"/>
      <c r="AE64" s="10"/>
      <c r="AF64" s="10"/>
      <c r="AG64" s="10"/>
      <c r="AH64" s="10"/>
      <c r="AI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row>
    <row r="65" spans="1:69" s="448" customFormat="1" ht="26.65" customHeight="1" thickBot="1">
      <c r="A65" s="445" t="s">
        <v>2976</v>
      </c>
      <c r="B65" s="440" t="s">
        <v>2977</v>
      </c>
      <c r="C65" s="446"/>
      <c r="D65" s="447" t="s">
        <v>2635</v>
      </c>
      <c r="E65" s="447" t="s">
        <v>2635</v>
      </c>
      <c r="F65" s="447" t="s">
        <v>2635</v>
      </c>
      <c r="G65" s="447" t="s">
        <v>2635</v>
      </c>
      <c r="H65" s="447" t="s">
        <v>2635</v>
      </c>
      <c r="I65" s="447" t="s">
        <v>2635</v>
      </c>
      <c r="J65" s="447" t="s">
        <v>2635</v>
      </c>
      <c r="K65" s="447" t="s">
        <v>2635</v>
      </c>
      <c r="L65" s="10"/>
      <c r="M65" s="10"/>
      <c r="N65" s="10"/>
      <c r="O65" s="10"/>
      <c r="P65" s="10"/>
      <c r="Q65" s="10"/>
      <c r="R65" s="10"/>
      <c r="S65" s="10"/>
      <c r="T65" s="10"/>
      <c r="U65" s="10"/>
      <c r="V65" s="755" t="e">
        <f>#REF!</f>
        <v>#REF!</v>
      </c>
      <c r="W65" s="607" t="s">
        <v>2741</v>
      </c>
      <c r="X65" s="443" t="e">
        <f>#REF!</f>
        <v>#REF!</v>
      </c>
      <c r="Y65" s="602" t="e">
        <f t="shared" si="9"/>
        <v>#REF!</v>
      </c>
      <c r="Z65" s="749">
        <v>1.4</v>
      </c>
      <c r="AA65" s="443" t="e">
        <f>#REF!</f>
        <v>#REF!</v>
      </c>
      <c r="AB65" s="749" t="e">
        <f>#REF!</f>
        <v>#REF!</v>
      </c>
      <c r="AC65" s="749" t="e">
        <f>#REF!</f>
        <v>#REF!</v>
      </c>
      <c r="AD65" s="746" t="e">
        <f>#REF!</f>
        <v>#REF!</v>
      </c>
      <c r="AE65" s="10"/>
      <c r="AF65" s="10"/>
      <c r="AG65" s="10"/>
      <c r="AH65" s="10"/>
      <c r="AI65" s="10"/>
      <c r="AJ65" s="756"/>
      <c r="AK65" s="607"/>
      <c r="AL65" s="602"/>
      <c r="AM65" s="602"/>
      <c r="AN65" s="749"/>
      <c r="AO65" s="453"/>
      <c r="AP65" s="749"/>
      <c r="AQ65" s="749"/>
      <c r="AR65" s="746"/>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row>
    <row r="66" spans="1:69" ht="15.75" thickBot="1">
      <c r="A66" s="415" t="s">
        <v>2978</v>
      </c>
      <c r="B66" s="370"/>
      <c r="C66" s="416"/>
      <c r="D66" s="369"/>
      <c r="E66" s="369"/>
      <c r="F66" s="369"/>
      <c r="G66" s="369"/>
      <c r="H66" s="369"/>
      <c r="I66" s="369"/>
      <c r="J66" s="370"/>
      <c r="K66" s="369"/>
      <c r="L66" s="610"/>
      <c r="V66" s="755"/>
      <c r="W66" s="607" t="s">
        <v>2790</v>
      </c>
      <c r="X66" s="443" t="e">
        <f>#REF!</f>
        <v>#REF!</v>
      </c>
      <c r="Y66" s="602" t="e">
        <f t="shared" si="9"/>
        <v>#REF!</v>
      </c>
      <c r="Z66" s="750"/>
      <c r="AA66" s="443" t="e">
        <f>#REF!</f>
        <v>#REF!</v>
      </c>
      <c r="AB66" s="750"/>
      <c r="AC66" s="750"/>
      <c r="AD66" s="747"/>
      <c r="AJ66" s="756"/>
      <c r="AK66" s="607"/>
      <c r="AL66" s="602"/>
      <c r="AM66" s="602"/>
      <c r="AN66" s="750"/>
      <c r="AO66" s="453"/>
      <c r="AP66" s="750"/>
      <c r="AQ66" s="750"/>
      <c r="AR66" s="747"/>
    </row>
    <row r="67" spans="1:69" ht="15" customHeight="1" thickBot="1">
      <c r="A67" s="431" t="s">
        <v>2979</v>
      </c>
      <c r="B67" s="381"/>
      <c r="C67" s="432"/>
      <c r="D67" s="432"/>
      <c r="E67" s="432"/>
      <c r="F67" s="432"/>
      <c r="G67" s="432"/>
      <c r="H67" s="432"/>
      <c r="I67" s="432"/>
      <c r="J67" s="432"/>
      <c r="K67" s="432"/>
      <c r="L67" s="610"/>
      <c r="V67" s="755"/>
      <c r="W67" s="607" t="s">
        <v>2745</v>
      </c>
      <c r="X67" s="443" t="e">
        <f>#REF!</f>
        <v>#REF!</v>
      </c>
      <c r="Y67" s="602" t="e">
        <f t="shared" si="9"/>
        <v>#REF!</v>
      </c>
      <c r="Z67" s="751"/>
      <c r="AA67" s="443" t="e">
        <f>#REF!</f>
        <v>#REF!</v>
      </c>
      <c r="AB67" s="751"/>
      <c r="AC67" s="751"/>
      <c r="AD67" s="748"/>
      <c r="AJ67" s="756"/>
      <c r="AK67" s="607"/>
      <c r="AL67" s="602"/>
      <c r="AM67" s="602"/>
      <c r="AN67" s="751"/>
      <c r="AO67" s="453"/>
      <c r="AP67" s="751"/>
      <c r="AQ67" s="751"/>
      <c r="AR67" s="748"/>
    </row>
    <row r="68" spans="1:69">
      <c r="A68" s="424" t="s">
        <v>2980</v>
      </c>
      <c r="B68" s="328" t="s">
        <v>2981</v>
      </c>
      <c r="C68" s="425"/>
      <c r="D68" s="595" t="s">
        <v>2635</v>
      </c>
      <c r="E68" s="595">
        <v>2.4</v>
      </c>
      <c r="F68" s="595">
        <v>492</v>
      </c>
      <c r="G68" s="595">
        <v>492</v>
      </c>
      <c r="H68" s="355" t="s">
        <v>2635</v>
      </c>
      <c r="I68" s="595">
        <v>492</v>
      </c>
      <c r="J68" s="355" t="s">
        <v>2635</v>
      </c>
      <c r="K68" s="595">
        <v>492</v>
      </c>
      <c r="L68" s="610"/>
    </row>
    <row r="69" spans="1:69">
      <c r="A69" s="424" t="s">
        <v>2982</v>
      </c>
      <c r="B69" s="328" t="s">
        <v>2981</v>
      </c>
      <c r="C69" s="425"/>
      <c r="D69" s="595" t="s">
        <v>2635</v>
      </c>
      <c r="E69" s="595">
        <v>2.4</v>
      </c>
      <c r="F69" s="595">
        <v>36</v>
      </c>
      <c r="G69" s="595">
        <v>36</v>
      </c>
      <c r="H69" s="355" t="s">
        <v>2635</v>
      </c>
      <c r="I69" s="595">
        <v>50</v>
      </c>
      <c r="J69" s="355" t="s">
        <v>2635</v>
      </c>
      <c r="K69" s="595">
        <v>491.9</v>
      </c>
      <c r="L69" s="610"/>
    </row>
    <row r="70" spans="1:69">
      <c r="A70" s="424" t="s">
        <v>2983</v>
      </c>
      <c r="B70" s="328" t="s">
        <v>2930</v>
      </c>
      <c r="C70" s="425"/>
      <c r="D70" s="595" t="s">
        <v>2635</v>
      </c>
      <c r="E70" s="595" t="s">
        <v>2635</v>
      </c>
      <c r="F70" s="595" t="s">
        <v>2635</v>
      </c>
      <c r="G70" s="595" t="s">
        <v>2635</v>
      </c>
      <c r="H70" s="355" t="s">
        <v>2635</v>
      </c>
      <c r="I70" s="595" t="s">
        <v>2635</v>
      </c>
      <c r="J70" s="355" t="s">
        <v>2635</v>
      </c>
      <c r="K70" s="595" t="s">
        <v>2635</v>
      </c>
      <c r="L70" s="610"/>
    </row>
    <row r="71" spans="1:69">
      <c r="A71" s="424" t="s">
        <v>2984</v>
      </c>
      <c r="B71" s="328" t="s">
        <v>2985</v>
      </c>
      <c r="C71" s="425"/>
      <c r="D71" s="595" t="s">
        <v>2635</v>
      </c>
      <c r="E71" s="595" t="s">
        <v>2635</v>
      </c>
      <c r="F71" s="595" t="s">
        <v>2635</v>
      </c>
      <c r="G71" s="595" t="s">
        <v>2635</v>
      </c>
      <c r="H71" s="355" t="s">
        <v>2635</v>
      </c>
      <c r="I71" s="595" t="s">
        <v>2635</v>
      </c>
      <c r="J71" s="355" t="s">
        <v>2635</v>
      </c>
      <c r="K71" s="595" t="s">
        <v>2635</v>
      </c>
      <c r="L71" s="610"/>
    </row>
    <row r="72" spans="1:69">
      <c r="A72" s="424" t="s">
        <v>2986</v>
      </c>
      <c r="B72" s="328" t="s">
        <v>2985</v>
      </c>
      <c r="C72" s="425"/>
      <c r="D72" s="595" t="s">
        <v>2635</v>
      </c>
      <c r="E72" s="595">
        <v>12.5</v>
      </c>
      <c r="F72" s="595">
        <v>0.45</v>
      </c>
      <c r="G72" s="595">
        <v>0.45</v>
      </c>
      <c r="H72" s="355" t="s">
        <v>2635</v>
      </c>
      <c r="I72" s="595">
        <v>0.45</v>
      </c>
      <c r="J72" s="355" t="s">
        <v>2635</v>
      </c>
      <c r="K72" s="595">
        <v>0.45</v>
      </c>
      <c r="L72" s="610"/>
    </row>
    <row r="73" spans="1:69">
      <c r="A73" s="424" t="s">
        <v>2987</v>
      </c>
      <c r="B73" s="328" t="s">
        <v>2988</v>
      </c>
      <c r="C73" s="425"/>
      <c r="D73" s="595" t="s">
        <v>2635</v>
      </c>
      <c r="E73" s="595">
        <v>9.4871999999999996</v>
      </c>
      <c r="F73" s="595">
        <v>107.01</v>
      </c>
      <c r="G73" s="595">
        <v>107.01</v>
      </c>
      <c r="H73" s="355" t="s">
        <v>2635</v>
      </c>
      <c r="I73" s="595">
        <v>108.98</v>
      </c>
      <c r="J73" s="355" t="s">
        <v>2635</v>
      </c>
      <c r="K73" s="595">
        <v>1.0000000000000001E-30</v>
      </c>
      <c r="L73" s="610"/>
    </row>
    <row r="74" spans="1:69">
      <c r="A74" s="424" t="s">
        <v>2989</v>
      </c>
      <c r="B74" s="328" t="s">
        <v>2930</v>
      </c>
      <c r="C74" s="425"/>
      <c r="D74" s="595" t="s">
        <v>2635</v>
      </c>
      <c r="E74" s="595">
        <v>4.992</v>
      </c>
      <c r="F74" s="595">
        <v>74.88</v>
      </c>
      <c r="G74" s="595">
        <v>74.88</v>
      </c>
      <c r="H74" s="355" t="s">
        <v>2635</v>
      </c>
      <c r="I74" s="595">
        <v>104</v>
      </c>
      <c r="J74" s="355" t="s">
        <v>2635</v>
      </c>
      <c r="K74" s="595">
        <v>1023.36</v>
      </c>
      <c r="L74" s="610"/>
    </row>
    <row r="75" spans="1:69" s="122" customFormat="1">
      <c r="A75" s="424" t="s">
        <v>2990</v>
      </c>
      <c r="B75" s="437" t="s">
        <v>2991</v>
      </c>
      <c r="C75" s="424"/>
      <c r="D75" s="573" t="s">
        <v>2635</v>
      </c>
      <c r="E75" s="573">
        <v>5.0000000000000001E-3</v>
      </c>
      <c r="F75" s="573">
        <v>5.0000000000000001E-3</v>
      </c>
      <c r="G75" s="573">
        <v>5.0000000000000001E-3</v>
      </c>
      <c r="H75" s="386" t="s">
        <v>2635</v>
      </c>
      <c r="I75" s="573">
        <v>5.0000000000000001E-3</v>
      </c>
      <c r="J75" s="386" t="s">
        <v>2635</v>
      </c>
      <c r="K75" s="573">
        <v>5.0000000000000001E-3</v>
      </c>
    </row>
    <row r="76" spans="1:69">
      <c r="A76" s="431" t="s">
        <v>2992</v>
      </c>
      <c r="B76" s="381"/>
      <c r="C76" s="432"/>
      <c r="D76" s="432"/>
      <c r="E76" s="432"/>
      <c r="F76" s="432"/>
      <c r="G76" s="432"/>
      <c r="H76" s="432"/>
      <c r="I76" s="432"/>
      <c r="J76" s="432"/>
      <c r="K76" s="432"/>
      <c r="L76" s="610"/>
    </row>
    <row r="77" spans="1:69" s="448" customFormat="1">
      <c r="A77" s="445" t="s">
        <v>2993</v>
      </c>
      <c r="B77" s="440" t="s">
        <v>2981</v>
      </c>
      <c r="C77" s="446"/>
      <c r="D77" s="447" t="s">
        <v>2635</v>
      </c>
      <c r="E77" s="447" t="s">
        <v>2635</v>
      </c>
      <c r="F77" s="447" t="s">
        <v>2635</v>
      </c>
      <c r="G77" s="447" t="s">
        <v>2635</v>
      </c>
      <c r="H77" s="447" t="s">
        <v>2635</v>
      </c>
      <c r="I77" s="447" t="s">
        <v>2635</v>
      </c>
      <c r="J77" s="447"/>
      <c r="K77" s="447" t="s">
        <v>2635</v>
      </c>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row>
    <row r="78" spans="1:69" s="448" customFormat="1">
      <c r="A78" s="445" t="s">
        <v>2994</v>
      </c>
      <c r="B78" s="440" t="s">
        <v>2981</v>
      </c>
      <c r="C78" s="446"/>
      <c r="D78" s="447" t="s">
        <v>2635</v>
      </c>
      <c r="E78" s="447" t="s">
        <v>2635</v>
      </c>
      <c r="F78" s="447" t="s">
        <v>2635</v>
      </c>
      <c r="G78" s="447" t="s">
        <v>2635</v>
      </c>
      <c r="H78" s="447" t="s">
        <v>2635</v>
      </c>
      <c r="I78" s="447" t="s">
        <v>2635</v>
      </c>
      <c r="J78" s="447"/>
      <c r="K78" s="447" t="s">
        <v>2635</v>
      </c>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row>
    <row r="79" spans="1:69" s="448" customFormat="1">
      <c r="A79" s="445" t="s">
        <v>2995</v>
      </c>
      <c r="B79" s="440" t="s">
        <v>2996</v>
      </c>
      <c r="C79" s="446"/>
      <c r="D79" s="447" t="s">
        <v>2635</v>
      </c>
      <c r="E79" s="447" t="s">
        <v>2635</v>
      </c>
      <c r="F79" s="447" t="s">
        <v>2635</v>
      </c>
      <c r="G79" s="447" t="s">
        <v>2635</v>
      </c>
      <c r="H79" s="447" t="s">
        <v>2635</v>
      </c>
      <c r="I79" s="447" t="s">
        <v>2635</v>
      </c>
      <c r="J79" s="447"/>
      <c r="K79" s="447" t="s">
        <v>2635</v>
      </c>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row>
    <row r="80" spans="1:69">
      <c r="A80" s="431" t="s">
        <v>2997</v>
      </c>
      <c r="B80" s="381"/>
      <c r="C80" s="432"/>
      <c r="D80" s="432"/>
      <c r="E80" s="432"/>
      <c r="F80" s="432"/>
      <c r="G80" s="432"/>
      <c r="H80" s="432"/>
      <c r="I80" s="432"/>
      <c r="J80" s="432"/>
      <c r="K80" s="432"/>
      <c r="L80" s="610"/>
    </row>
    <row r="81" spans="1:69" s="448" customFormat="1">
      <c r="A81" s="445" t="s">
        <v>2998</v>
      </c>
      <c r="B81" s="440" t="s">
        <v>2991</v>
      </c>
      <c r="C81" s="446"/>
      <c r="D81" s="447" t="s">
        <v>2635</v>
      </c>
      <c r="E81" s="447" t="s">
        <v>2635</v>
      </c>
      <c r="F81" s="447" t="s">
        <v>2635</v>
      </c>
      <c r="G81" s="447" t="s">
        <v>2635</v>
      </c>
      <c r="H81" s="447" t="s">
        <v>2635</v>
      </c>
      <c r="I81" s="447" t="s">
        <v>2635</v>
      </c>
      <c r="J81" s="447"/>
      <c r="K81" s="447" t="s">
        <v>2635</v>
      </c>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row>
    <row r="82" spans="1:69" s="448" customFormat="1">
      <c r="A82" s="445" t="s">
        <v>2999</v>
      </c>
      <c r="B82" s="440" t="s">
        <v>3000</v>
      </c>
      <c r="C82" s="446"/>
      <c r="D82" s="447" t="s">
        <v>2635</v>
      </c>
      <c r="E82" s="447" t="s">
        <v>2635</v>
      </c>
      <c r="F82" s="447" t="s">
        <v>2635</v>
      </c>
      <c r="G82" s="447" t="s">
        <v>2635</v>
      </c>
      <c r="H82" s="447" t="s">
        <v>2635</v>
      </c>
      <c r="I82" s="447" t="s">
        <v>2635</v>
      </c>
      <c r="J82" s="447"/>
      <c r="K82" s="447" t="s">
        <v>2635</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row>
    <row r="83" spans="1:69" s="448" customFormat="1">
      <c r="A83" s="445" t="s">
        <v>3001</v>
      </c>
      <c r="B83" s="440" t="s">
        <v>2899</v>
      </c>
      <c r="C83" s="446"/>
      <c r="D83" s="447" t="s">
        <v>2635</v>
      </c>
      <c r="E83" s="447" t="s">
        <v>2635</v>
      </c>
      <c r="F83" s="447" t="s">
        <v>2635</v>
      </c>
      <c r="G83" s="447" t="s">
        <v>2635</v>
      </c>
      <c r="H83" s="447" t="s">
        <v>2635</v>
      </c>
      <c r="I83" s="447" t="s">
        <v>2635</v>
      </c>
      <c r="J83" s="447"/>
      <c r="K83" s="447" t="s">
        <v>2635</v>
      </c>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row>
    <row r="84" spans="1:69" s="448" customFormat="1">
      <c r="A84" s="445" t="s">
        <v>3002</v>
      </c>
      <c r="B84" s="440" t="s">
        <v>578</v>
      </c>
      <c r="C84" s="446"/>
      <c r="D84" s="447" t="s">
        <v>2635</v>
      </c>
      <c r="E84" s="447" t="s">
        <v>2635</v>
      </c>
      <c r="F84" s="447" t="s">
        <v>2635</v>
      </c>
      <c r="G84" s="447" t="s">
        <v>2635</v>
      </c>
      <c r="H84" s="447" t="s">
        <v>2635</v>
      </c>
      <c r="I84" s="447" t="s">
        <v>2635</v>
      </c>
      <c r="J84" s="447"/>
      <c r="K84" s="447" t="s">
        <v>2635</v>
      </c>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row>
    <row r="85" spans="1:69" s="448" customFormat="1">
      <c r="A85" s="445" t="s">
        <v>3003</v>
      </c>
      <c r="B85" s="440" t="s">
        <v>578</v>
      </c>
      <c r="C85" s="446"/>
      <c r="D85" s="447" t="s">
        <v>2635</v>
      </c>
      <c r="E85" s="447" t="s">
        <v>2635</v>
      </c>
      <c r="F85" s="447" t="s">
        <v>2635</v>
      </c>
      <c r="G85" s="447" t="s">
        <v>2635</v>
      </c>
      <c r="H85" s="447" t="s">
        <v>2635</v>
      </c>
      <c r="I85" s="447" t="s">
        <v>2635</v>
      </c>
      <c r="J85" s="447"/>
      <c r="K85" s="447" t="s">
        <v>2635</v>
      </c>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row>
    <row r="86" spans="1:69">
      <c r="A86" s="431" t="s">
        <v>3004</v>
      </c>
      <c r="B86" s="381"/>
      <c r="C86" s="432"/>
      <c r="D86" s="432"/>
      <c r="E86" s="432"/>
      <c r="F86" s="432"/>
      <c r="G86" s="432"/>
      <c r="H86" s="432"/>
      <c r="I86" s="432"/>
      <c r="J86" s="432"/>
      <c r="K86" s="432"/>
      <c r="L86" s="610"/>
    </row>
    <row r="87" spans="1:69">
      <c r="A87" s="455" t="s">
        <v>3005</v>
      </c>
      <c r="B87" s="328"/>
      <c r="C87" s="425"/>
      <c r="D87" s="595"/>
      <c r="E87" s="595"/>
      <c r="F87" s="595"/>
      <c r="G87" s="595"/>
      <c r="H87" s="595"/>
      <c r="I87" s="595"/>
      <c r="J87" s="355"/>
      <c r="K87" s="595"/>
      <c r="L87" s="610"/>
    </row>
    <row r="88" spans="1:69">
      <c r="A88" s="424" t="s">
        <v>3006</v>
      </c>
      <c r="B88" s="328" t="s">
        <v>2996</v>
      </c>
      <c r="C88" s="425"/>
      <c r="D88" s="355" t="s">
        <v>2635</v>
      </c>
      <c r="E88" s="595">
        <v>1</v>
      </c>
      <c r="F88" s="595">
        <v>1</v>
      </c>
      <c r="G88" s="595">
        <v>1</v>
      </c>
      <c r="H88" s="355" t="s">
        <v>2635</v>
      </c>
      <c r="I88" s="595">
        <v>1</v>
      </c>
      <c r="J88" s="355" t="s">
        <v>2635</v>
      </c>
      <c r="K88" s="595">
        <v>1</v>
      </c>
      <c r="L88" s="610"/>
    </row>
    <row r="89" spans="1:69">
      <c r="A89" s="424" t="s">
        <v>3007</v>
      </c>
      <c r="B89" s="328" t="s">
        <v>2996</v>
      </c>
      <c r="C89" s="425"/>
      <c r="D89" s="355" t="s">
        <v>2635</v>
      </c>
      <c r="E89" s="595">
        <v>2.5999999999999998E-5</v>
      </c>
      <c r="F89" s="595">
        <v>2.5999999999999998E-5</v>
      </c>
      <c r="G89" s="595">
        <v>2.5999999999999998E-5</v>
      </c>
      <c r="H89" s="355" t="s">
        <v>2635</v>
      </c>
      <c r="I89" s="595">
        <v>2.5999999999999998E-5</v>
      </c>
      <c r="J89" s="355" t="s">
        <v>2635</v>
      </c>
      <c r="K89" s="595">
        <v>2.5999999999999998E-5</v>
      </c>
      <c r="L89" s="610"/>
    </row>
    <row r="90" spans="1:69">
      <c r="A90" s="424" t="s">
        <v>3008</v>
      </c>
      <c r="B90" s="328" t="s">
        <v>2926</v>
      </c>
      <c r="C90" s="425"/>
      <c r="D90" s="355" t="s">
        <v>2635</v>
      </c>
      <c r="E90" s="595">
        <v>14.7</v>
      </c>
      <c r="F90" s="595">
        <v>14.7</v>
      </c>
      <c r="G90" s="595">
        <v>14.7</v>
      </c>
      <c r="H90" s="355" t="s">
        <v>2635</v>
      </c>
      <c r="I90" s="595">
        <v>14.7</v>
      </c>
      <c r="J90" s="355" t="s">
        <v>2635</v>
      </c>
      <c r="K90" s="595">
        <v>14.7</v>
      </c>
      <c r="L90" s="610"/>
    </row>
    <row r="91" spans="1:69">
      <c r="A91" s="424" t="s">
        <v>3009</v>
      </c>
      <c r="B91" s="328" t="s">
        <v>2926</v>
      </c>
      <c r="C91" s="425"/>
      <c r="D91" s="355" t="s">
        <v>2635</v>
      </c>
      <c r="E91" s="595">
        <v>0</v>
      </c>
      <c r="F91" s="595">
        <v>0</v>
      </c>
      <c r="G91" s="595">
        <v>0</v>
      </c>
      <c r="H91" s="355" t="s">
        <v>2635</v>
      </c>
      <c r="I91" s="595">
        <v>0</v>
      </c>
      <c r="J91" s="355" t="s">
        <v>2635</v>
      </c>
      <c r="K91" s="595">
        <v>0</v>
      </c>
      <c r="L91" s="610"/>
    </row>
    <row r="92" spans="1:69">
      <c r="A92" s="210" t="s">
        <v>3010</v>
      </c>
      <c r="B92" s="328" t="s">
        <v>2991</v>
      </c>
      <c r="C92" s="425"/>
      <c r="D92" s="355" t="s">
        <v>2635</v>
      </c>
      <c r="E92" s="595">
        <v>5.0000000000000004E-6</v>
      </c>
      <c r="F92" s="595">
        <v>5.0000000000000004E-6</v>
      </c>
      <c r="G92" s="595">
        <v>5.0000000000000004E-6</v>
      </c>
      <c r="H92" s="355" t="s">
        <v>2635</v>
      </c>
      <c r="I92" s="595">
        <v>5.0000000000000004E-6</v>
      </c>
      <c r="J92" s="355" t="s">
        <v>2635</v>
      </c>
      <c r="K92" s="595">
        <v>5.0000000000000004E-6</v>
      </c>
      <c r="L92" s="610"/>
    </row>
    <row r="93" spans="1:69">
      <c r="A93" s="424" t="s">
        <v>3011</v>
      </c>
      <c r="B93" s="328" t="s">
        <v>2903</v>
      </c>
      <c r="C93" s="425"/>
      <c r="D93" s="355" t="s">
        <v>2635</v>
      </c>
      <c r="E93" s="595">
        <v>1000000000</v>
      </c>
      <c r="F93" s="595">
        <v>1000000000</v>
      </c>
      <c r="G93" s="595">
        <v>1000000000</v>
      </c>
      <c r="H93" s="355" t="s">
        <v>2635</v>
      </c>
      <c r="I93" s="595">
        <v>1000000000</v>
      </c>
      <c r="J93" s="355" t="s">
        <v>2635</v>
      </c>
      <c r="K93" s="595">
        <v>1000000000</v>
      </c>
      <c r="L93" s="610"/>
    </row>
    <row r="94" spans="1:69">
      <c r="A94" s="455" t="s">
        <v>3012</v>
      </c>
      <c r="B94" s="328"/>
      <c r="C94" s="425"/>
      <c r="D94" s="355"/>
      <c r="E94" s="595"/>
      <c r="F94" s="595"/>
      <c r="G94" s="595"/>
      <c r="H94" s="355"/>
      <c r="I94" s="595"/>
      <c r="J94" s="355"/>
      <c r="K94" s="595"/>
      <c r="L94" s="610"/>
    </row>
    <row r="95" spans="1:69">
      <c r="A95" s="424" t="s">
        <v>3006</v>
      </c>
      <c r="B95" s="328" t="s">
        <v>2996</v>
      </c>
      <c r="C95" s="425"/>
      <c r="D95" s="355" t="s">
        <v>2635</v>
      </c>
      <c r="E95" s="595">
        <v>3.3</v>
      </c>
      <c r="F95" s="595">
        <v>3.3</v>
      </c>
      <c r="G95" s="595">
        <v>3.3</v>
      </c>
      <c r="H95" s="355" t="s">
        <v>2635</v>
      </c>
      <c r="I95" s="595">
        <v>3.3</v>
      </c>
      <c r="J95" s="355" t="s">
        <v>2635</v>
      </c>
      <c r="K95" s="595">
        <v>3.3</v>
      </c>
      <c r="L95" s="610"/>
    </row>
    <row r="96" spans="1:69">
      <c r="A96" s="424" t="s">
        <v>3007</v>
      </c>
      <c r="B96" s="328" t="s">
        <v>2996</v>
      </c>
      <c r="C96" s="425"/>
      <c r="D96" s="355" t="s">
        <v>2635</v>
      </c>
      <c r="E96" s="595">
        <v>2.1000000000000001E-4</v>
      </c>
      <c r="F96" s="595">
        <v>2.1000000000000001E-4</v>
      </c>
      <c r="G96" s="595">
        <v>2.1000000000000001E-4</v>
      </c>
      <c r="H96" s="355" t="s">
        <v>2635</v>
      </c>
      <c r="I96" s="595">
        <v>2.1000000000000001E-4</v>
      </c>
      <c r="J96" s="355" t="s">
        <v>2635</v>
      </c>
      <c r="K96" s="595">
        <v>2.1000000000000001E-4</v>
      </c>
      <c r="L96" s="610"/>
    </row>
    <row r="97" spans="1:11">
      <c r="A97" s="424" t="s">
        <v>3008</v>
      </c>
      <c r="B97" s="328" t="s">
        <v>2926</v>
      </c>
      <c r="C97" s="425"/>
      <c r="D97" s="355" t="s">
        <v>2635</v>
      </c>
      <c r="E97" s="595">
        <v>117.9</v>
      </c>
      <c r="F97" s="595">
        <v>117.9</v>
      </c>
      <c r="G97" s="595">
        <v>117.9</v>
      </c>
      <c r="H97" s="355" t="s">
        <v>2635</v>
      </c>
      <c r="I97" s="595">
        <v>117.9</v>
      </c>
      <c r="J97" s="355" t="s">
        <v>2635</v>
      </c>
      <c r="K97" s="595">
        <v>117.9</v>
      </c>
    </row>
    <row r="98" spans="1:11">
      <c r="A98" s="424" t="s">
        <v>3009</v>
      </c>
      <c r="B98" s="328" t="s">
        <v>2926</v>
      </c>
      <c r="C98" s="425"/>
      <c r="D98" s="355" t="s">
        <v>2635</v>
      </c>
      <c r="E98" s="595">
        <v>25.3</v>
      </c>
      <c r="F98" s="595">
        <v>25.3</v>
      </c>
      <c r="G98" s="595">
        <v>25.3</v>
      </c>
      <c r="H98" s="355" t="s">
        <v>2635</v>
      </c>
      <c r="I98" s="595">
        <v>25.3</v>
      </c>
      <c r="J98" s="355" t="s">
        <v>2635</v>
      </c>
      <c r="K98" s="595">
        <v>25.3</v>
      </c>
    </row>
    <row r="99" spans="1:11">
      <c r="A99" s="210" t="s">
        <v>3010</v>
      </c>
      <c r="B99" s="328" t="s">
        <v>2991</v>
      </c>
      <c r="C99" s="425"/>
      <c r="D99" s="355" t="s">
        <v>2635</v>
      </c>
      <c r="E99" s="595">
        <v>5.0000000000000001E-4</v>
      </c>
      <c r="F99" s="595">
        <v>5.0000000000000001E-4</v>
      </c>
      <c r="G99" s="595">
        <v>5.0000000000000001E-4</v>
      </c>
      <c r="H99" s="355" t="s">
        <v>2635</v>
      </c>
      <c r="I99" s="595">
        <v>5.0000000000000001E-4</v>
      </c>
      <c r="J99" s="355" t="s">
        <v>2635</v>
      </c>
      <c r="K99" s="595">
        <v>5.0000000000000001E-4</v>
      </c>
    </row>
    <row r="100" spans="1:11">
      <c r="A100" s="424" t="s">
        <v>3011</v>
      </c>
      <c r="B100" s="328" t="s">
        <v>2903</v>
      </c>
      <c r="C100" s="425"/>
      <c r="D100" s="355" t="s">
        <v>2635</v>
      </c>
      <c r="E100" s="595">
        <v>2000000000</v>
      </c>
      <c r="F100" s="595">
        <v>2000000000</v>
      </c>
      <c r="G100" s="595">
        <v>2000000000</v>
      </c>
      <c r="H100" s="355" t="s">
        <v>2635</v>
      </c>
      <c r="I100" s="595">
        <v>2000000000</v>
      </c>
      <c r="J100" s="355" t="s">
        <v>2635</v>
      </c>
      <c r="K100" s="595">
        <v>2000000000</v>
      </c>
    </row>
    <row r="101" spans="1:11">
      <c r="A101" s="455" t="s">
        <v>3013</v>
      </c>
      <c r="B101" s="328"/>
      <c r="C101" s="425"/>
      <c r="D101" s="355"/>
      <c r="E101" s="595"/>
      <c r="F101" s="595"/>
      <c r="G101" s="595"/>
      <c r="H101" s="355"/>
      <c r="I101" s="595"/>
      <c r="J101" s="355"/>
      <c r="K101" s="595"/>
    </row>
    <row r="102" spans="1:11">
      <c r="A102" s="424" t="s">
        <v>3006</v>
      </c>
      <c r="B102" s="328" t="s">
        <v>2996</v>
      </c>
      <c r="C102" s="425"/>
      <c r="D102" s="355" t="s">
        <v>2635</v>
      </c>
      <c r="E102" s="595">
        <v>2.34</v>
      </c>
      <c r="F102" s="595">
        <v>2.34</v>
      </c>
      <c r="G102" s="595">
        <v>2.34</v>
      </c>
      <c r="H102" s="355" t="s">
        <v>2635</v>
      </c>
      <c r="I102" s="595">
        <v>2.34</v>
      </c>
      <c r="J102" s="355" t="s">
        <v>2635</v>
      </c>
      <c r="K102" s="595">
        <v>2.34</v>
      </c>
    </row>
    <row r="103" spans="1:11">
      <c r="A103" s="424" t="s">
        <v>3007</v>
      </c>
      <c r="B103" s="328" t="s">
        <v>2996</v>
      </c>
      <c r="C103" s="425"/>
      <c r="D103" s="355" t="s">
        <v>2635</v>
      </c>
      <c r="E103" s="595">
        <v>1.2899999999999999E-4</v>
      </c>
      <c r="F103" s="595">
        <v>1.2899999999999999E-4</v>
      </c>
      <c r="G103" s="595">
        <v>1.2899999999999999E-4</v>
      </c>
      <c r="H103" s="355" t="s">
        <v>2635</v>
      </c>
      <c r="I103" s="595">
        <v>1.2899999999999999E-4</v>
      </c>
      <c r="J103" s="355" t="s">
        <v>2635</v>
      </c>
      <c r="K103" s="595">
        <v>1.2899999999999999E-4</v>
      </c>
    </row>
    <row r="104" spans="1:11">
      <c r="A104" s="424" t="s">
        <v>3009</v>
      </c>
      <c r="B104" s="328" t="s">
        <v>2926</v>
      </c>
      <c r="C104" s="425"/>
      <c r="D104" s="355" t="s">
        <v>2635</v>
      </c>
      <c r="E104" s="595">
        <v>5.3099999999999996E-3</v>
      </c>
      <c r="F104" s="595">
        <v>5.3099999999999996E-3</v>
      </c>
      <c r="G104" s="595">
        <v>5.3099999999999996E-3</v>
      </c>
      <c r="H104" s="355" t="s">
        <v>2635</v>
      </c>
      <c r="I104" s="595">
        <v>5.3099999999999996E-3</v>
      </c>
      <c r="J104" s="355" t="s">
        <v>2635</v>
      </c>
      <c r="K104" s="595">
        <v>5.3099999999999996E-3</v>
      </c>
    </row>
    <row r="105" spans="1:11">
      <c r="A105" s="210" t="s">
        <v>3010</v>
      </c>
      <c r="B105" s="328" t="s">
        <v>2991</v>
      </c>
      <c r="C105" s="425"/>
      <c r="D105" s="355" t="s">
        <v>2635</v>
      </c>
      <c r="E105" s="595" t="s">
        <v>2635</v>
      </c>
      <c r="F105" s="595">
        <v>6.9999999999999994E-5</v>
      </c>
      <c r="G105" s="595">
        <v>6.9999999999999994E-5</v>
      </c>
      <c r="H105" s="355" t="s">
        <v>2635</v>
      </c>
      <c r="I105" s="595">
        <v>6.9999999999999994E-5</v>
      </c>
      <c r="J105" s="355" t="s">
        <v>2635</v>
      </c>
      <c r="K105" s="595">
        <v>6.9999999999999994E-5</v>
      </c>
    </row>
    <row r="106" spans="1:11">
      <c r="A106" s="455" t="s">
        <v>2564</v>
      </c>
      <c r="B106" s="328"/>
      <c r="C106" s="425"/>
      <c r="D106" s="355"/>
      <c r="E106" s="595"/>
      <c r="F106" s="595"/>
      <c r="G106" s="595"/>
      <c r="H106" s="355"/>
      <c r="I106" s="595"/>
      <c r="J106" s="355"/>
      <c r="K106" s="595"/>
    </row>
    <row r="107" spans="1:11">
      <c r="A107" s="424" t="s">
        <v>3014</v>
      </c>
      <c r="B107" s="328" t="s">
        <v>2903</v>
      </c>
      <c r="C107" s="425"/>
      <c r="D107" s="355" t="s">
        <v>2635</v>
      </c>
      <c r="E107" s="595">
        <v>5.1999999999999998E-2</v>
      </c>
      <c r="F107" s="595">
        <v>5.1999999999999998E-2</v>
      </c>
      <c r="G107" s="595">
        <v>5.1999999999999998E-2</v>
      </c>
      <c r="H107" s="355" t="s">
        <v>2635</v>
      </c>
      <c r="I107" s="595">
        <v>5.1999999999999998E-2</v>
      </c>
      <c r="J107" s="355" t="s">
        <v>2635</v>
      </c>
      <c r="K107" s="595">
        <v>5.1999999999999998E-2</v>
      </c>
    </row>
    <row r="108" spans="1:11">
      <c r="A108" s="456" t="s">
        <v>3015</v>
      </c>
      <c r="B108" s="328" t="s">
        <v>2996</v>
      </c>
      <c r="C108" s="425"/>
      <c r="D108" s="355" t="s">
        <v>2635</v>
      </c>
      <c r="E108" s="595">
        <v>6.0000000000000001E-3</v>
      </c>
      <c r="F108" s="595">
        <v>6.0000000000000001E-3</v>
      </c>
      <c r="G108" s="595">
        <v>6.0000000000000001E-3</v>
      </c>
      <c r="H108" s="355" t="s">
        <v>2635</v>
      </c>
      <c r="I108" s="595">
        <v>6.0000000000000001E-3</v>
      </c>
      <c r="J108" s="355" t="s">
        <v>2635</v>
      </c>
      <c r="K108" s="595">
        <v>6.0000000000000001E-3</v>
      </c>
    </row>
    <row r="109" spans="1:11">
      <c r="A109" s="424" t="s">
        <v>3016</v>
      </c>
      <c r="B109" s="328" t="s">
        <v>2899</v>
      </c>
      <c r="C109" s="425"/>
      <c r="D109" s="355" t="s">
        <v>2635</v>
      </c>
      <c r="E109" s="595">
        <v>0.46</v>
      </c>
      <c r="F109" s="595">
        <v>0.46</v>
      </c>
      <c r="G109" s="595">
        <v>0.46</v>
      </c>
      <c r="H109" s="355" t="s">
        <v>2635</v>
      </c>
      <c r="I109" s="595">
        <v>0.46</v>
      </c>
      <c r="J109" s="355" t="s">
        <v>2635</v>
      </c>
      <c r="K109" s="595">
        <v>0.46</v>
      </c>
    </row>
    <row r="110" spans="1:11">
      <c r="A110" s="424" t="s">
        <v>3017</v>
      </c>
      <c r="B110" s="328" t="s">
        <v>2899</v>
      </c>
      <c r="C110" s="425"/>
      <c r="D110" s="355" t="s">
        <v>2635</v>
      </c>
      <c r="E110" s="595">
        <v>0.05</v>
      </c>
      <c r="F110" s="595">
        <v>0.05</v>
      </c>
      <c r="G110" s="595">
        <v>0.05</v>
      </c>
      <c r="H110" s="355" t="s">
        <v>2635</v>
      </c>
      <c r="I110" s="595">
        <v>0.05</v>
      </c>
      <c r="J110" s="355" t="s">
        <v>2635</v>
      </c>
      <c r="K110" s="595">
        <v>0.05</v>
      </c>
    </row>
    <row r="111" spans="1:11">
      <c r="A111" s="415" t="s">
        <v>3018</v>
      </c>
      <c r="B111" s="370"/>
      <c r="C111" s="416"/>
      <c r="D111" s="369"/>
      <c r="E111" s="369"/>
      <c r="F111" s="369"/>
      <c r="G111" s="369"/>
      <c r="H111" s="369"/>
      <c r="I111" s="369"/>
      <c r="J111" s="370"/>
      <c r="K111" s="369"/>
    </row>
    <row r="112" spans="1:11">
      <c r="A112" s="424" t="s">
        <v>3019</v>
      </c>
      <c r="B112" s="328" t="s">
        <v>3020</v>
      </c>
      <c r="C112" s="425"/>
      <c r="D112" s="595">
        <v>1</v>
      </c>
      <c r="E112" s="595">
        <v>1</v>
      </c>
      <c r="F112" s="595">
        <v>1</v>
      </c>
      <c r="G112" s="595">
        <v>1</v>
      </c>
      <c r="H112" s="595">
        <v>1</v>
      </c>
      <c r="I112" s="595">
        <v>1</v>
      </c>
      <c r="J112" s="595">
        <v>1</v>
      </c>
      <c r="K112" s="595">
        <v>1</v>
      </c>
    </row>
    <row r="113" spans="1:11">
      <c r="A113" s="424" t="s">
        <v>3021</v>
      </c>
      <c r="B113" s="328" t="s">
        <v>2972</v>
      </c>
      <c r="C113" s="425"/>
      <c r="D113" s="595">
        <v>1</v>
      </c>
      <c r="E113" s="595">
        <v>1</v>
      </c>
      <c r="F113" s="595">
        <v>1</v>
      </c>
      <c r="G113" s="595">
        <v>1</v>
      </c>
      <c r="H113" s="595">
        <v>1</v>
      </c>
      <c r="I113" s="595">
        <v>1</v>
      </c>
      <c r="J113" s="595">
        <v>1</v>
      </c>
      <c r="K113" s="595">
        <v>1</v>
      </c>
    </row>
    <row r="114" spans="1:11" ht="14.65" customHeight="1">
      <c r="A114" s="783" t="s">
        <v>3022</v>
      </c>
      <c r="B114" s="727" t="s">
        <v>3023</v>
      </c>
      <c r="C114" s="605" t="s">
        <v>2741</v>
      </c>
      <c r="D114" s="371">
        <v>2.5</v>
      </c>
      <c r="E114" s="355" t="s">
        <v>2635</v>
      </c>
      <c r="F114" s="371">
        <v>0</v>
      </c>
      <c r="G114" s="371">
        <v>0</v>
      </c>
      <c r="H114" s="355" t="s">
        <v>2635</v>
      </c>
      <c r="I114" s="371">
        <v>0</v>
      </c>
      <c r="J114" s="355" t="s">
        <v>2635</v>
      </c>
      <c r="K114" s="355" t="s">
        <v>2635</v>
      </c>
    </row>
    <row r="115" spans="1:11" ht="14.65" customHeight="1">
      <c r="A115" s="786"/>
      <c r="B115" s="728"/>
      <c r="C115" s="605" t="s">
        <v>2744</v>
      </c>
      <c r="D115" s="371">
        <v>0.83</v>
      </c>
      <c r="E115" s="355" t="s">
        <v>2635</v>
      </c>
      <c r="F115" s="371">
        <v>0</v>
      </c>
      <c r="G115" s="371">
        <v>0</v>
      </c>
      <c r="H115" s="355" t="s">
        <v>2635</v>
      </c>
      <c r="I115" s="371">
        <v>0</v>
      </c>
      <c r="J115" s="355" t="s">
        <v>2635</v>
      </c>
      <c r="K115" s="355" t="s">
        <v>2635</v>
      </c>
    </row>
    <row r="116" spans="1:11" ht="14.65" customHeight="1">
      <c r="A116" s="787"/>
      <c r="B116" s="729"/>
      <c r="C116" s="605" t="s">
        <v>2745</v>
      </c>
      <c r="D116" s="371">
        <v>0.42</v>
      </c>
      <c r="E116" s="355" t="s">
        <v>2635</v>
      </c>
      <c r="F116" s="371">
        <v>0</v>
      </c>
      <c r="G116" s="371">
        <v>0</v>
      </c>
      <c r="H116" s="355" t="s">
        <v>2635</v>
      </c>
      <c r="I116" s="371">
        <v>0</v>
      </c>
      <c r="J116" s="355" t="s">
        <v>2635</v>
      </c>
      <c r="K116" s="355" t="s">
        <v>2635</v>
      </c>
    </row>
    <row r="117" spans="1:11" ht="14.65" customHeight="1">
      <c r="A117" s="783" t="s">
        <v>3024</v>
      </c>
      <c r="B117" s="727" t="s">
        <v>3023</v>
      </c>
      <c r="C117" s="605" t="s">
        <v>2741</v>
      </c>
      <c r="D117" s="371">
        <v>2.5</v>
      </c>
      <c r="E117" s="355" t="s">
        <v>2635</v>
      </c>
      <c r="F117" s="371">
        <v>0</v>
      </c>
      <c r="G117" s="371">
        <v>0</v>
      </c>
      <c r="H117" s="355" t="s">
        <v>2635</v>
      </c>
      <c r="I117" s="371">
        <v>0</v>
      </c>
      <c r="J117" s="355" t="s">
        <v>2635</v>
      </c>
      <c r="K117" s="355" t="s">
        <v>2635</v>
      </c>
    </row>
    <row r="118" spans="1:11" ht="14.65" customHeight="1">
      <c r="A118" s="784"/>
      <c r="B118" s="728"/>
      <c r="C118" s="605" t="s">
        <v>2744</v>
      </c>
      <c r="D118" s="371">
        <v>0.83</v>
      </c>
      <c r="E118" s="355" t="s">
        <v>2635</v>
      </c>
      <c r="F118" s="371">
        <v>0</v>
      </c>
      <c r="G118" s="371">
        <v>0</v>
      </c>
      <c r="H118" s="355" t="s">
        <v>2635</v>
      </c>
      <c r="I118" s="371">
        <v>0</v>
      </c>
      <c r="J118" s="355" t="s">
        <v>2635</v>
      </c>
      <c r="K118" s="355" t="s">
        <v>2635</v>
      </c>
    </row>
    <row r="119" spans="1:11" ht="14.65" customHeight="1">
      <c r="A119" s="785"/>
      <c r="B119" s="729"/>
      <c r="C119" s="605" t="s">
        <v>2745</v>
      </c>
      <c r="D119" s="371">
        <v>0.42</v>
      </c>
      <c r="E119" s="355" t="s">
        <v>2635</v>
      </c>
      <c r="F119" s="371">
        <v>0</v>
      </c>
      <c r="G119" s="371">
        <v>0</v>
      </c>
      <c r="H119" s="355" t="s">
        <v>2635</v>
      </c>
      <c r="I119" s="371">
        <v>0</v>
      </c>
      <c r="J119" s="355" t="s">
        <v>2635</v>
      </c>
      <c r="K119" s="355" t="s">
        <v>2635</v>
      </c>
    </row>
    <row r="120" spans="1:11" ht="14.65" customHeight="1">
      <c r="A120" s="604" t="s">
        <v>3025</v>
      </c>
      <c r="B120" s="605" t="s">
        <v>3023</v>
      </c>
      <c r="C120" s="605"/>
      <c r="D120" s="371">
        <v>0</v>
      </c>
      <c r="E120" s="355" t="s">
        <v>2635</v>
      </c>
      <c r="F120" s="371">
        <v>0</v>
      </c>
      <c r="G120" s="371">
        <v>0</v>
      </c>
      <c r="H120" s="355" t="s">
        <v>2635</v>
      </c>
      <c r="I120" s="371">
        <v>0</v>
      </c>
      <c r="J120" s="355" t="s">
        <v>2635</v>
      </c>
      <c r="K120" s="355" t="s">
        <v>2635</v>
      </c>
    </row>
    <row r="121" spans="1:11" ht="14.65" customHeight="1">
      <c r="A121" s="783" t="s">
        <v>3026</v>
      </c>
      <c r="B121" s="727" t="s">
        <v>3023</v>
      </c>
      <c r="C121" s="605" t="s">
        <v>2741</v>
      </c>
      <c r="D121" s="371">
        <v>0</v>
      </c>
      <c r="E121" s="355" t="s">
        <v>2635</v>
      </c>
      <c r="F121" s="371">
        <v>0</v>
      </c>
      <c r="G121" s="371">
        <v>0</v>
      </c>
      <c r="H121" s="355" t="s">
        <v>2635</v>
      </c>
      <c r="I121" s="371">
        <v>0</v>
      </c>
      <c r="J121" s="355" t="s">
        <v>2635</v>
      </c>
      <c r="K121" s="355" t="s">
        <v>2635</v>
      </c>
    </row>
    <row r="122" spans="1:11" ht="14.65" customHeight="1">
      <c r="A122" s="784"/>
      <c r="B122" s="728"/>
      <c r="C122" s="605" t="s">
        <v>2744</v>
      </c>
      <c r="D122" s="371">
        <v>0</v>
      </c>
      <c r="E122" s="355" t="s">
        <v>2635</v>
      </c>
      <c r="F122" s="371">
        <v>0</v>
      </c>
      <c r="G122" s="371">
        <v>0</v>
      </c>
      <c r="H122" s="355" t="s">
        <v>2635</v>
      </c>
      <c r="I122" s="371">
        <v>0</v>
      </c>
      <c r="J122" s="355" t="s">
        <v>2635</v>
      </c>
      <c r="K122" s="355" t="s">
        <v>2635</v>
      </c>
    </row>
    <row r="123" spans="1:11" ht="14.65" customHeight="1">
      <c r="A123" s="785"/>
      <c r="B123" s="729"/>
      <c r="C123" s="605" t="s">
        <v>2745</v>
      </c>
      <c r="D123" s="371">
        <v>0</v>
      </c>
      <c r="E123" s="355" t="s">
        <v>2635</v>
      </c>
      <c r="F123" s="371">
        <v>0</v>
      </c>
      <c r="G123" s="371">
        <v>0</v>
      </c>
      <c r="H123" s="355" t="s">
        <v>2635</v>
      </c>
      <c r="I123" s="371">
        <v>0</v>
      </c>
      <c r="J123" s="355" t="s">
        <v>2635</v>
      </c>
      <c r="K123" s="355" t="s">
        <v>2635</v>
      </c>
    </row>
    <row r="124" spans="1:11" ht="14.65" customHeight="1">
      <c r="A124" s="783" t="s">
        <v>3027</v>
      </c>
      <c r="B124" s="727" t="s">
        <v>3023</v>
      </c>
      <c r="C124" s="605" t="s">
        <v>2741</v>
      </c>
      <c r="D124" s="371">
        <v>0</v>
      </c>
      <c r="E124" s="355" t="s">
        <v>2635</v>
      </c>
      <c r="F124" s="371">
        <v>0.52</v>
      </c>
      <c r="G124" s="371">
        <v>0.52</v>
      </c>
      <c r="H124" s="355" t="s">
        <v>2635</v>
      </c>
      <c r="I124" s="371">
        <v>0.91</v>
      </c>
      <c r="J124" s="355" t="s">
        <v>2635</v>
      </c>
      <c r="K124" s="355" t="s">
        <v>2635</v>
      </c>
    </row>
    <row r="125" spans="1:11" ht="14.65" customHeight="1">
      <c r="A125" s="784"/>
      <c r="B125" s="728"/>
      <c r="C125" s="605" t="s">
        <v>2744</v>
      </c>
      <c r="D125" s="371">
        <v>0</v>
      </c>
      <c r="E125" s="355" t="s">
        <v>2635</v>
      </c>
      <c r="F125" s="371">
        <v>0.3</v>
      </c>
      <c r="G125" s="371">
        <v>0.3</v>
      </c>
      <c r="H125" s="355" t="s">
        <v>2635</v>
      </c>
      <c r="I125" s="371">
        <v>0.6</v>
      </c>
      <c r="J125" s="355" t="s">
        <v>2635</v>
      </c>
      <c r="K125" s="355" t="s">
        <v>2635</v>
      </c>
    </row>
    <row r="126" spans="1:11" ht="14.65" customHeight="1">
      <c r="A126" s="785"/>
      <c r="B126" s="729"/>
      <c r="C126" s="605" t="s">
        <v>2745</v>
      </c>
      <c r="D126" s="371">
        <v>0</v>
      </c>
      <c r="E126" s="355" t="s">
        <v>2635</v>
      </c>
      <c r="F126" s="371">
        <v>0.08</v>
      </c>
      <c r="G126" s="371">
        <v>0.08</v>
      </c>
      <c r="H126" s="355" t="s">
        <v>2635</v>
      </c>
      <c r="I126" s="371">
        <v>0.42</v>
      </c>
      <c r="J126" s="355" t="s">
        <v>2635</v>
      </c>
      <c r="K126" s="355" t="s">
        <v>2635</v>
      </c>
    </row>
    <row r="127" spans="1:11" ht="14.65" customHeight="1">
      <c r="A127" s="783" t="s">
        <v>3028</v>
      </c>
      <c r="B127" s="727" t="s">
        <v>3023</v>
      </c>
      <c r="C127" s="605" t="s">
        <v>2741</v>
      </c>
      <c r="D127" s="371">
        <v>0</v>
      </c>
      <c r="E127" s="355" t="s">
        <v>2635</v>
      </c>
      <c r="F127" s="371">
        <v>0.69</v>
      </c>
      <c r="G127" s="371">
        <v>0.69</v>
      </c>
      <c r="H127" s="355" t="s">
        <v>2635</v>
      </c>
      <c r="I127" s="371">
        <v>0.96</v>
      </c>
      <c r="J127" s="355" t="s">
        <v>2635</v>
      </c>
      <c r="K127" s="355" t="s">
        <v>2635</v>
      </c>
    </row>
    <row r="128" spans="1:11" ht="14.65" customHeight="1">
      <c r="A128" s="784"/>
      <c r="B128" s="728"/>
      <c r="C128" s="605" t="s">
        <v>2744</v>
      </c>
      <c r="D128" s="371">
        <v>0</v>
      </c>
      <c r="E128" s="355" t="s">
        <v>2635</v>
      </c>
      <c r="F128" s="371">
        <v>0.61</v>
      </c>
      <c r="G128" s="371">
        <v>0.61</v>
      </c>
      <c r="H128" s="355" t="s">
        <v>2635</v>
      </c>
      <c r="I128" s="371">
        <v>0.71</v>
      </c>
      <c r="J128" s="355" t="s">
        <v>2635</v>
      </c>
      <c r="K128" s="355" t="s">
        <v>2635</v>
      </c>
    </row>
    <row r="129" spans="1:11" ht="14.65" customHeight="1">
      <c r="A129" s="785"/>
      <c r="B129" s="729"/>
      <c r="C129" s="605" t="s">
        <v>2745</v>
      </c>
      <c r="D129" s="371">
        <v>0</v>
      </c>
      <c r="E129" s="355" t="s">
        <v>2635</v>
      </c>
      <c r="F129" s="371">
        <v>0.4</v>
      </c>
      <c r="G129" s="371">
        <v>0.4</v>
      </c>
      <c r="H129" s="355" t="s">
        <v>2635</v>
      </c>
      <c r="I129" s="371">
        <v>0.51</v>
      </c>
      <c r="J129" s="355" t="s">
        <v>2635</v>
      </c>
      <c r="K129" s="355" t="s">
        <v>2635</v>
      </c>
    </row>
    <row r="130" spans="1:11" ht="14.65" customHeight="1">
      <c r="A130" s="783" t="s">
        <v>3029</v>
      </c>
      <c r="B130" s="727" t="s">
        <v>3023</v>
      </c>
      <c r="C130" s="605" t="s">
        <v>2741</v>
      </c>
      <c r="D130" s="371">
        <v>0</v>
      </c>
      <c r="E130" s="355" t="s">
        <v>2635</v>
      </c>
      <c r="F130" s="371">
        <v>1.63</v>
      </c>
      <c r="G130" s="371">
        <v>1.63</v>
      </c>
      <c r="H130" s="355" t="s">
        <v>2635</v>
      </c>
      <c r="I130" s="371">
        <v>1.02</v>
      </c>
      <c r="J130" s="355" t="s">
        <v>2635</v>
      </c>
      <c r="K130" s="355" t="s">
        <v>2635</v>
      </c>
    </row>
    <row r="131" spans="1:11" ht="14.65" customHeight="1">
      <c r="A131" s="784"/>
      <c r="B131" s="728"/>
      <c r="C131" s="605" t="s">
        <v>2744</v>
      </c>
      <c r="D131" s="371">
        <v>0</v>
      </c>
      <c r="E131" s="355" t="s">
        <v>2635</v>
      </c>
      <c r="F131" s="371">
        <v>0.95</v>
      </c>
      <c r="G131" s="371">
        <v>0.95</v>
      </c>
      <c r="H131" s="355" t="s">
        <v>2635</v>
      </c>
      <c r="I131" s="371">
        <v>0.61</v>
      </c>
      <c r="J131" s="355" t="s">
        <v>2635</v>
      </c>
      <c r="K131" s="355" t="s">
        <v>2635</v>
      </c>
    </row>
    <row r="132" spans="1:11" ht="14.65" customHeight="1">
      <c r="A132" s="785"/>
      <c r="B132" s="729"/>
      <c r="C132" s="605" t="s">
        <v>2745</v>
      </c>
      <c r="D132" s="371">
        <v>0</v>
      </c>
      <c r="E132" s="355" t="s">
        <v>2635</v>
      </c>
      <c r="F132" s="371">
        <v>0.04</v>
      </c>
      <c r="G132" s="371">
        <v>0.04</v>
      </c>
      <c r="H132" s="355" t="s">
        <v>2635</v>
      </c>
      <c r="I132" s="371">
        <v>0.22</v>
      </c>
      <c r="J132" s="355" t="s">
        <v>2635</v>
      </c>
      <c r="K132" s="355" t="s">
        <v>2635</v>
      </c>
    </row>
    <row r="133" spans="1:11">
      <c r="B133" s="610"/>
      <c r="D133" s="570"/>
      <c r="E133" s="10"/>
      <c r="F133" s="570"/>
      <c r="G133" s="10"/>
      <c r="J133" s="610"/>
      <c r="K133" s="571"/>
    </row>
    <row r="135" spans="1:11">
      <c r="B135" s="610"/>
      <c r="D135" s="10"/>
      <c r="E135" s="570"/>
      <c r="F135" s="570"/>
      <c r="G135" s="570"/>
      <c r="J135" s="610"/>
      <c r="K135" s="571"/>
    </row>
  </sheetData>
  <sheetProtection sheet="1" objects="1" scenarios="1" formatCells="0" formatColumns="0" formatRows="0"/>
  <autoFilter ref="A18:L130" xr:uid="{69106680-0B38-4163-8870-02034BC131B3}"/>
  <sortState xmlns:xlrd2="http://schemas.microsoft.com/office/spreadsheetml/2017/richdata2" ref="X37:AD38">
    <sortCondition descending="1" ref="X35:X37"/>
  </sortState>
  <mergeCells count="198">
    <mergeCell ref="V41:V43"/>
    <mergeCell ref="Z41:Z43"/>
    <mergeCell ref="AB23:AB25"/>
    <mergeCell ref="S10:S12"/>
    <mergeCell ref="N19:N21"/>
    <mergeCell ref="Q19:Q21"/>
    <mergeCell ref="S19:S21"/>
    <mergeCell ref="T19:T21"/>
    <mergeCell ref="U19:U21"/>
    <mergeCell ref="N22:N24"/>
    <mergeCell ref="Q22:Q24"/>
    <mergeCell ref="S22:S24"/>
    <mergeCell ref="T22:T24"/>
    <mergeCell ref="U22:U24"/>
    <mergeCell ref="S13:S15"/>
    <mergeCell ref="T13:T15"/>
    <mergeCell ref="U13:U15"/>
    <mergeCell ref="AB38:AB40"/>
    <mergeCell ref="V38:V40"/>
    <mergeCell ref="AC38:AC40"/>
    <mergeCell ref="AD38:AD40"/>
    <mergeCell ref="AB41:AB43"/>
    <mergeCell ref="AC41:AC43"/>
    <mergeCell ref="AD41:AD43"/>
    <mergeCell ref="AC23:AC25"/>
    <mergeCell ref="AD23:AD25"/>
    <mergeCell ref="Z35:Z37"/>
    <mergeCell ref="AB35:AB37"/>
    <mergeCell ref="AC35:AC37"/>
    <mergeCell ref="AD26:AD28"/>
    <mergeCell ref="AC26:AC28"/>
    <mergeCell ref="AB29:AB31"/>
    <mergeCell ref="AC29:AC31"/>
    <mergeCell ref="AD29:AD31"/>
    <mergeCell ref="AB32:AB34"/>
    <mergeCell ref="AC32:AC34"/>
    <mergeCell ref="AD32:AD34"/>
    <mergeCell ref="AD35:AD37"/>
    <mergeCell ref="A6:B6"/>
    <mergeCell ref="H16:H17"/>
    <mergeCell ref="A9:B9"/>
    <mergeCell ref="A12:A14"/>
    <mergeCell ref="B12:B14"/>
    <mergeCell ref="J16:J17"/>
    <mergeCell ref="V26:V28"/>
    <mergeCell ref="Z26:Z28"/>
    <mergeCell ref="V7:V9"/>
    <mergeCell ref="U7:U9"/>
    <mergeCell ref="T7:T9"/>
    <mergeCell ref="S7:S9"/>
    <mergeCell ref="Q7:Q9"/>
    <mergeCell ref="N7:N9"/>
    <mergeCell ref="N10:N12"/>
    <mergeCell ref="Q10:Q12"/>
    <mergeCell ref="T10:T12"/>
    <mergeCell ref="U10:U12"/>
    <mergeCell ref="N13:N15"/>
    <mergeCell ref="Q13:Q15"/>
    <mergeCell ref="A16:C16"/>
    <mergeCell ref="A48:A50"/>
    <mergeCell ref="B48:B50"/>
    <mergeCell ref="AB47:AB49"/>
    <mergeCell ref="AC47:AC49"/>
    <mergeCell ref="A17:C17"/>
    <mergeCell ref="A20:A22"/>
    <mergeCell ref="B20:B22"/>
    <mergeCell ref="B38:B40"/>
    <mergeCell ref="A38:A40"/>
    <mergeCell ref="V29:V31"/>
    <mergeCell ref="Z29:Z31"/>
    <mergeCell ref="Z32:Z34"/>
    <mergeCell ref="V35:V37"/>
    <mergeCell ref="Y35:Y37"/>
    <mergeCell ref="V32:V34"/>
    <mergeCell ref="V23:V25"/>
    <mergeCell ref="N16:N18"/>
    <mergeCell ref="Q16:Q18"/>
    <mergeCell ref="S16:S18"/>
    <mergeCell ref="T16:T18"/>
    <mergeCell ref="U16:U18"/>
    <mergeCell ref="Z50:Z52"/>
    <mergeCell ref="AB26:AB28"/>
    <mergeCell ref="Z38:Z40"/>
    <mergeCell ref="A130:A132"/>
    <mergeCell ref="B117:B119"/>
    <mergeCell ref="B121:B123"/>
    <mergeCell ref="B124:B126"/>
    <mergeCell ref="B127:B129"/>
    <mergeCell ref="B130:B132"/>
    <mergeCell ref="A114:A116"/>
    <mergeCell ref="B114:B116"/>
    <mergeCell ref="A117:A119"/>
    <mergeCell ref="A121:A123"/>
    <mergeCell ref="A124:A126"/>
    <mergeCell ref="A127:A129"/>
    <mergeCell ref="V59:V61"/>
    <mergeCell ref="V62:V64"/>
    <mergeCell ref="V65:V67"/>
    <mergeCell ref="Z65:Z67"/>
    <mergeCell ref="V44:V46"/>
    <mergeCell ref="V47:V49"/>
    <mergeCell ref="V50:V52"/>
    <mergeCell ref="V53:V55"/>
    <mergeCell ref="V56:V58"/>
    <mergeCell ref="Z44:Z46"/>
    <mergeCell ref="Z47:Z49"/>
    <mergeCell ref="Z53:Z55"/>
    <mergeCell ref="Z56:Z58"/>
    <mergeCell ref="Z59:Z61"/>
    <mergeCell ref="Z62:Z64"/>
    <mergeCell ref="AP29:AP31"/>
    <mergeCell ref="AQ29:AQ31"/>
    <mergeCell ref="AR29:AR31"/>
    <mergeCell ref="AJ26:AJ28"/>
    <mergeCell ref="AN26:AN28"/>
    <mergeCell ref="AP26:AP28"/>
    <mergeCell ref="AQ26:AQ28"/>
    <mergeCell ref="AR26:AR28"/>
    <mergeCell ref="AJ23:AJ25"/>
    <mergeCell ref="AN23:AN25"/>
    <mergeCell ref="AP23:AP25"/>
    <mergeCell ref="AQ23:AQ25"/>
    <mergeCell ref="AR23:AR25"/>
    <mergeCell ref="AO26:AO28"/>
    <mergeCell ref="AJ29:AJ31"/>
    <mergeCell ref="AN29:AN31"/>
    <mergeCell ref="AP35:AP37"/>
    <mergeCell ref="AQ35:AQ37"/>
    <mergeCell ref="AR35:AR37"/>
    <mergeCell ref="AQ32:AQ34"/>
    <mergeCell ref="AR32:AR34"/>
    <mergeCell ref="AJ32:AJ34"/>
    <mergeCell ref="AM32:AM34"/>
    <mergeCell ref="AN32:AN34"/>
    <mergeCell ref="AP32:AP34"/>
    <mergeCell ref="AL32:AL34"/>
    <mergeCell ref="AJ35:AJ37"/>
    <mergeCell ref="AN35:AN37"/>
    <mergeCell ref="AP41:AP43"/>
    <mergeCell ref="AQ41:AQ43"/>
    <mergeCell ref="AR41:AR43"/>
    <mergeCell ref="AJ50:AJ52"/>
    <mergeCell ref="AN50:AN52"/>
    <mergeCell ref="AP50:AP52"/>
    <mergeCell ref="AQ50:AQ52"/>
    <mergeCell ref="AR50:AR52"/>
    <mergeCell ref="AJ38:AJ40"/>
    <mergeCell ref="AN38:AN40"/>
    <mergeCell ref="AP38:AP40"/>
    <mergeCell ref="AQ38:AQ40"/>
    <mergeCell ref="AR38:AR40"/>
    <mergeCell ref="AL38:AL40"/>
    <mergeCell ref="AM38:AM40"/>
    <mergeCell ref="AO41:AO43"/>
    <mergeCell ref="AJ41:AJ43"/>
    <mergeCell ref="AN41:AN43"/>
    <mergeCell ref="AP65:AP67"/>
    <mergeCell ref="AQ65:AQ67"/>
    <mergeCell ref="AR65:AR67"/>
    <mergeCell ref="AJ47:AJ49"/>
    <mergeCell ref="AN47:AN49"/>
    <mergeCell ref="AP47:AP49"/>
    <mergeCell ref="AQ47:AQ49"/>
    <mergeCell ref="AR47:AR49"/>
    <mergeCell ref="AJ44:AJ46"/>
    <mergeCell ref="AN44:AN46"/>
    <mergeCell ref="AP44:AP46"/>
    <mergeCell ref="AQ44:AQ46"/>
    <mergeCell ref="AR44:AR46"/>
    <mergeCell ref="AJ56:AJ58"/>
    <mergeCell ref="AN56:AN58"/>
    <mergeCell ref="AP56:AP58"/>
    <mergeCell ref="AQ56:AQ58"/>
    <mergeCell ref="AR56:AR58"/>
    <mergeCell ref="AJ65:AJ67"/>
    <mergeCell ref="AN65:AN67"/>
    <mergeCell ref="AD44:AD46"/>
    <mergeCell ref="AB62:AB64"/>
    <mergeCell ref="AC62:AC64"/>
    <mergeCell ref="AD62:AD64"/>
    <mergeCell ref="AB65:AB67"/>
    <mergeCell ref="AC65:AC67"/>
    <mergeCell ref="AD65:AD67"/>
    <mergeCell ref="AB56:AB58"/>
    <mergeCell ref="AC56:AC58"/>
    <mergeCell ref="AD56:AD58"/>
    <mergeCell ref="AD47:AD49"/>
    <mergeCell ref="AB59:AB61"/>
    <mergeCell ref="AC59:AC61"/>
    <mergeCell ref="AD59:AD61"/>
    <mergeCell ref="AB50:AB52"/>
    <mergeCell ref="AC50:AC52"/>
    <mergeCell ref="AD50:AD52"/>
    <mergeCell ref="AB53:AB55"/>
    <mergeCell ref="AC53:AC55"/>
    <mergeCell ref="AD53:AD55"/>
    <mergeCell ref="AB44:AB46"/>
    <mergeCell ref="AC44:AC4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73C0-2E01-4CB1-8FE4-478A62E6F666}">
  <sheetPr codeName="Sheet15"/>
  <dimension ref="A1:BO81"/>
  <sheetViews>
    <sheetView tabSelected="1" zoomScale="105" zoomScaleNormal="72" workbookViewId="0">
      <pane xSplit="3" topLeftCell="F1" activePane="topRight" state="frozen"/>
      <selection pane="topRight" activeCell="G10" sqref="G10"/>
      <selection activeCell="O16" sqref="N16:P17"/>
    </sheetView>
  </sheetViews>
  <sheetFormatPr defaultColWidth="8.7109375" defaultRowHeight="15"/>
  <cols>
    <col min="1" max="1" width="22.42578125" style="10" customWidth="1"/>
    <col min="2" max="2" width="9.28515625" style="10" bestFit="1" customWidth="1"/>
    <col min="3" max="3" width="17.7109375" style="10" customWidth="1"/>
    <col min="4" max="4" width="9.28515625" style="10" bestFit="1" customWidth="1"/>
    <col min="5" max="5" width="11" style="10" customWidth="1"/>
    <col min="6" max="6" width="10.7109375" style="10" customWidth="1"/>
    <col min="7" max="7" width="9.28515625" style="12" bestFit="1" customWidth="1"/>
    <col min="8" max="8" width="10" style="12" customWidth="1"/>
    <col min="9" max="9" width="10.28515625" style="12" customWidth="1"/>
    <col min="10" max="10" width="14.5703125" style="12" customWidth="1"/>
    <col min="11" max="11" width="11.7109375" style="12" customWidth="1"/>
    <col min="12" max="12" width="33" style="12" customWidth="1"/>
    <col min="13" max="14" width="9.28515625" style="10" customWidth="1"/>
    <col min="15" max="15" width="10.5703125" style="10" customWidth="1"/>
    <col min="16" max="16" width="9.5703125" style="10" customWidth="1"/>
    <col min="17" max="17" width="10.5703125" style="10" customWidth="1"/>
    <col min="18" max="18" width="9.42578125" style="10" customWidth="1"/>
    <col min="19" max="19" width="9.5703125" style="10" customWidth="1"/>
    <col min="20" max="22" width="9.28515625" style="10" customWidth="1"/>
    <col min="23" max="25" width="8.7109375" style="10" customWidth="1"/>
    <col min="26" max="26" width="9.7109375" style="10" customWidth="1"/>
    <col min="27" max="43" width="9.28515625" style="10" customWidth="1"/>
    <col min="44" max="44" width="10.7109375" style="10" customWidth="1"/>
    <col min="45" max="45" width="11" style="10" customWidth="1"/>
    <col min="46" max="49" width="9.28515625" style="10" customWidth="1"/>
    <col min="50" max="50" width="11.28515625" style="10" customWidth="1"/>
    <col min="51" max="53" width="9.28515625" style="10" customWidth="1"/>
    <col min="54" max="56" width="10.42578125" style="10" bestFit="1" customWidth="1"/>
    <col min="57" max="60" width="9.42578125" style="10" bestFit="1" customWidth="1"/>
    <col min="61" max="63" width="10.42578125" style="10" bestFit="1" customWidth="1"/>
    <col min="64" max="67" width="9.42578125" style="10" bestFit="1" customWidth="1"/>
    <col min="68" max="16384" width="8.7109375" style="10"/>
  </cols>
  <sheetData>
    <row r="1" spans="1:67" s="310" customFormat="1" ht="19.5" thickBot="1">
      <c r="A1" s="458" t="s">
        <v>3091</v>
      </c>
      <c r="B1" s="610"/>
      <c r="C1" s="570"/>
      <c r="D1" s="459"/>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f t="shared" ref="AH1:AN1" si="0">AI1-1</f>
        <v>35</v>
      </c>
      <c r="AI1" s="610">
        <f t="shared" si="0"/>
        <v>36</v>
      </c>
      <c r="AJ1" s="610">
        <f t="shared" si="0"/>
        <v>37</v>
      </c>
      <c r="AK1" s="610">
        <f t="shared" si="0"/>
        <v>38</v>
      </c>
      <c r="AL1" s="610">
        <f t="shared" si="0"/>
        <v>39</v>
      </c>
      <c r="AM1" s="610">
        <f t="shared" si="0"/>
        <v>40</v>
      </c>
      <c r="AN1" s="610">
        <f t="shared" si="0"/>
        <v>41</v>
      </c>
      <c r="AO1" s="610">
        <v>42</v>
      </c>
      <c r="AP1" s="610">
        <v>43</v>
      </c>
      <c r="AQ1" s="610">
        <v>44</v>
      </c>
      <c r="AR1" s="610">
        <f>AQ1+1</f>
        <v>45</v>
      </c>
      <c r="AS1" s="610">
        <f>AR1+1</f>
        <v>46</v>
      </c>
      <c r="AT1" s="610">
        <f>AS1+1</f>
        <v>47</v>
      </c>
      <c r="AU1" s="610">
        <f>AT1+1</f>
        <v>48</v>
      </c>
      <c r="AV1" s="460"/>
      <c r="AW1" s="460"/>
      <c r="AX1" s="461"/>
      <c r="AY1" s="610"/>
      <c r="AZ1" s="610"/>
      <c r="BA1" s="610"/>
      <c r="BB1" s="832" t="s">
        <v>3092</v>
      </c>
      <c r="BC1" s="832"/>
      <c r="BD1" s="832"/>
      <c r="BE1" s="832"/>
      <c r="BF1" s="832"/>
      <c r="BG1" s="832"/>
      <c r="BH1" s="832"/>
      <c r="BI1" s="832"/>
      <c r="BJ1" s="832"/>
      <c r="BK1" s="832"/>
      <c r="BL1" s="832"/>
      <c r="BM1" s="832"/>
      <c r="BN1" s="832"/>
      <c r="BO1" s="832"/>
    </row>
    <row r="2" spans="1:67" s="310" customFormat="1" ht="48" customHeight="1" thickBot="1">
      <c r="A2" s="813" t="s">
        <v>3093</v>
      </c>
      <c r="B2" s="827" t="s">
        <v>2780</v>
      </c>
      <c r="C2" s="816" t="s">
        <v>3094</v>
      </c>
      <c r="D2" s="815" t="s">
        <v>3095</v>
      </c>
      <c r="E2" s="824"/>
      <c r="F2" s="825"/>
      <c r="G2" s="823" t="s">
        <v>3096</v>
      </c>
      <c r="H2" s="824"/>
      <c r="I2" s="824"/>
      <c r="J2" s="824"/>
      <c r="K2" s="824"/>
      <c r="L2" s="825"/>
      <c r="M2" s="815" t="s">
        <v>3097</v>
      </c>
      <c r="N2" s="816"/>
      <c r="O2" s="816"/>
      <c r="P2" s="816"/>
      <c r="Q2" s="816"/>
      <c r="R2" s="816"/>
      <c r="S2" s="826"/>
      <c r="T2" s="815" t="s">
        <v>3098</v>
      </c>
      <c r="U2" s="816"/>
      <c r="V2" s="816"/>
      <c r="W2" s="816"/>
      <c r="X2" s="816"/>
      <c r="Y2" s="816"/>
      <c r="Z2" s="816"/>
      <c r="AA2" s="815" t="s">
        <v>3099</v>
      </c>
      <c r="AB2" s="816"/>
      <c r="AC2" s="816"/>
      <c r="AD2" s="816"/>
      <c r="AE2" s="816"/>
      <c r="AF2" s="816"/>
      <c r="AG2" s="816"/>
      <c r="AH2" s="817" t="s">
        <v>3100</v>
      </c>
      <c r="AI2" s="818"/>
      <c r="AJ2" s="818"/>
      <c r="AK2" s="818"/>
      <c r="AL2" s="818"/>
      <c r="AM2" s="818"/>
      <c r="AN2" s="819"/>
      <c r="AO2" s="818" t="s">
        <v>3101</v>
      </c>
      <c r="AP2" s="818"/>
      <c r="AQ2" s="818"/>
      <c r="AR2" s="818"/>
      <c r="AS2" s="818"/>
      <c r="AT2" s="818"/>
      <c r="AU2" s="819"/>
      <c r="AV2" s="815" t="s">
        <v>3102</v>
      </c>
      <c r="AW2" s="816"/>
      <c r="AX2" s="816"/>
      <c r="AY2" s="815" t="s">
        <v>3103</v>
      </c>
      <c r="AZ2" s="816"/>
      <c r="BA2" s="833"/>
      <c r="BB2" s="829" t="s">
        <v>3104</v>
      </c>
      <c r="BC2" s="830"/>
      <c r="BD2" s="830"/>
      <c r="BE2" s="830"/>
      <c r="BF2" s="830"/>
      <c r="BG2" s="830"/>
      <c r="BH2" s="831"/>
      <c r="BI2" s="829" t="s">
        <v>3105</v>
      </c>
      <c r="BJ2" s="830"/>
      <c r="BK2" s="830"/>
      <c r="BL2" s="830"/>
      <c r="BM2" s="830"/>
      <c r="BN2" s="830"/>
      <c r="BO2" s="831"/>
    </row>
    <row r="3" spans="1:67" s="310" customFormat="1" ht="53.65" customHeight="1" thickBot="1">
      <c r="A3" s="814"/>
      <c r="B3" s="828"/>
      <c r="C3" s="708"/>
      <c r="D3" s="462" t="s">
        <v>3106</v>
      </c>
      <c r="E3" s="583" t="s">
        <v>3107</v>
      </c>
      <c r="F3" s="463" t="s">
        <v>3108</v>
      </c>
      <c r="G3" s="464" t="s">
        <v>3109</v>
      </c>
      <c r="H3" s="611" t="s">
        <v>3110</v>
      </c>
      <c r="I3" s="611" t="s">
        <v>3111</v>
      </c>
      <c r="J3" s="583" t="s">
        <v>3112</v>
      </c>
      <c r="K3" s="583" t="s">
        <v>3113</v>
      </c>
      <c r="L3" s="463" t="s">
        <v>3114</v>
      </c>
      <c r="M3" s="465" t="s">
        <v>3115</v>
      </c>
      <c r="N3" s="466" t="s">
        <v>3116</v>
      </c>
      <c r="O3" s="466" t="s">
        <v>3117</v>
      </c>
      <c r="P3" s="466" t="s">
        <v>3118</v>
      </c>
      <c r="Q3" s="466" t="s">
        <v>3119</v>
      </c>
      <c r="R3" s="466" t="s">
        <v>3120</v>
      </c>
      <c r="S3" s="467" t="s">
        <v>3121</v>
      </c>
      <c r="T3" s="465" t="s">
        <v>3115</v>
      </c>
      <c r="U3" s="466" t="s">
        <v>3116</v>
      </c>
      <c r="V3" s="466" t="s">
        <v>3117</v>
      </c>
      <c r="W3" s="466" t="s">
        <v>3118</v>
      </c>
      <c r="X3" s="466" t="s">
        <v>3119</v>
      </c>
      <c r="Y3" s="466" t="s">
        <v>3120</v>
      </c>
      <c r="Z3" s="466" t="s">
        <v>3121</v>
      </c>
      <c r="AA3" s="465" t="s">
        <v>3115</v>
      </c>
      <c r="AB3" s="466" t="s">
        <v>3116</v>
      </c>
      <c r="AC3" s="466" t="s">
        <v>3117</v>
      </c>
      <c r="AD3" s="466" t="s">
        <v>3118</v>
      </c>
      <c r="AE3" s="466" t="s">
        <v>3119</v>
      </c>
      <c r="AF3" s="466" t="s">
        <v>3120</v>
      </c>
      <c r="AG3" s="466" t="s">
        <v>3121</v>
      </c>
      <c r="AH3" s="462" t="s">
        <v>3115</v>
      </c>
      <c r="AI3" s="583" t="s">
        <v>3116</v>
      </c>
      <c r="AJ3" s="583" t="s">
        <v>3117</v>
      </c>
      <c r="AK3" s="583" t="s">
        <v>3118</v>
      </c>
      <c r="AL3" s="583" t="s">
        <v>3119</v>
      </c>
      <c r="AM3" s="583" t="s">
        <v>3120</v>
      </c>
      <c r="AN3" s="463" t="s">
        <v>3121</v>
      </c>
      <c r="AO3" s="583" t="s">
        <v>3115</v>
      </c>
      <c r="AP3" s="583" t="s">
        <v>3116</v>
      </c>
      <c r="AQ3" s="583" t="s">
        <v>3117</v>
      </c>
      <c r="AR3" s="583" t="s">
        <v>3118</v>
      </c>
      <c r="AS3" s="583" t="s">
        <v>3119</v>
      </c>
      <c r="AT3" s="583" t="s">
        <v>3120</v>
      </c>
      <c r="AU3" s="583" t="s">
        <v>3121</v>
      </c>
      <c r="AV3" s="465" t="s">
        <v>3122</v>
      </c>
      <c r="AW3" s="466" t="s">
        <v>3123</v>
      </c>
      <c r="AX3" s="468" t="s">
        <v>3124</v>
      </c>
      <c r="AY3" s="465" t="s">
        <v>3122</v>
      </c>
      <c r="AZ3" s="466" t="s">
        <v>3123</v>
      </c>
      <c r="BA3" s="469" t="s">
        <v>3124</v>
      </c>
      <c r="BB3" s="462" t="s">
        <v>3122</v>
      </c>
      <c r="BC3" s="583" t="s">
        <v>3125</v>
      </c>
      <c r="BD3" s="583" t="s">
        <v>3126</v>
      </c>
      <c r="BE3" s="583" t="s">
        <v>3127</v>
      </c>
      <c r="BF3" s="583" t="s">
        <v>3128</v>
      </c>
      <c r="BG3" s="583" t="s">
        <v>3129</v>
      </c>
      <c r="BH3" s="463" t="s">
        <v>3130</v>
      </c>
      <c r="BI3" s="462" t="s">
        <v>3122</v>
      </c>
      <c r="BJ3" s="470" t="s">
        <v>3125</v>
      </c>
      <c r="BK3" s="470" t="s">
        <v>3126</v>
      </c>
      <c r="BL3" s="470" t="s">
        <v>3127</v>
      </c>
      <c r="BM3" s="470" t="s">
        <v>3128</v>
      </c>
      <c r="BN3" s="470" t="s">
        <v>3129</v>
      </c>
      <c r="BO3" s="463" t="s">
        <v>3130</v>
      </c>
    </row>
    <row r="4" spans="1:67" s="310" customFormat="1" ht="14.65" customHeight="1">
      <c r="A4" s="808" t="str">
        <f>'Compiled Articles'!D6</f>
        <v>Adult Toys</v>
      </c>
      <c r="B4" s="400" t="s">
        <v>2741</v>
      </c>
      <c r="C4" s="808" t="str">
        <f>A4</f>
        <v>Adult Toys</v>
      </c>
      <c r="D4" s="462">
        <v>1</v>
      </c>
      <c r="E4" s="583">
        <v>1</v>
      </c>
      <c r="F4" s="583">
        <v>0</v>
      </c>
      <c r="G4" s="573">
        <f>'Compiled Articles'!D12</f>
        <v>60</v>
      </c>
      <c r="H4" s="573">
        <f>'Compiled Articles'!$D$11</f>
        <v>365</v>
      </c>
      <c r="I4" s="573">
        <v>1</v>
      </c>
      <c r="J4" s="471">
        <f t="shared" ref="J4:J30" si="1">$E$73</f>
        <v>1.1129999999999999E-4</v>
      </c>
      <c r="K4" s="471">
        <f t="shared" ref="K4:K30" si="2">J4*G4/60</f>
        <v>1.1129999999999999E-4</v>
      </c>
      <c r="L4" s="472" t="s">
        <v>3131</v>
      </c>
      <c r="M4" s="473">
        <f>(INDEX('Dermal Calcs'!$B$64:$H$70, MATCH($L4,'Dermal Calcs'!$A$64:$A$70, 0), MATCH(M$3, 'Dermal Calcs'!$B$63:$H$63, 0)))*$K4*$D4</f>
        <v>6.8938061041292655E-4</v>
      </c>
      <c r="N4" s="474">
        <f>(INDEX('Dermal Calcs'!$B$64:$H$70, MATCH($L4,'Dermal Calcs'!$A$64:$A$70, 0), MATCH(N$3, 'Dermal Calcs'!$B$63:$H$63, 0)))*$K4*$E4</f>
        <v>6.4510474860335202E-4</v>
      </c>
      <c r="O4" s="475">
        <v>0</v>
      </c>
      <c r="P4" s="476">
        <f>(INDEX('Dermal Calcs'!$B$64:$H$70, MATCH($L4,'Dermal Calcs'!$A$64:$A$70, 0), MATCH(P$3, 'Dermal Calcs'!$B$63:$H$63, 0)))*$K4*$F4</f>
        <v>0</v>
      </c>
      <c r="Q4" s="476">
        <f>(INDEX('Dermal Calcs'!$B$64:$H$70, MATCH($L4,'Dermal Calcs'!$A$64:$A$70, 0), MATCH(Q$3, 'Dermal Calcs'!$B$63:$H$63, 0)))*$K4*$F4</f>
        <v>0</v>
      </c>
      <c r="R4" s="476">
        <f>(INDEX('Dermal Calcs'!$B$64:$H$70, MATCH($L4,'Dermal Calcs'!$A$64:$A$70, 0), MATCH(R$3, 'Dermal Calcs'!$B$63:$H$63, 0)))*$K4*$F4</f>
        <v>0</v>
      </c>
      <c r="S4" s="477">
        <f>(INDEX('Dermal Calcs'!$B$64:$H$70, MATCH($L4,'Dermal Calcs'!$A$64:$A$70, 0), MATCH(S$3, 'Dermal Calcs'!$B$63:$H$63, 0)))*$K4*$F4</f>
        <v>0</v>
      </c>
      <c r="T4" s="473">
        <f t="shared" ref="T4:T30" si="3">M4*$H4</f>
        <v>0.25162392280071821</v>
      </c>
      <c r="U4" s="474">
        <f t="shared" ref="U4:U30" si="4">N4*$H4</f>
        <v>0.23546323324022347</v>
      </c>
      <c r="V4" s="474">
        <f t="shared" ref="V4:V30" si="5">O4*$H4</f>
        <v>0</v>
      </c>
      <c r="W4" s="478">
        <f t="shared" ref="W4:W30" si="6">P4*$H4</f>
        <v>0</v>
      </c>
      <c r="X4" s="478">
        <f t="shared" ref="X4:X30" si="7">Q4*$H4</f>
        <v>0</v>
      </c>
      <c r="Y4" s="478">
        <f t="shared" ref="Y4:Y30" si="8">R4*$H4</f>
        <v>0</v>
      </c>
      <c r="Z4" s="478">
        <f t="shared" ref="Z4:Z30" si="9">S4*$H4</f>
        <v>0</v>
      </c>
      <c r="AA4" s="473">
        <f t="shared" ref="AA4:AA30" si="10">M4*$I4</f>
        <v>6.8938061041292655E-4</v>
      </c>
      <c r="AB4" s="474">
        <f t="shared" ref="AB4:AB30" si="11">N4*$I4</f>
        <v>6.4510474860335202E-4</v>
      </c>
      <c r="AC4" s="474">
        <f t="shared" ref="AC4:AC30" si="12">O4*$I4</f>
        <v>0</v>
      </c>
      <c r="AD4" s="478">
        <f t="shared" ref="AD4:AD30" si="13">P4*$I4</f>
        <v>0</v>
      </c>
      <c r="AE4" s="478">
        <f t="shared" ref="AE4:AE30" si="14">Q4*$I4</f>
        <v>0</v>
      </c>
      <c r="AF4" s="478">
        <f t="shared" ref="AF4:AF30" si="15">R4*$I4</f>
        <v>0</v>
      </c>
      <c r="AG4" s="478">
        <f t="shared" ref="AG4:AG30" si="16">S4*$I4</f>
        <v>0</v>
      </c>
      <c r="AH4" s="479">
        <f t="shared" ref="AH4:AH21" si="17">(T4*1000)/365</f>
        <v>0.68938061041292664</v>
      </c>
      <c r="AI4" s="480">
        <f t="shared" ref="AI4:AI21" si="18">(U4*1000)/365</f>
        <v>0.64510474860335199</v>
      </c>
      <c r="AJ4" s="480">
        <f t="shared" ref="AJ4:AJ21" si="19">(V4*1000)/365</f>
        <v>0</v>
      </c>
      <c r="AK4" s="480">
        <f t="shared" ref="AK4:AK21" si="20">(W4*1000)/365</f>
        <v>0</v>
      </c>
      <c r="AL4" s="480">
        <f t="shared" ref="AL4:AL21" si="21">(X4*1000)/365</f>
        <v>0</v>
      </c>
      <c r="AM4" s="480">
        <f t="shared" ref="AM4:AM21" si="22">(Y4*1000)/365</f>
        <v>0</v>
      </c>
      <c r="AN4" s="481">
        <f t="shared" ref="AN4:AN21" si="23">(Z4*1000)/365</f>
        <v>0</v>
      </c>
      <c r="AO4" s="480">
        <f t="shared" ref="AO4:AO21" si="24">AA4*1000</f>
        <v>0.68938061041292653</v>
      </c>
      <c r="AP4" s="480">
        <f t="shared" ref="AP4:AP21" si="25">AB4*1000</f>
        <v>0.64510474860335199</v>
      </c>
      <c r="AQ4" s="480">
        <f t="shared" ref="AQ4:AQ21" si="26">AC4*1000</f>
        <v>0</v>
      </c>
      <c r="AR4" s="480">
        <f t="shared" ref="AR4:AR21" si="27">AD4*1000</f>
        <v>0</v>
      </c>
      <c r="AS4" s="480">
        <f t="shared" ref="AS4:AS21" si="28">AE4*1000</f>
        <v>0</v>
      </c>
      <c r="AT4" s="480">
        <f t="shared" ref="AT4:AT21" si="29">AF4*1000</f>
        <v>0</v>
      </c>
      <c r="AU4" s="481">
        <f t="shared" ref="AU4:AU21" si="30">AG4*1000</f>
        <v>0</v>
      </c>
      <c r="AV4" s="473">
        <f t="shared" ref="AV4:AV21" si="31">(T4*1000)/365</f>
        <v>0.68938061041292664</v>
      </c>
      <c r="AW4" s="474">
        <f t="shared" ref="AW4:AW21" si="32">(AVERAGE(U4:V4)*1000)/365</f>
        <v>0.32255237430167599</v>
      </c>
      <c r="AX4" s="478">
        <f t="shared" ref="AX4:AX21" si="33">(AVERAGE(W4:Z4)*1000)/365</f>
        <v>0</v>
      </c>
      <c r="AY4" s="473">
        <f t="shared" ref="AY4:AY21" si="34">AA4*1000</f>
        <v>0.68938061041292653</v>
      </c>
      <c r="AZ4" s="474">
        <f t="shared" ref="AZ4:AZ21" si="35">AVERAGE(AB4:AC4)*1000</f>
        <v>0.32255237430167599</v>
      </c>
      <c r="BA4" s="478">
        <f t="shared" ref="BA4:BA21" si="36">AVERAGE(AD4:AG4)*1000</f>
        <v>0</v>
      </c>
      <c r="BB4" s="559">
        <f>12000/AH4</f>
        <v>17406.929958201486</v>
      </c>
      <c r="BC4" s="560">
        <f t="shared" ref="BC4:BH19" si="37">12000/AI4</f>
        <v>18601.630240639104</v>
      </c>
      <c r="BD4" s="553" t="s">
        <v>56</v>
      </c>
      <c r="BE4" s="553" t="s">
        <v>56</v>
      </c>
      <c r="BF4" s="553" t="s">
        <v>56</v>
      </c>
      <c r="BG4" s="553" t="s">
        <v>56</v>
      </c>
      <c r="BH4" s="554" t="s">
        <v>56</v>
      </c>
      <c r="BI4" s="484">
        <f t="shared" ref="BI4" si="38">12000/AO4</f>
        <v>17406.92995820149</v>
      </c>
      <c r="BJ4" s="485">
        <f t="shared" ref="BJ4" si="39">12000/AP4</f>
        <v>18601.630240639104</v>
      </c>
      <c r="BK4" s="553" t="s">
        <v>56</v>
      </c>
      <c r="BL4" s="553" t="s">
        <v>56</v>
      </c>
      <c r="BM4" s="553" t="s">
        <v>56</v>
      </c>
      <c r="BN4" s="553" t="s">
        <v>56</v>
      </c>
      <c r="BO4" s="554" t="s">
        <v>56</v>
      </c>
    </row>
    <row r="5" spans="1:67" s="310" customFormat="1" ht="14.65" customHeight="1">
      <c r="A5" s="809"/>
      <c r="B5" s="400" t="s">
        <v>2790</v>
      </c>
      <c r="C5" s="809"/>
      <c r="D5" s="462">
        <v>1</v>
      </c>
      <c r="E5" s="583">
        <v>1</v>
      </c>
      <c r="F5" s="583">
        <v>0</v>
      </c>
      <c r="G5" s="573">
        <f>'Compiled Articles'!D13</f>
        <v>30</v>
      </c>
      <c r="H5" s="573">
        <f>'Compiled Articles'!$D$11</f>
        <v>365</v>
      </c>
      <c r="I5" s="573">
        <v>1</v>
      </c>
      <c r="J5" s="471">
        <f t="shared" si="1"/>
        <v>1.1129999999999999E-4</v>
      </c>
      <c r="K5" s="471">
        <f t="shared" si="2"/>
        <v>5.5649999999999997E-5</v>
      </c>
      <c r="L5" s="472" t="s">
        <v>3131</v>
      </c>
      <c r="M5" s="473">
        <f>(INDEX('Dermal Calcs'!$B$64:$H$70, MATCH($L5,'Dermal Calcs'!$A$64:$A$70, 0), MATCH(M$3, 'Dermal Calcs'!$B$63:$H$63, 0)))*$K5*$D5</f>
        <v>3.4469030520646327E-4</v>
      </c>
      <c r="N5" s="474">
        <f>(INDEX('Dermal Calcs'!$B$64:$H$70, MATCH($L5,'Dermal Calcs'!$A$64:$A$70, 0), MATCH(N$3, 'Dermal Calcs'!$B$63:$H$63, 0)))*$K5*$E5</f>
        <v>3.2255237430167601E-4</v>
      </c>
      <c r="O5" s="475">
        <v>0</v>
      </c>
      <c r="P5" s="476">
        <f>(INDEX('Dermal Calcs'!$B$64:$H$70, MATCH($L5,'Dermal Calcs'!$A$64:$A$70, 0), MATCH(P$3, 'Dermal Calcs'!$B$63:$H$63, 0)))*$K5*$F5</f>
        <v>0</v>
      </c>
      <c r="Q5" s="476">
        <f>(INDEX('Dermal Calcs'!$B$64:$H$70, MATCH($L5,'Dermal Calcs'!$A$64:$A$70, 0), MATCH(Q$3, 'Dermal Calcs'!$B$63:$H$63, 0)))*$K5*$F5</f>
        <v>0</v>
      </c>
      <c r="R5" s="476">
        <f>(INDEX('Dermal Calcs'!$B$64:$H$70, MATCH($L5,'Dermal Calcs'!$A$64:$A$70, 0), MATCH(R$3, 'Dermal Calcs'!$B$63:$H$63, 0)))*$K5*$F5</f>
        <v>0</v>
      </c>
      <c r="S5" s="477">
        <f>(INDEX('Dermal Calcs'!$B$64:$H$70, MATCH($L5,'Dermal Calcs'!$A$64:$A$70, 0), MATCH(S$3, 'Dermal Calcs'!$B$63:$H$63, 0)))*$K5*$F5</f>
        <v>0</v>
      </c>
      <c r="T5" s="486">
        <f t="shared" si="3"/>
        <v>0.12581196140035911</v>
      </c>
      <c r="U5" s="487">
        <f t="shared" si="4"/>
        <v>0.11773161662011174</v>
      </c>
      <c r="V5" s="487">
        <f t="shared" si="5"/>
        <v>0</v>
      </c>
      <c r="W5" s="488">
        <f t="shared" si="6"/>
        <v>0</v>
      </c>
      <c r="X5" s="488">
        <f t="shared" si="7"/>
        <v>0</v>
      </c>
      <c r="Y5" s="488">
        <f t="shared" si="8"/>
        <v>0</v>
      </c>
      <c r="Z5" s="488">
        <f t="shared" si="9"/>
        <v>0</v>
      </c>
      <c r="AA5" s="486">
        <f t="shared" si="10"/>
        <v>3.4469030520646327E-4</v>
      </c>
      <c r="AB5" s="487">
        <f t="shared" si="11"/>
        <v>3.2255237430167601E-4</v>
      </c>
      <c r="AC5" s="487">
        <f t="shared" si="12"/>
        <v>0</v>
      </c>
      <c r="AD5" s="488">
        <f t="shared" si="13"/>
        <v>0</v>
      </c>
      <c r="AE5" s="488">
        <f t="shared" si="14"/>
        <v>0</v>
      </c>
      <c r="AF5" s="488">
        <f t="shared" si="15"/>
        <v>0</v>
      </c>
      <c r="AG5" s="488">
        <f t="shared" si="16"/>
        <v>0</v>
      </c>
      <c r="AH5" s="479">
        <f t="shared" si="17"/>
        <v>0.34469030520646332</v>
      </c>
      <c r="AI5" s="480">
        <f t="shared" si="18"/>
        <v>0.32255237430167599</v>
      </c>
      <c r="AJ5" s="480">
        <f t="shared" si="19"/>
        <v>0</v>
      </c>
      <c r="AK5" s="480">
        <f t="shared" si="20"/>
        <v>0</v>
      </c>
      <c r="AL5" s="480">
        <f t="shared" si="21"/>
        <v>0</v>
      </c>
      <c r="AM5" s="480">
        <f t="shared" si="22"/>
        <v>0</v>
      </c>
      <c r="AN5" s="481">
        <f t="shared" si="23"/>
        <v>0</v>
      </c>
      <c r="AO5" s="480">
        <f t="shared" si="24"/>
        <v>0.34469030520646327</v>
      </c>
      <c r="AP5" s="480">
        <f t="shared" si="25"/>
        <v>0.32255237430167599</v>
      </c>
      <c r="AQ5" s="480">
        <f t="shared" si="26"/>
        <v>0</v>
      </c>
      <c r="AR5" s="480">
        <f t="shared" si="27"/>
        <v>0</v>
      </c>
      <c r="AS5" s="480">
        <f t="shared" si="28"/>
        <v>0</v>
      </c>
      <c r="AT5" s="480">
        <f t="shared" si="29"/>
        <v>0</v>
      </c>
      <c r="AU5" s="481">
        <f t="shared" si="30"/>
        <v>0</v>
      </c>
      <c r="AV5" s="486">
        <f t="shared" si="31"/>
        <v>0.34469030520646332</v>
      </c>
      <c r="AW5" s="487">
        <f t="shared" si="32"/>
        <v>0.161276187150838</v>
      </c>
      <c r="AX5" s="488">
        <f t="shared" si="33"/>
        <v>0</v>
      </c>
      <c r="AY5" s="486">
        <f t="shared" si="34"/>
        <v>0.34469030520646327</v>
      </c>
      <c r="AZ5" s="487">
        <f t="shared" si="35"/>
        <v>0.161276187150838</v>
      </c>
      <c r="BA5" s="488">
        <f t="shared" si="36"/>
        <v>0</v>
      </c>
      <c r="BB5" s="561">
        <f t="shared" ref="BB5:BB57" si="40">12000/AH5</f>
        <v>34813.859916402973</v>
      </c>
      <c r="BC5" s="482">
        <f t="shared" si="37"/>
        <v>37203.260481278208</v>
      </c>
      <c r="BD5" s="483" t="s">
        <v>56</v>
      </c>
      <c r="BE5" s="483" t="s">
        <v>56</v>
      </c>
      <c r="BF5" s="483" t="s">
        <v>56</v>
      </c>
      <c r="BG5" s="483" t="s">
        <v>56</v>
      </c>
      <c r="BH5" s="555" t="s">
        <v>56</v>
      </c>
      <c r="BI5" s="489">
        <f t="shared" ref="BI5:BI57" si="41">12000/AO5</f>
        <v>34813.85991640298</v>
      </c>
      <c r="BJ5" s="490">
        <f t="shared" ref="BJ5:BJ57" si="42">12000/AP5</f>
        <v>37203.260481278208</v>
      </c>
      <c r="BK5" s="483" t="s">
        <v>56</v>
      </c>
      <c r="BL5" s="483" t="s">
        <v>56</v>
      </c>
      <c r="BM5" s="483" t="s">
        <v>56</v>
      </c>
      <c r="BN5" s="483" t="s">
        <v>56</v>
      </c>
      <c r="BO5" s="555" t="s">
        <v>56</v>
      </c>
    </row>
    <row r="6" spans="1:67" s="496" customFormat="1" ht="14.65" customHeight="1">
      <c r="A6" s="810"/>
      <c r="B6" s="492" t="s">
        <v>2745</v>
      </c>
      <c r="C6" s="810"/>
      <c r="D6" s="465">
        <v>1</v>
      </c>
      <c r="E6" s="466">
        <v>1</v>
      </c>
      <c r="F6" s="466">
        <v>0</v>
      </c>
      <c r="G6" s="573">
        <f>'Compiled Articles'!D14</f>
        <v>15</v>
      </c>
      <c r="H6" s="573">
        <f>'Compiled Articles'!$D$11</f>
        <v>365</v>
      </c>
      <c r="I6" s="573">
        <v>1</v>
      </c>
      <c r="J6" s="471">
        <f t="shared" si="1"/>
        <v>1.1129999999999999E-4</v>
      </c>
      <c r="K6" s="471">
        <f t="shared" si="2"/>
        <v>2.7824999999999999E-5</v>
      </c>
      <c r="L6" s="472" t="s">
        <v>3131</v>
      </c>
      <c r="M6" s="473">
        <f>(INDEX('Dermal Calcs'!$B$64:$H$70, MATCH($L6,'Dermal Calcs'!$A$64:$A$70, 0), MATCH(M$3, 'Dermal Calcs'!$B$63:$H$63, 0)))*$K6*$D6</f>
        <v>1.7234515260323164E-4</v>
      </c>
      <c r="N6" s="474">
        <f>(INDEX('Dermal Calcs'!$B$64:$H$70, MATCH($L6,'Dermal Calcs'!$A$64:$A$70, 0), MATCH(N$3, 'Dermal Calcs'!$B$63:$H$63, 0)))*$K6*$E6</f>
        <v>1.61276187150838E-4</v>
      </c>
      <c r="O6" s="475">
        <v>0</v>
      </c>
      <c r="P6" s="476">
        <f>(INDEX('Dermal Calcs'!$B$64:$H$70, MATCH($L6,'Dermal Calcs'!$A$64:$A$70, 0), MATCH(P$3, 'Dermal Calcs'!$B$63:$H$63, 0)))*$K6*$F6</f>
        <v>0</v>
      </c>
      <c r="Q6" s="476">
        <f>(INDEX('Dermal Calcs'!$B$64:$H$70, MATCH($L6,'Dermal Calcs'!$A$64:$A$70, 0), MATCH(Q$3, 'Dermal Calcs'!$B$63:$H$63, 0)))*$K6*$F6</f>
        <v>0</v>
      </c>
      <c r="R6" s="476">
        <f>(INDEX('Dermal Calcs'!$B$64:$H$70, MATCH($L6,'Dermal Calcs'!$A$64:$A$70, 0), MATCH(R$3, 'Dermal Calcs'!$B$63:$H$63, 0)))*$K6*$F6</f>
        <v>0</v>
      </c>
      <c r="S6" s="477">
        <f>(INDEX('Dermal Calcs'!$B$64:$H$70, MATCH($L6,'Dermal Calcs'!$A$64:$A$70, 0), MATCH(S$3, 'Dermal Calcs'!$B$63:$H$63, 0)))*$K6*$F6</f>
        <v>0</v>
      </c>
      <c r="T6" s="493">
        <f t="shared" si="3"/>
        <v>6.2905980700179553E-2</v>
      </c>
      <c r="U6" s="494">
        <f t="shared" si="4"/>
        <v>5.8865808310055869E-2</v>
      </c>
      <c r="V6" s="494">
        <f t="shared" si="5"/>
        <v>0</v>
      </c>
      <c r="W6" s="495">
        <f t="shared" si="6"/>
        <v>0</v>
      </c>
      <c r="X6" s="495">
        <f t="shared" si="7"/>
        <v>0</v>
      </c>
      <c r="Y6" s="495">
        <f t="shared" si="8"/>
        <v>0</v>
      </c>
      <c r="Z6" s="495">
        <f t="shared" si="9"/>
        <v>0</v>
      </c>
      <c r="AA6" s="493">
        <f t="shared" si="10"/>
        <v>1.7234515260323164E-4</v>
      </c>
      <c r="AB6" s="494">
        <f t="shared" si="11"/>
        <v>1.61276187150838E-4</v>
      </c>
      <c r="AC6" s="494">
        <f t="shared" si="12"/>
        <v>0</v>
      </c>
      <c r="AD6" s="495">
        <f t="shared" si="13"/>
        <v>0</v>
      </c>
      <c r="AE6" s="495">
        <f t="shared" si="14"/>
        <v>0</v>
      </c>
      <c r="AF6" s="495">
        <f t="shared" si="15"/>
        <v>0</v>
      </c>
      <c r="AG6" s="495">
        <f t="shared" si="16"/>
        <v>0</v>
      </c>
      <c r="AH6" s="479">
        <f t="shared" si="17"/>
        <v>0.17234515260323166</v>
      </c>
      <c r="AI6" s="480">
        <f t="shared" si="18"/>
        <v>0.161276187150838</v>
      </c>
      <c r="AJ6" s="480">
        <f t="shared" si="19"/>
        <v>0</v>
      </c>
      <c r="AK6" s="480">
        <f t="shared" si="20"/>
        <v>0</v>
      </c>
      <c r="AL6" s="480">
        <f t="shared" si="21"/>
        <v>0</v>
      </c>
      <c r="AM6" s="480">
        <f t="shared" si="22"/>
        <v>0</v>
      </c>
      <c r="AN6" s="481">
        <f t="shared" si="23"/>
        <v>0</v>
      </c>
      <c r="AO6" s="480">
        <f t="shared" si="24"/>
        <v>0.17234515260323163</v>
      </c>
      <c r="AP6" s="480">
        <f t="shared" si="25"/>
        <v>0.161276187150838</v>
      </c>
      <c r="AQ6" s="480">
        <f t="shared" si="26"/>
        <v>0</v>
      </c>
      <c r="AR6" s="480">
        <f t="shared" si="27"/>
        <v>0</v>
      </c>
      <c r="AS6" s="480">
        <f t="shared" si="28"/>
        <v>0</v>
      </c>
      <c r="AT6" s="480">
        <f t="shared" si="29"/>
        <v>0</v>
      </c>
      <c r="AU6" s="481">
        <f t="shared" si="30"/>
        <v>0</v>
      </c>
      <c r="AV6" s="493">
        <f t="shared" si="31"/>
        <v>0.17234515260323166</v>
      </c>
      <c r="AW6" s="494">
        <f t="shared" si="32"/>
        <v>8.0638093575418998E-2</v>
      </c>
      <c r="AX6" s="495">
        <f t="shared" si="33"/>
        <v>0</v>
      </c>
      <c r="AY6" s="493">
        <f t="shared" si="34"/>
        <v>0.17234515260323163</v>
      </c>
      <c r="AZ6" s="494">
        <f t="shared" si="35"/>
        <v>8.0638093575418998E-2</v>
      </c>
      <c r="BA6" s="495">
        <f t="shared" si="36"/>
        <v>0</v>
      </c>
      <c r="BB6" s="561">
        <f t="shared" si="40"/>
        <v>69627.719832805946</v>
      </c>
      <c r="BC6" s="482">
        <f t="shared" si="37"/>
        <v>74406.520962556417</v>
      </c>
      <c r="BD6" s="483" t="s">
        <v>56</v>
      </c>
      <c r="BE6" s="483" t="s">
        <v>56</v>
      </c>
      <c r="BF6" s="483" t="s">
        <v>56</v>
      </c>
      <c r="BG6" s="483" t="s">
        <v>56</v>
      </c>
      <c r="BH6" s="555" t="s">
        <v>56</v>
      </c>
      <c r="BI6" s="489">
        <f t="shared" si="41"/>
        <v>69627.71983280596</v>
      </c>
      <c r="BJ6" s="490">
        <f t="shared" si="42"/>
        <v>74406.520962556417</v>
      </c>
      <c r="BK6" s="483" t="s">
        <v>56</v>
      </c>
      <c r="BL6" s="483" t="s">
        <v>56</v>
      </c>
      <c r="BM6" s="483" t="s">
        <v>56</v>
      </c>
      <c r="BN6" s="483" t="s">
        <v>56</v>
      </c>
      <c r="BO6" s="555" t="s">
        <v>56</v>
      </c>
    </row>
    <row r="7" spans="1:67" s="310" customFormat="1" ht="14.65" customHeight="1">
      <c r="A7" s="808" t="str">
        <f>'Compiled Articles'!E6</f>
        <v>Car mat</v>
      </c>
      <c r="B7" s="400" t="s">
        <v>2741</v>
      </c>
      <c r="C7" s="808" t="str">
        <f>A7</f>
        <v>Car mat</v>
      </c>
      <c r="D7" s="462">
        <v>1</v>
      </c>
      <c r="E7" s="583">
        <v>1</v>
      </c>
      <c r="F7" s="583">
        <v>0</v>
      </c>
      <c r="G7" s="573">
        <f>'Compiled Articles'!E12</f>
        <v>60</v>
      </c>
      <c r="H7" s="573">
        <f>'Compiled Articles'!$E$11</f>
        <v>52</v>
      </c>
      <c r="I7" s="573">
        <v>1</v>
      </c>
      <c r="J7" s="471">
        <f t="shared" si="1"/>
        <v>1.1129999999999999E-4</v>
      </c>
      <c r="K7" s="471">
        <f t="shared" si="2"/>
        <v>1.1129999999999999E-4</v>
      </c>
      <c r="L7" s="472" t="s">
        <v>3132</v>
      </c>
      <c r="M7" s="473">
        <f>(INDEX('Dermal Calcs'!$B$64:$H$70, MATCH($L7,'Dermal Calcs'!$A$64:$A$70, 0), MATCH(M$3, 'Dermal Calcs'!$B$63:$H$63, 0)))*$K7*$D7</f>
        <v>1.3787612208258533E-4</v>
      </c>
      <c r="N7" s="474">
        <f>(INDEX('Dermal Calcs'!$B$64:$H$70, MATCH($L7,'Dermal Calcs'!$A$64:$A$70, 0), MATCH(N$3, 'Dermal Calcs'!$B$63:$H$63, 0)))*$K7*$E7</f>
        <v>1.2902094972067041E-4</v>
      </c>
      <c r="O7" s="474">
        <f>(INDEX('Dermal Calcs'!$B$64:$H$70, MATCH($L7,'Dermal Calcs'!$A$64:$A$70, 0), MATCH(O$3, 'Dermal Calcs'!$B$63:$H$63, 0)))*$K7*$E7</f>
        <v>1.4108450704225351E-4</v>
      </c>
      <c r="P7" s="476">
        <f>(INDEX('Dermal Calcs'!$B$64:$H$70, MATCH($L7,'Dermal Calcs'!$A$64:$A$70, 0), MATCH(P$3, 'Dermal Calcs'!$B$63:$H$63, 0)))*$K7*$F7</f>
        <v>0</v>
      </c>
      <c r="Q7" s="476">
        <f>(INDEX('Dermal Calcs'!$B$64:$H$70, MATCH($L7,'Dermal Calcs'!$A$64:$A$70, 0), MATCH(Q$3, 'Dermal Calcs'!$B$63:$H$63, 0)))*$K7*$F7</f>
        <v>0</v>
      </c>
      <c r="R7" s="476">
        <f>(INDEX('Dermal Calcs'!$B$64:$H$70, MATCH($L7,'Dermal Calcs'!$A$64:$A$70, 0), MATCH(R$3, 'Dermal Calcs'!$B$63:$H$63, 0)))*$K7*$F7</f>
        <v>0</v>
      </c>
      <c r="S7" s="477">
        <f>(INDEX('Dermal Calcs'!$B$64:$H$70, MATCH($L7,'Dermal Calcs'!$A$64:$A$70, 0), MATCH(S$3, 'Dermal Calcs'!$B$63:$H$63, 0)))*$K7*$F7</f>
        <v>0</v>
      </c>
      <c r="T7" s="473">
        <f t="shared" si="3"/>
        <v>7.169558348294437E-3</v>
      </c>
      <c r="U7" s="474">
        <f t="shared" si="4"/>
        <v>6.7090893854748618E-3</v>
      </c>
      <c r="V7" s="474">
        <f t="shared" si="5"/>
        <v>7.3363943661971824E-3</v>
      </c>
      <c r="W7" s="478">
        <f t="shared" si="6"/>
        <v>0</v>
      </c>
      <c r="X7" s="478">
        <f t="shared" si="7"/>
        <v>0</v>
      </c>
      <c r="Y7" s="478">
        <f t="shared" si="8"/>
        <v>0</v>
      </c>
      <c r="Z7" s="478">
        <f t="shared" si="9"/>
        <v>0</v>
      </c>
      <c r="AA7" s="473">
        <f t="shared" si="10"/>
        <v>1.3787612208258533E-4</v>
      </c>
      <c r="AB7" s="474">
        <f t="shared" si="11"/>
        <v>1.2902094972067041E-4</v>
      </c>
      <c r="AC7" s="474">
        <f t="shared" si="12"/>
        <v>1.4108450704225351E-4</v>
      </c>
      <c r="AD7" s="478">
        <f t="shared" si="13"/>
        <v>0</v>
      </c>
      <c r="AE7" s="478">
        <f t="shared" si="14"/>
        <v>0</v>
      </c>
      <c r="AF7" s="478">
        <f t="shared" si="15"/>
        <v>0</v>
      </c>
      <c r="AG7" s="478">
        <f t="shared" si="16"/>
        <v>0</v>
      </c>
      <c r="AH7" s="479">
        <f t="shared" si="17"/>
        <v>1.9642625611765583E-2</v>
      </c>
      <c r="AI7" s="480">
        <f t="shared" si="18"/>
        <v>1.8381066809520168E-2</v>
      </c>
      <c r="AJ7" s="480">
        <f t="shared" si="19"/>
        <v>2.0099710592321046E-2</v>
      </c>
      <c r="AK7" s="480">
        <f t="shared" si="20"/>
        <v>0</v>
      </c>
      <c r="AL7" s="480">
        <f t="shared" si="21"/>
        <v>0</v>
      </c>
      <c r="AM7" s="480">
        <f t="shared" si="22"/>
        <v>0</v>
      </c>
      <c r="AN7" s="481">
        <f t="shared" si="23"/>
        <v>0</v>
      </c>
      <c r="AO7" s="480">
        <f t="shared" si="24"/>
        <v>0.13787612208258532</v>
      </c>
      <c r="AP7" s="480">
        <f t="shared" si="25"/>
        <v>0.12902094972067041</v>
      </c>
      <c r="AQ7" s="480">
        <f t="shared" si="26"/>
        <v>0.1410845070422535</v>
      </c>
      <c r="AR7" s="480">
        <f t="shared" si="27"/>
        <v>0</v>
      </c>
      <c r="AS7" s="480">
        <f t="shared" si="28"/>
        <v>0</v>
      </c>
      <c r="AT7" s="480">
        <f t="shared" si="29"/>
        <v>0</v>
      </c>
      <c r="AU7" s="481">
        <f t="shared" si="30"/>
        <v>0</v>
      </c>
      <c r="AV7" s="473">
        <f t="shared" si="31"/>
        <v>1.9642625611765583E-2</v>
      </c>
      <c r="AW7" s="474">
        <f t="shared" si="32"/>
        <v>1.924038870092061E-2</v>
      </c>
      <c r="AX7" s="478">
        <f t="shared" si="33"/>
        <v>0</v>
      </c>
      <c r="AY7" s="473">
        <f t="shared" si="34"/>
        <v>0.13787612208258532</v>
      </c>
      <c r="AZ7" s="474">
        <f t="shared" si="35"/>
        <v>0.13505272838146196</v>
      </c>
      <c r="BA7" s="478">
        <f t="shared" si="36"/>
        <v>0</v>
      </c>
      <c r="BB7" s="561">
        <f t="shared" si="40"/>
        <v>610916.29180226359</v>
      </c>
      <c r="BC7" s="482">
        <f t="shared" si="37"/>
        <v>652845.67671473778</v>
      </c>
      <c r="BD7" s="482">
        <f t="shared" si="37"/>
        <v>597023.52155182359</v>
      </c>
      <c r="BE7" s="483" t="s">
        <v>56</v>
      </c>
      <c r="BF7" s="483" t="s">
        <v>56</v>
      </c>
      <c r="BG7" s="483" t="s">
        <v>56</v>
      </c>
      <c r="BH7" s="555" t="s">
        <v>56</v>
      </c>
      <c r="BI7" s="489">
        <f t="shared" si="41"/>
        <v>87034.649791007439</v>
      </c>
      <c r="BJ7" s="490">
        <f t="shared" si="42"/>
        <v>93008.151203195521</v>
      </c>
      <c r="BK7" s="490">
        <f t="shared" ref="BK7:BK45" si="43">12000/AQ7</f>
        <v>85055.4058101228</v>
      </c>
      <c r="BL7" s="483" t="s">
        <v>56</v>
      </c>
      <c r="BM7" s="483" t="s">
        <v>56</v>
      </c>
      <c r="BN7" s="483" t="s">
        <v>56</v>
      </c>
      <c r="BO7" s="555" t="s">
        <v>56</v>
      </c>
    </row>
    <row r="8" spans="1:67" s="310" customFormat="1" ht="14.65" customHeight="1">
      <c r="A8" s="809"/>
      <c r="B8" s="400" t="s">
        <v>2790</v>
      </c>
      <c r="C8" s="809"/>
      <c r="D8" s="462">
        <v>1</v>
      </c>
      <c r="E8" s="583">
        <v>1</v>
      </c>
      <c r="F8" s="583">
        <v>0</v>
      </c>
      <c r="G8" s="573">
        <f>'Compiled Articles'!E13</f>
        <v>30</v>
      </c>
      <c r="H8" s="573">
        <f>'Compiled Articles'!$E$11</f>
        <v>52</v>
      </c>
      <c r="I8" s="573">
        <v>1</v>
      </c>
      <c r="J8" s="471">
        <f t="shared" si="1"/>
        <v>1.1129999999999999E-4</v>
      </c>
      <c r="K8" s="471">
        <f t="shared" si="2"/>
        <v>5.5649999999999997E-5</v>
      </c>
      <c r="L8" s="472" t="s">
        <v>3132</v>
      </c>
      <c r="M8" s="473">
        <f>(INDEX('Dermal Calcs'!$B$64:$H$70, MATCH($L8,'Dermal Calcs'!$A$64:$A$70, 0), MATCH(M$3, 'Dermal Calcs'!$B$63:$H$63, 0)))*$K8*$D8</f>
        <v>6.8938061041292663E-5</v>
      </c>
      <c r="N8" s="474">
        <f>(INDEX('Dermal Calcs'!$B$64:$H$70, MATCH($L8,'Dermal Calcs'!$A$64:$A$70, 0), MATCH(N$3, 'Dermal Calcs'!$B$63:$H$63, 0)))*$K8*$E8</f>
        <v>6.4510474860335207E-5</v>
      </c>
      <c r="O8" s="474">
        <f>(INDEX('Dermal Calcs'!$B$64:$H$70, MATCH($L8,'Dermal Calcs'!$A$64:$A$70, 0), MATCH(O$3, 'Dermal Calcs'!$B$63:$H$63, 0)))*$K8*$E8</f>
        <v>7.0542253521126757E-5</v>
      </c>
      <c r="P8" s="476">
        <f>(INDEX('Dermal Calcs'!$B$64:$H$70, MATCH($L8,'Dermal Calcs'!$A$64:$A$70, 0), MATCH(P$3, 'Dermal Calcs'!$B$63:$H$63, 0)))*$K8*$F8</f>
        <v>0</v>
      </c>
      <c r="Q8" s="476">
        <f>(INDEX('Dermal Calcs'!$B$64:$H$70, MATCH($L8,'Dermal Calcs'!$A$64:$A$70, 0), MATCH(Q$3, 'Dermal Calcs'!$B$63:$H$63, 0)))*$K8*$F8</f>
        <v>0</v>
      </c>
      <c r="R8" s="476">
        <f>(INDEX('Dermal Calcs'!$B$64:$H$70, MATCH($L8,'Dermal Calcs'!$A$64:$A$70, 0), MATCH(R$3, 'Dermal Calcs'!$B$63:$H$63, 0)))*$K8*$F8</f>
        <v>0</v>
      </c>
      <c r="S8" s="477">
        <f>(INDEX('Dermal Calcs'!$B$64:$H$70, MATCH($L8,'Dermal Calcs'!$A$64:$A$70, 0), MATCH(S$3, 'Dermal Calcs'!$B$63:$H$63, 0)))*$K8*$F8</f>
        <v>0</v>
      </c>
      <c r="T8" s="486">
        <f t="shared" si="3"/>
        <v>3.5847791741472185E-3</v>
      </c>
      <c r="U8" s="487">
        <f t="shared" si="4"/>
        <v>3.3545446927374309E-3</v>
      </c>
      <c r="V8" s="487">
        <f t="shared" si="5"/>
        <v>3.6681971830985912E-3</v>
      </c>
      <c r="W8" s="488">
        <f t="shared" si="6"/>
        <v>0</v>
      </c>
      <c r="X8" s="488">
        <f t="shared" si="7"/>
        <v>0</v>
      </c>
      <c r="Y8" s="488">
        <f t="shared" si="8"/>
        <v>0</v>
      </c>
      <c r="Z8" s="488">
        <f t="shared" si="9"/>
        <v>0</v>
      </c>
      <c r="AA8" s="486">
        <f t="shared" si="10"/>
        <v>6.8938061041292663E-5</v>
      </c>
      <c r="AB8" s="487">
        <f t="shared" si="11"/>
        <v>6.4510474860335207E-5</v>
      </c>
      <c r="AC8" s="487">
        <f t="shared" si="12"/>
        <v>7.0542253521126757E-5</v>
      </c>
      <c r="AD8" s="488">
        <f t="shared" si="13"/>
        <v>0</v>
      </c>
      <c r="AE8" s="488">
        <f t="shared" si="14"/>
        <v>0</v>
      </c>
      <c r="AF8" s="488">
        <f t="shared" si="15"/>
        <v>0</v>
      </c>
      <c r="AG8" s="488">
        <f t="shared" si="16"/>
        <v>0</v>
      </c>
      <c r="AH8" s="479">
        <f t="shared" si="17"/>
        <v>9.8213128058827915E-3</v>
      </c>
      <c r="AI8" s="480">
        <f t="shared" si="18"/>
        <v>9.1905334047600838E-3</v>
      </c>
      <c r="AJ8" s="480">
        <f t="shared" si="19"/>
        <v>1.0049855296160523E-2</v>
      </c>
      <c r="AK8" s="480">
        <f t="shared" si="20"/>
        <v>0</v>
      </c>
      <c r="AL8" s="480">
        <f t="shared" si="21"/>
        <v>0</v>
      </c>
      <c r="AM8" s="480">
        <f t="shared" si="22"/>
        <v>0</v>
      </c>
      <c r="AN8" s="481">
        <f t="shared" si="23"/>
        <v>0</v>
      </c>
      <c r="AO8" s="480">
        <f t="shared" si="24"/>
        <v>6.8938061041292659E-2</v>
      </c>
      <c r="AP8" s="480">
        <f t="shared" si="25"/>
        <v>6.4510474860335204E-2</v>
      </c>
      <c r="AQ8" s="480">
        <f t="shared" si="26"/>
        <v>7.0542253521126752E-2</v>
      </c>
      <c r="AR8" s="480">
        <f t="shared" si="27"/>
        <v>0</v>
      </c>
      <c r="AS8" s="480">
        <f t="shared" si="28"/>
        <v>0</v>
      </c>
      <c r="AT8" s="480">
        <f t="shared" si="29"/>
        <v>0</v>
      </c>
      <c r="AU8" s="481">
        <f t="shared" si="30"/>
        <v>0</v>
      </c>
      <c r="AV8" s="486">
        <f t="shared" si="31"/>
        <v>9.8213128058827915E-3</v>
      </c>
      <c r="AW8" s="487">
        <f t="shared" si="32"/>
        <v>9.6201943504603052E-3</v>
      </c>
      <c r="AX8" s="488">
        <f t="shared" si="33"/>
        <v>0</v>
      </c>
      <c r="AY8" s="486">
        <f t="shared" si="34"/>
        <v>6.8938061041292659E-2</v>
      </c>
      <c r="AZ8" s="487">
        <f t="shared" si="35"/>
        <v>6.7526364190730978E-2</v>
      </c>
      <c r="BA8" s="488">
        <f t="shared" si="36"/>
        <v>0</v>
      </c>
      <c r="BB8" s="561">
        <f t="shared" si="40"/>
        <v>1221832.5836045272</v>
      </c>
      <c r="BC8" s="482">
        <f t="shared" si="37"/>
        <v>1305691.3534294756</v>
      </c>
      <c r="BD8" s="482">
        <f t="shared" si="37"/>
        <v>1194047.0431036472</v>
      </c>
      <c r="BE8" s="483" t="s">
        <v>56</v>
      </c>
      <c r="BF8" s="483" t="s">
        <v>56</v>
      </c>
      <c r="BG8" s="483" t="s">
        <v>56</v>
      </c>
      <c r="BH8" s="555" t="s">
        <v>56</v>
      </c>
      <c r="BI8" s="489">
        <f t="shared" si="41"/>
        <v>174069.29958201488</v>
      </c>
      <c r="BJ8" s="490">
        <f t="shared" si="42"/>
        <v>186016.30240639104</v>
      </c>
      <c r="BK8" s="490">
        <f t="shared" si="43"/>
        <v>170110.8116202456</v>
      </c>
      <c r="BL8" s="483" t="s">
        <v>56</v>
      </c>
      <c r="BM8" s="483" t="s">
        <v>56</v>
      </c>
      <c r="BN8" s="483" t="s">
        <v>56</v>
      </c>
      <c r="BO8" s="555" t="s">
        <v>56</v>
      </c>
    </row>
    <row r="9" spans="1:67" s="496" customFormat="1" ht="14.65" customHeight="1">
      <c r="A9" s="810"/>
      <c r="B9" s="492" t="s">
        <v>2745</v>
      </c>
      <c r="C9" s="810"/>
      <c r="D9" s="465">
        <v>1</v>
      </c>
      <c r="E9" s="466">
        <v>1</v>
      </c>
      <c r="F9" s="466">
        <v>0</v>
      </c>
      <c r="G9" s="573">
        <f>'Compiled Articles'!E14</f>
        <v>15</v>
      </c>
      <c r="H9" s="573">
        <f>'Compiled Articles'!$E$11</f>
        <v>52</v>
      </c>
      <c r="I9" s="573">
        <f>I7</f>
        <v>1</v>
      </c>
      <c r="J9" s="471">
        <f t="shared" si="1"/>
        <v>1.1129999999999999E-4</v>
      </c>
      <c r="K9" s="471">
        <f t="shared" si="2"/>
        <v>2.7824999999999999E-5</v>
      </c>
      <c r="L9" s="472" t="s">
        <v>3132</v>
      </c>
      <c r="M9" s="473">
        <f>(INDEX('Dermal Calcs'!$B$64:$H$70, MATCH($L9,'Dermal Calcs'!$A$64:$A$70, 0), MATCH(M$3, 'Dermal Calcs'!$B$63:$H$63, 0)))*$K9*$D9</f>
        <v>3.4469030520646331E-5</v>
      </c>
      <c r="N9" s="474">
        <f>(INDEX('Dermal Calcs'!$B$64:$H$70, MATCH($L9,'Dermal Calcs'!$A$64:$A$70, 0), MATCH(N$3, 'Dermal Calcs'!$B$63:$H$63, 0)))*$K9*$E9</f>
        <v>3.2255237430167604E-5</v>
      </c>
      <c r="O9" s="474">
        <f>(INDEX('Dermal Calcs'!$B$64:$H$70, MATCH($L9,'Dermal Calcs'!$A$64:$A$70, 0), MATCH(O$3, 'Dermal Calcs'!$B$63:$H$63, 0)))*$K9*$E9</f>
        <v>3.5271126760563378E-5</v>
      </c>
      <c r="P9" s="476">
        <f>(INDEX('Dermal Calcs'!$B$64:$H$70, MATCH($L9,'Dermal Calcs'!$A$64:$A$70, 0), MATCH(P$3, 'Dermal Calcs'!$B$63:$H$63, 0)))*$K9*$F9</f>
        <v>0</v>
      </c>
      <c r="Q9" s="476">
        <f>(INDEX('Dermal Calcs'!$B$64:$H$70, MATCH($L9,'Dermal Calcs'!$A$64:$A$70, 0), MATCH(Q$3, 'Dermal Calcs'!$B$63:$H$63, 0)))*$K9*$F9</f>
        <v>0</v>
      </c>
      <c r="R9" s="476">
        <f>(INDEX('Dermal Calcs'!$B$64:$H$70, MATCH($L9,'Dermal Calcs'!$A$64:$A$70, 0), MATCH(R$3, 'Dermal Calcs'!$B$63:$H$63, 0)))*$K9*$F9</f>
        <v>0</v>
      </c>
      <c r="S9" s="477">
        <f>(INDEX('Dermal Calcs'!$B$64:$H$70, MATCH($L9,'Dermal Calcs'!$A$64:$A$70, 0), MATCH(S$3, 'Dermal Calcs'!$B$63:$H$63, 0)))*$K9*$F9</f>
        <v>0</v>
      </c>
      <c r="T9" s="493">
        <f t="shared" si="3"/>
        <v>1.7923895870736093E-3</v>
      </c>
      <c r="U9" s="494">
        <f t="shared" si="4"/>
        <v>1.6772723463687154E-3</v>
      </c>
      <c r="V9" s="494">
        <f t="shared" si="5"/>
        <v>1.8340985915492956E-3</v>
      </c>
      <c r="W9" s="495">
        <f t="shared" si="6"/>
        <v>0</v>
      </c>
      <c r="X9" s="495">
        <f t="shared" si="7"/>
        <v>0</v>
      </c>
      <c r="Y9" s="495">
        <f t="shared" si="8"/>
        <v>0</v>
      </c>
      <c r="Z9" s="495">
        <f t="shared" si="9"/>
        <v>0</v>
      </c>
      <c r="AA9" s="493">
        <f t="shared" si="10"/>
        <v>3.4469030520646331E-5</v>
      </c>
      <c r="AB9" s="494">
        <f t="shared" si="11"/>
        <v>3.2255237430167604E-5</v>
      </c>
      <c r="AC9" s="494">
        <f t="shared" si="12"/>
        <v>3.5271126760563378E-5</v>
      </c>
      <c r="AD9" s="495">
        <f t="shared" si="13"/>
        <v>0</v>
      </c>
      <c r="AE9" s="495">
        <f t="shared" si="14"/>
        <v>0</v>
      </c>
      <c r="AF9" s="495">
        <f t="shared" si="15"/>
        <v>0</v>
      </c>
      <c r="AG9" s="495">
        <f t="shared" si="16"/>
        <v>0</v>
      </c>
      <c r="AH9" s="479">
        <f t="shared" si="17"/>
        <v>4.9106564029413957E-3</v>
      </c>
      <c r="AI9" s="480">
        <f t="shared" si="18"/>
        <v>4.5952667023800419E-3</v>
      </c>
      <c r="AJ9" s="480">
        <f t="shared" si="19"/>
        <v>5.0249276480802615E-3</v>
      </c>
      <c r="AK9" s="480">
        <f t="shared" si="20"/>
        <v>0</v>
      </c>
      <c r="AL9" s="480">
        <f t="shared" si="21"/>
        <v>0</v>
      </c>
      <c r="AM9" s="480">
        <f t="shared" si="22"/>
        <v>0</v>
      </c>
      <c r="AN9" s="481">
        <f t="shared" si="23"/>
        <v>0</v>
      </c>
      <c r="AO9" s="480">
        <f t="shared" si="24"/>
        <v>3.4469030520646329E-2</v>
      </c>
      <c r="AP9" s="480">
        <f t="shared" si="25"/>
        <v>3.2255237430167602E-2</v>
      </c>
      <c r="AQ9" s="480">
        <f t="shared" si="26"/>
        <v>3.5271126760563376E-2</v>
      </c>
      <c r="AR9" s="480">
        <f t="shared" si="27"/>
        <v>0</v>
      </c>
      <c r="AS9" s="480">
        <f t="shared" si="28"/>
        <v>0</v>
      </c>
      <c r="AT9" s="480">
        <f t="shared" si="29"/>
        <v>0</v>
      </c>
      <c r="AU9" s="481">
        <f t="shared" si="30"/>
        <v>0</v>
      </c>
      <c r="AV9" s="493">
        <f t="shared" si="31"/>
        <v>4.9106564029413957E-3</v>
      </c>
      <c r="AW9" s="494">
        <f t="shared" si="32"/>
        <v>4.8100971752301526E-3</v>
      </c>
      <c r="AX9" s="495">
        <f t="shared" si="33"/>
        <v>0</v>
      </c>
      <c r="AY9" s="493">
        <f t="shared" si="34"/>
        <v>3.4469030520646329E-2</v>
      </c>
      <c r="AZ9" s="494">
        <f t="shared" si="35"/>
        <v>3.3763182095365489E-2</v>
      </c>
      <c r="BA9" s="495">
        <f t="shared" si="36"/>
        <v>0</v>
      </c>
      <c r="BB9" s="561">
        <f t="shared" si="40"/>
        <v>2443665.1672090543</v>
      </c>
      <c r="BC9" s="482">
        <f t="shared" si="37"/>
        <v>2611382.7068589511</v>
      </c>
      <c r="BD9" s="482">
        <f t="shared" si="37"/>
        <v>2388094.0862072944</v>
      </c>
      <c r="BE9" s="483" t="s">
        <v>56</v>
      </c>
      <c r="BF9" s="483" t="s">
        <v>56</v>
      </c>
      <c r="BG9" s="483" t="s">
        <v>56</v>
      </c>
      <c r="BH9" s="555" t="s">
        <v>56</v>
      </c>
      <c r="BI9" s="489">
        <f t="shared" si="41"/>
        <v>348138.59916402976</v>
      </c>
      <c r="BJ9" s="490">
        <f t="shared" si="42"/>
        <v>372032.60481278208</v>
      </c>
      <c r="BK9" s="490">
        <f t="shared" si="43"/>
        <v>340221.6232404912</v>
      </c>
      <c r="BL9" s="483" t="s">
        <v>56</v>
      </c>
      <c r="BM9" s="483" t="s">
        <v>56</v>
      </c>
      <c r="BN9" s="483" t="s">
        <v>56</v>
      </c>
      <c r="BO9" s="555" t="s">
        <v>56</v>
      </c>
    </row>
    <row r="10" spans="1:67" s="310" customFormat="1" ht="14.65" customHeight="1">
      <c r="A10" s="808" t="str">
        <f>'Compiled Articles'!F6</f>
        <v>Children's Toys (Legacy)</v>
      </c>
      <c r="B10" s="400" t="s">
        <v>2741</v>
      </c>
      <c r="C10" s="808" t="str">
        <f>A10</f>
        <v>Children's Toys (Legacy)</v>
      </c>
      <c r="D10" s="462">
        <v>0</v>
      </c>
      <c r="E10" s="583">
        <v>1</v>
      </c>
      <c r="F10" s="583">
        <v>1</v>
      </c>
      <c r="G10" s="573">
        <f>'Compiled Articles'!F12</f>
        <v>137</v>
      </c>
      <c r="H10" s="573">
        <f>'Compiled Articles'!$F$11</f>
        <v>365</v>
      </c>
      <c r="I10" s="573">
        <v>1</v>
      </c>
      <c r="J10" s="471">
        <f t="shared" si="1"/>
        <v>1.1129999999999999E-4</v>
      </c>
      <c r="K10" s="471">
        <f t="shared" si="2"/>
        <v>2.5413500000000001E-4</v>
      </c>
      <c r="L10" s="472" t="s">
        <v>3131</v>
      </c>
      <c r="M10" s="473">
        <f>(INDEX('Dermal Calcs'!$B$64:$H$70, MATCH($L10,'Dermal Calcs'!$A$64:$A$70, 0), MATCH(M$3, 'Dermal Calcs'!$B$63:$H$63, 0)))*$K10*$D10</f>
        <v>0</v>
      </c>
      <c r="N10" s="474">
        <f>(INDEX('Dermal Calcs'!$B$64:$H$70, MATCH($L10,'Dermal Calcs'!$A$64:$A$70, 0), MATCH(N$3, 'Dermal Calcs'!$B$63:$H$63, 0)))*$K10*$E10</f>
        <v>1.472989175977654E-3</v>
      </c>
      <c r="O10" s="474">
        <f>(INDEX('Dermal Calcs'!$B$64:$H$70, MATCH($L10,'Dermal Calcs'!$A$64:$A$70, 0), MATCH(O$3, 'Dermal Calcs'!$B$63:$H$63, 0)))*$K10*$E10</f>
        <v>1.6107147887323946E-3</v>
      </c>
      <c r="P10" s="476">
        <f>(INDEX('Dermal Calcs'!$B$64:$H$70, MATCH($L10,'Dermal Calcs'!$A$64:$A$70, 0), MATCH(P$3, 'Dermal Calcs'!$B$63:$H$63, 0)))*$K10*$F10</f>
        <v>2.0378749999999998E-3</v>
      </c>
      <c r="Q10" s="476">
        <f>(INDEX('Dermal Calcs'!$B$64:$H$70, MATCH($L10,'Dermal Calcs'!$A$64:$A$70, 0), MATCH(Q$3, 'Dermal Calcs'!$B$63:$H$63, 0)))*$K10*$F10</f>
        <v>2.5276868279569889E-3</v>
      </c>
      <c r="R10" s="476">
        <f>(INDEX('Dermal Calcs'!$B$64:$H$70, MATCH($L10,'Dermal Calcs'!$A$64:$A$70, 0), MATCH(R$3, 'Dermal Calcs'!$B$63:$H$63, 0)))*$K10*$F10</f>
        <v>2.924569444444444E-3</v>
      </c>
      <c r="S10" s="477">
        <f>(INDEX('Dermal Calcs'!$B$64:$H$70, MATCH($L10,'Dermal Calcs'!$A$64:$A$70, 0), MATCH(S$3, 'Dermal Calcs'!$B$63:$H$63, 0)))*$K10*$F10</f>
        <v>3.4200082446808511E-3</v>
      </c>
      <c r="T10" s="473">
        <f t="shared" si="3"/>
        <v>0</v>
      </c>
      <c r="U10" s="474">
        <f t="shared" si="4"/>
        <v>0.53764104923184375</v>
      </c>
      <c r="V10" s="474">
        <f t="shared" si="5"/>
        <v>0.58791089788732398</v>
      </c>
      <c r="W10" s="478">
        <f t="shared" si="6"/>
        <v>0.74382437499999987</v>
      </c>
      <c r="X10" s="478">
        <f t="shared" si="7"/>
        <v>0.922605692204301</v>
      </c>
      <c r="Y10" s="478">
        <f t="shared" si="8"/>
        <v>1.0674678472222221</v>
      </c>
      <c r="Z10" s="478">
        <f t="shared" si="9"/>
        <v>1.2483030093085106</v>
      </c>
      <c r="AA10" s="473">
        <f t="shared" si="10"/>
        <v>0</v>
      </c>
      <c r="AB10" s="474">
        <f t="shared" si="11"/>
        <v>1.472989175977654E-3</v>
      </c>
      <c r="AC10" s="474">
        <f t="shared" si="12"/>
        <v>1.6107147887323946E-3</v>
      </c>
      <c r="AD10" s="478">
        <f t="shared" si="13"/>
        <v>2.0378749999999998E-3</v>
      </c>
      <c r="AE10" s="478">
        <f t="shared" si="14"/>
        <v>2.5276868279569889E-3</v>
      </c>
      <c r="AF10" s="478">
        <f t="shared" si="15"/>
        <v>2.924569444444444E-3</v>
      </c>
      <c r="AG10" s="478">
        <f t="shared" si="16"/>
        <v>3.4200082446808511E-3</v>
      </c>
      <c r="AH10" s="479">
        <f t="shared" si="17"/>
        <v>0</v>
      </c>
      <c r="AI10" s="480">
        <f t="shared" si="18"/>
        <v>1.4729891759776543</v>
      </c>
      <c r="AJ10" s="480">
        <f t="shared" si="19"/>
        <v>1.6107147887323943</v>
      </c>
      <c r="AK10" s="480">
        <f t="shared" si="20"/>
        <v>2.0378749999999997</v>
      </c>
      <c r="AL10" s="480">
        <f t="shared" si="21"/>
        <v>2.5276868279569893</v>
      </c>
      <c r="AM10" s="480">
        <f t="shared" si="22"/>
        <v>2.9245694444444443</v>
      </c>
      <c r="AN10" s="481">
        <f t="shared" si="23"/>
        <v>3.4200082446808509</v>
      </c>
      <c r="AO10" s="480">
        <f t="shared" si="24"/>
        <v>0</v>
      </c>
      <c r="AP10" s="480">
        <f t="shared" si="25"/>
        <v>1.4729891759776539</v>
      </c>
      <c r="AQ10" s="480">
        <f t="shared" si="26"/>
        <v>1.6107147887323945</v>
      </c>
      <c r="AR10" s="480">
        <f t="shared" si="27"/>
        <v>2.0378749999999997</v>
      </c>
      <c r="AS10" s="480">
        <f t="shared" si="28"/>
        <v>2.5276868279569888</v>
      </c>
      <c r="AT10" s="480">
        <f t="shared" si="29"/>
        <v>2.9245694444444439</v>
      </c>
      <c r="AU10" s="481">
        <f t="shared" si="30"/>
        <v>3.4200082446808513</v>
      </c>
      <c r="AV10" s="473">
        <f t="shared" si="31"/>
        <v>0</v>
      </c>
      <c r="AW10" s="474">
        <f t="shared" si="32"/>
        <v>1.5418519823550245</v>
      </c>
      <c r="AX10" s="478">
        <f t="shared" si="33"/>
        <v>2.7275348792705705</v>
      </c>
      <c r="AY10" s="473">
        <f t="shared" si="34"/>
        <v>0</v>
      </c>
      <c r="AZ10" s="474">
        <f t="shared" si="35"/>
        <v>1.5418519823550243</v>
      </c>
      <c r="BA10" s="478">
        <f t="shared" si="36"/>
        <v>2.7275348792705709</v>
      </c>
      <c r="BB10" s="556" t="s">
        <v>56</v>
      </c>
      <c r="BC10" s="482">
        <f t="shared" si="37"/>
        <v>8146.6993754623782</v>
      </c>
      <c r="BD10" s="482">
        <f t="shared" si="37"/>
        <v>7450.108538112946</v>
      </c>
      <c r="BE10" s="482">
        <f t="shared" si="37"/>
        <v>5888.4867815739444</v>
      </c>
      <c r="BF10" s="482">
        <f t="shared" si="37"/>
        <v>4747.423560259258</v>
      </c>
      <c r="BG10" s="482">
        <f t="shared" si="37"/>
        <v>4103.1680826712382</v>
      </c>
      <c r="BH10" s="562">
        <f t="shared" si="37"/>
        <v>3508.7634711593564</v>
      </c>
      <c r="BI10" s="556" t="s">
        <v>56</v>
      </c>
      <c r="BJ10" s="490">
        <f t="shared" si="42"/>
        <v>8146.6993754623809</v>
      </c>
      <c r="BK10" s="490">
        <f t="shared" si="43"/>
        <v>7450.1085381129451</v>
      </c>
      <c r="BL10" s="490">
        <f t="shared" ref="BL10:BL42" si="44">12000/AR10</f>
        <v>5888.4867815739444</v>
      </c>
      <c r="BM10" s="490">
        <f t="shared" ref="BM10:BM42" si="45">12000/AS10</f>
        <v>4747.4235602592589</v>
      </c>
      <c r="BN10" s="490">
        <f t="shared" ref="BN10:BN27" si="46">12000/AT10</f>
        <v>4103.1680826712391</v>
      </c>
      <c r="BO10" s="491">
        <f t="shared" ref="BO10:BO27" si="47">12000/AU10</f>
        <v>3508.763471159356</v>
      </c>
    </row>
    <row r="11" spans="1:67" s="310" customFormat="1" ht="14.65" customHeight="1">
      <c r="A11" s="809"/>
      <c r="B11" s="400" t="s">
        <v>2790</v>
      </c>
      <c r="C11" s="809"/>
      <c r="D11" s="462">
        <v>0</v>
      </c>
      <c r="E11" s="583">
        <v>1</v>
      </c>
      <c r="F11" s="583">
        <v>1</v>
      </c>
      <c r="G11" s="573">
        <f>'Compiled Articles'!F13</f>
        <v>88</v>
      </c>
      <c r="H11" s="573">
        <f>'Compiled Articles'!$F$11</f>
        <v>365</v>
      </c>
      <c r="I11" s="573">
        <v>1</v>
      </c>
      <c r="J11" s="471">
        <f t="shared" si="1"/>
        <v>1.1129999999999999E-4</v>
      </c>
      <c r="K11" s="471">
        <f t="shared" si="2"/>
        <v>1.6323999999999999E-4</v>
      </c>
      <c r="L11" s="497" t="s">
        <v>3131</v>
      </c>
      <c r="M11" s="473">
        <f>(INDEX('Dermal Calcs'!$B$64:$H$70, MATCH($L11,'Dermal Calcs'!$A$64:$A$70, 0), MATCH(M$3, 'Dermal Calcs'!$B$63:$H$63, 0)))*$K11*$D11</f>
        <v>0</v>
      </c>
      <c r="N11" s="474">
        <f>(INDEX('Dermal Calcs'!$B$64:$H$70, MATCH($L11,'Dermal Calcs'!$A$64:$A$70, 0), MATCH(N$3, 'Dermal Calcs'!$B$63:$H$63, 0)))*$K11*$E11</f>
        <v>9.461536312849163E-4</v>
      </c>
      <c r="O11" s="474">
        <f>(INDEX('Dermal Calcs'!$B$64:$H$70, MATCH($L11,'Dermal Calcs'!$A$64:$A$70, 0), MATCH(O$3, 'Dermal Calcs'!$B$63:$H$63, 0)))*$K11*$E11</f>
        <v>1.0346197183098592E-3</v>
      </c>
      <c r="P11" s="476">
        <f>(INDEX('Dermal Calcs'!$B$64:$H$70, MATCH($L11,'Dermal Calcs'!$A$64:$A$70, 0), MATCH(P$3, 'Dermal Calcs'!$B$63:$H$63, 0)))*$K11*$F11</f>
        <v>1.3089999999999998E-3</v>
      </c>
      <c r="Q11" s="476">
        <f>(INDEX('Dermal Calcs'!$B$64:$H$70, MATCH($L11,'Dermal Calcs'!$A$64:$A$70, 0), MATCH(Q$3, 'Dermal Calcs'!$B$63:$H$63, 0)))*$K11*$F11</f>
        <v>1.6236236559139783E-3</v>
      </c>
      <c r="R11" s="476">
        <f>(INDEX('Dermal Calcs'!$B$64:$H$70, MATCH($L11,'Dermal Calcs'!$A$64:$A$70, 0), MATCH(R$3, 'Dermal Calcs'!$B$63:$H$63, 0)))*$K11*$F11</f>
        <v>1.8785555555555552E-3</v>
      </c>
      <c r="S11" s="477">
        <f>(INDEX('Dermal Calcs'!$B$64:$H$70, MATCH($L11,'Dermal Calcs'!$A$64:$A$70, 0), MATCH(S$3, 'Dermal Calcs'!$B$63:$H$63, 0)))*$K11*$F11</f>
        <v>2.1967936170212764E-3</v>
      </c>
      <c r="T11" s="486">
        <f t="shared" si="3"/>
        <v>0</v>
      </c>
      <c r="U11" s="487">
        <f t="shared" si="4"/>
        <v>0.34534607541899442</v>
      </c>
      <c r="V11" s="487">
        <f t="shared" si="5"/>
        <v>0.3776361971830986</v>
      </c>
      <c r="W11" s="488">
        <f t="shared" si="6"/>
        <v>0.47778499999999996</v>
      </c>
      <c r="X11" s="488">
        <f t="shared" si="7"/>
        <v>0.59262263440860208</v>
      </c>
      <c r="Y11" s="488">
        <f t="shared" si="8"/>
        <v>0.68567277777777769</v>
      </c>
      <c r="Z11" s="488">
        <f t="shared" si="9"/>
        <v>0.80182967021276585</v>
      </c>
      <c r="AA11" s="486">
        <f t="shared" si="10"/>
        <v>0</v>
      </c>
      <c r="AB11" s="487">
        <f t="shared" si="11"/>
        <v>9.461536312849163E-4</v>
      </c>
      <c r="AC11" s="487">
        <f t="shared" si="12"/>
        <v>1.0346197183098592E-3</v>
      </c>
      <c r="AD11" s="488">
        <f t="shared" si="13"/>
        <v>1.3089999999999998E-3</v>
      </c>
      <c r="AE11" s="488">
        <f t="shared" si="14"/>
        <v>1.6236236559139783E-3</v>
      </c>
      <c r="AF11" s="488">
        <f t="shared" si="15"/>
        <v>1.8785555555555552E-3</v>
      </c>
      <c r="AG11" s="488">
        <f t="shared" si="16"/>
        <v>2.1967936170212764E-3</v>
      </c>
      <c r="AH11" s="479">
        <f t="shared" si="17"/>
        <v>0</v>
      </c>
      <c r="AI11" s="480">
        <f t="shared" si="18"/>
        <v>0.94615363128491625</v>
      </c>
      <c r="AJ11" s="480">
        <f t="shared" si="19"/>
        <v>1.0346197183098591</v>
      </c>
      <c r="AK11" s="480">
        <f t="shared" si="20"/>
        <v>1.3089999999999999</v>
      </c>
      <c r="AL11" s="480">
        <f t="shared" si="21"/>
        <v>1.6236236559139783</v>
      </c>
      <c r="AM11" s="480">
        <f t="shared" si="22"/>
        <v>1.8785555555555553</v>
      </c>
      <c r="AN11" s="481">
        <f t="shared" si="23"/>
        <v>2.1967936170212763</v>
      </c>
      <c r="AO11" s="480">
        <f t="shared" si="24"/>
        <v>0</v>
      </c>
      <c r="AP11" s="480">
        <f t="shared" si="25"/>
        <v>0.94615363128491625</v>
      </c>
      <c r="AQ11" s="480">
        <f t="shared" si="26"/>
        <v>1.0346197183098591</v>
      </c>
      <c r="AR11" s="480">
        <f t="shared" si="27"/>
        <v>1.3089999999999999</v>
      </c>
      <c r="AS11" s="480">
        <f t="shared" si="28"/>
        <v>1.6236236559139783</v>
      </c>
      <c r="AT11" s="480">
        <f t="shared" si="29"/>
        <v>1.8785555555555551</v>
      </c>
      <c r="AU11" s="481">
        <f t="shared" si="30"/>
        <v>2.1967936170212763</v>
      </c>
      <c r="AV11" s="486">
        <f t="shared" si="31"/>
        <v>0</v>
      </c>
      <c r="AW11" s="487">
        <f t="shared" si="32"/>
        <v>0.99038667479738773</v>
      </c>
      <c r="AX11" s="488">
        <f t="shared" si="33"/>
        <v>1.7519932071227022</v>
      </c>
      <c r="AY11" s="486">
        <f t="shared" si="34"/>
        <v>0</v>
      </c>
      <c r="AZ11" s="487">
        <f t="shared" si="35"/>
        <v>0.99038667479738762</v>
      </c>
      <c r="BA11" s="488">
        <f t="shared" si="36"/>
        <v>1.7519932071227025</v>
      </c>
      <c r="BB11" s="556" t="s">
        <v>56</v>
      </c>
      <c r="BC11" s="482">
        <f t="shared" si="37"/>
        <v>12682.929709526663</v>
      </c>
      <c r="BD11" s="482">
        <f t="shared" si="37"/>
        <v>11598.464428653109</v>
      </c>
      <c r="BE11" s="482">
        <f t="shared" si="37"/>
        <v>9167.3032849503434</v>
      </c>
      <c r="BF11" s="482">
        <f t="shared" si="37"/>
        <v>7390.8753154036185</v>
      </c>
      <c r="BG11" s="482">
        <f t="shared" si="37"/>
        <v>6387.8866741586335</v>
      </c>
      <c r="BH11" s="562">
        <f t="shared" si="37"/>
        <v>5462.5067676003619</v>
      </c>
      <c r="BI11" s="556" t="s">
        <v>56</v>
      </c>
      <c r="BJ11" s="490">
        <f t="shared" si="42"/>
        <v>12682.929709526663</v>
      </c>
      <c r="BK11" s="490">
        <f t="shared" si="43"/>
        <v>11598.464428653109</v>
      </c>
      <c r="BL11" s="490">
        <f t="shared" si="44"/>
        <v>9167.3032849503434</v>
      </c>
      <c r="BM11" s="490">
        <f t="shared" si="45"/>
        <v>7390.8753154036185</v>
      </c>
      <c r="BN11" s="490">
        <f t="shared" si="46"/>
        <v>6387.8866741586344</v>
      </c>
      <c r="BO11" s="491">
        <f t="shared" si="47"/>
        <v>5462.5067676003619</v>
      </c>
    </row>
    <row r="12" spans="1:67" s="496" customFormat="1" ht="14.65" customHeight="1">
      <c r="A12" s="810"/>
      <c r="B12" s="492" t="s">
        <v>2745</v>
      </c>
      <c r="C12" s="810"/>
      <c r="D12" s="465">
        <v>0</v>
      </c>
      <c r="E12" s="466">
        <v>1</v>
      </c>
      <c r="F12" s="466">
        <v>1</v>
      </c>
      <c r="G12" s="573">
        <f>'Compiled Articles'!F14</f>
        <v>24</v>
      </c>
      <c r="H12" s="573">
        <f>'Compiled Articles'!$F$11</f>
        <v>365</v>
      </c>
      <c r="I12" s="573">
        <f>I10</f>
        <v>1</v>
      </c>
      <c r="J12" s="471">
        <f t="shared" si="1"/>
        <v>1.1129999999999999E-4</v>
      </c>
      <c r="K12" s="471">
        <f t="shared" si="2"/>
        <v>4.4520000000000001E-5</v>
      </c>
      <c r="L12" s="498" t="s">
        <v>3131</v>
      </c>
      <c r="M12" s="473">
        <f>(INDEX('Dermal Calcs'!$B$64:$H$70, MATCH($L12,'Dermal Calcs'!$A$64:$A$70, 0), MATCH(M$3, 'Dermal Calcs'!$B$63:$H$63, 0)))*$K12*$D12</f>
        <v>0</v>
      </c>
      <c r="N12" s="474">
        <f>(INDEX('Dermal Calcs'!$B$64:$H$70, MATCH($L12,'Dermal Calcs'!$A$64:$A$70, 0), MATCH(N$3, 'Dermal Calcs'!$B$63:$H$63, 0)))*$K12*$E12</f>
        <v>2.5804189944134083E-4</v>
      </c>
      <c r="O12" s="474">
        <f>(INDEX('Dermal Calcs'!$B$64:$H$70, MATCH($L12,'Dermal Calcs'!$A$64:$A$70, 0), MATCH(O$3, 'Dermal Calcs'!$B$63:$H$63, 0)))*$K12*$E12</f>
        <v>2.8216901408450708E-4</v>
      </c>
      <c r="P12" s="476">
        <f>(INDEX('Dermal Calcs'!$B$64:$H$70, MATCH($L12,'Dermal Calcs'!$A$64:$A$70, 0), MATCH(P$3, 'Dermal Calcs'!$B$63:$H$63, 0)))*$K12*$F12</f>
        <v>3.5699999999999995E-4</v>
      </c>
      <c r="Q12" s="476">
        <f>(INDEX('Dermal Calcs'!$B$64:$H$70, MATCH($L12,'Dermal Calcs'!$A$64:$A$70, 0), MATCH(Q$3, 'Dermal Calcs'!$B$63:$H$63, 0)))*$K12*$F12</f>
        <v>4.4280645161290318E-4</v>
      </c>
      <c r="R12" s="476">
        <f>(INDEX('Dermal Calcs'!$B$64:$H$70, MATCH($L12,'Dermal Calcs'!$A$64:$A$70, 0), MATCH(R$3, 'Dermal Calcs'!$B$63:$H$63, 0)))*$K12*$F12</f>
        <v>5.1233333333333328E-4</v>
      </c>
      <c r="S12" s="477">
        <f>(INDEX('Dermal Calcs'!$B$64:$H$70, MATCH($L12,'Dermal Calcs'!$A$64:$A$70, 0), MATCH(S$3, 'Dermal Calcs'!$B$63:$H$63, 0)))*$K12*$F12</f>
        <v>5.9912553191489369E-4</v>
      </c>
      <c r="T12" s="493">
        <f t="shared" si="3"/>
        <v>0</v>
      </c>
      <c r="U12" s="494">
        <f t="shared" si="4"/>
        <v>9.4185293296089406E-2</v>
      </c>
      <c r="V12" s="494">
        <f t="shared" si="5"/>
        <v>0.10299169014084508</v>
      </c>
      <c r="W12" s="495">
        <f t="shared" si="6"/>
        <v>0.13030499999999998</v>
      </c>
      <c r="X12" s="495">
        <f t="shared" si="7"/>
        <v>0.16162435483870966</v>
      </c>
      <c r="Y12" s="495">
        <f t="shared" si="8"/>
        <v>0.18700166666666665</v>
      </c>
      <c r="Z12" s="495">
        <f t="shared" si="9"/>
        <v>0.2186808191489362</v>
      </c>
      <c r="AA12" s="493">
        <f t="shared" si="10"/>
        <v>0</v>
      </c>
      <c r="AB12" s="494">
        <f t="shared" si="11"/>
        <v>2.5804189944134083E-4</v>
      </c>
      <c r="AC12" s="494">
        <f t="shared" si="12"/>
        <v>2.8216901408450708E-4</v>
      </c>
      <c r="AD12" s="495">
        <f t="shared" si="13"/>
        <v>3.5699999999999995E-4</v>
      </c>
      <c r="AE12" s="495">
        <f t="shared" si="14"/>
        <v>4.4280645161290318E-4</v>
      </c>
      <c r="AF12" s="495">
        <f t="shared" si="15"/>
        <v>5.1233333333333328E-4</v>
      </c>
      <c r="AG12" s="495">
        <f t="shared" si="16"/>
        <v>5.9912553191489369E-4</v>
      </c>
      <c r="AH12" s="479">
        <f t="shared" si="17"/>
        <v>0</v>
      </c>
      <c r="AI12" s="480">
        <f t="shared" si="18"/>
        <v>0.25804189944134087</v>
      </c>
      <c r="AJ12" s="480">
        <f t="shared" si="19"/>
        <v>0.28216901408450706</v>
      </c>
      <c r="AK12" s="480">
        <f t="shared" si="20"/>
        <v>0.35699999999999993</v>
      </c>
      <c r="AL12" s="480">
        <f t="shared" si="21"/>
        <v>0.44280645161290316</v>
      </c>
      <c r="AM12" s="480">
        <f t="shared" si="22"/>
        <v>0.5123333333333332</v>
      </c>
      <c r="AN12" s="481">
        <f t="shared" si="23"/>
        <v>0.59912553191489371</v>
      </c>
      <c r="AO12" s="480">
        <f t="shared" si="24"/>
        <v>0</v>
      </c>
      <c r="AP12" s="480">
        <f t="shared" si="25"/>
        <v>0.25804189944134082</v>
      </c>
      <c r="AQ12" s="480">
        <f t="shared" si="26"/>
        <v>0.28216901408450706</v>
      </c>
      <c r="AR12" s="480">
        <f t="shared" si="27"/>
        <v>0.35699999999999993</v>
      </c>
      <c r="AS12" s="480">
        <f t="shared" si="28"/>
        <v>0.44280645161290316</v>
      </c>
      <c r="AT12" s="480">
        <f t="shared" si="29"/>
        <v>0.51233333333333331</v>
      </c>
      <c r="AU12" s="481">
        <f t="shared" si="30"/>
        <v>0.59912553191489371</v>
      </c>
      <c r="AV12" s="493">
        <f t="shared" si="31"/>
        <v>0</v>
      </c>
      <c r="AW12" s="494">
        <f t="shared" si="32"/>
        <v>0.27010545676292397</v>
      </c>
      <c r="AX12" s="495">
        <f t="shared" si="33"/>
        <v>0.4778163292152825</v>
      </c>
      <c r="AY12" s="493">
        <f t="shared" si="34"/>
        <v>0</v>
      </c>
      <c r="AZ12" s="494">
        <f t="shared" si="35"/>
        <v>0.27010545676292397</v>
      </c>
      <c r="BA12" s="495">
        <f t="shared" si="36"/>
        <v>0.4778163292152825</v>
      </c>
      <c r="BB12" s="556" t="s">
        <v>56</v>
      </c>
      <c r="BC12" s="482">
        <f t="shared" si="37"/>
        <v>46504.075601597753</v>
      </c>
      <c r="BD12" s="482">
        <f t="shared" si="37"/>
        <v>42527.702905061393</v>
      </c>
      <c r="BE12" s="482">
        <f t="shared" si="37"/>
        <v>33613.445378151264</v>
      </c>
      <c r="BF12" s="482">
        <f t="shared" si="37"/>
        <v>27099.876156479935</v>
      </c>
      <c r="BG12" s="482">
        <f t="shared" si="37"/>
        <v>23422.251138581658</v>
      </c>
      <c r="BH12" s="562">
        <f t="shared" si="37"/>
        <v>20029.191481201324</v>
      </c>
      <c r="BI12" s="556" t="s">
        <v>56</v>
      </c>
      <c r="BJ12" s="490">
        <f t="shared" si="42"/>
        <v>46504.07560159776</v>
      </c>
      <c r="BK12" s="490">
        <f t="shared" si="43"/>
        <v>42527.702905061393</v>
      </c>
      <c r="BL12" s="490">
        <f t="shared" si="44"/>
        <v>33613.445378151264</v>
      </c>
      <c r="BM12" s="490">
        <f t="shared" si="45"/>
        <v>27099.876156479935</v>
      </c>
      <c r="BN12" s="490">
        <f t="shared" si="46"/>
        <v>23422.251138581654</v>
      </c>
      <c r="BO12" s="491">
        <f t="shared" si="47"/>
        <v>20029.191481201324</v>
      </c>
    </row>
    <row r="13" spans="1:67" s="310" customFormat="1" ht="14.65" customHeight="1">
      <c r="A13" s="808" t="str">
        <f>'Compiled Articles'!G6</f>
        <v>Children's Toys (New)</v>
      </c>
      <c r="B13" s="400" t="s">
        <v>2741</v>
      </c>
      <c r="C13" s="808" t="str">
        <f>A13</f>
        <v>Children's Toys (New)</v>
      </c>
      <c r="D13" s="462">
        <v>0</v>
      </c>
      <c r="E13" s="583">
        <v>1</v>
      </c>
      <c r="F13" s="583">
        <v>1</v>
      </c>
      <c r="G13" s="573">
        <f>'Compiled Articles'!G12</f>
        <v>137</v>
      </c>
      <c r="H13" s="573">
        <f>'Compiled Articles'!$G$11</f>
        <v>365</v>
      </c>
      <c r="I13" s="573">
        <v>1</v>
      </c>
      <c r="J13" s="471">
        <f t="shared" si="1"/>
        <v>1.1129999999999999E-4</v>
      </c>
      <c r="K13" s="471">
        <f t="shared" si="2"/>
        <v>2.5413500000000001E-4</v>
      </c>
      <c r="L13" s="472" t="s">
        <v>3131</v>
      </c>
      <c r="M13" s="473">
        <f>(INDEX('Dermal Calcs'!$B$64:$H$70, MATCH($L13,'Dermal Calcs'!$A$64:$A$70, 0), MATCH(M$3, 'Dermal Calcs'!$B$63:$H$63, 0)))*$K13*$D13</f>
        <v>0</v>
      </c>
      <c r="N13" s="474">
        <f>(INDEX('Dermal Calcs'!$B$64:$H$70, MATCH($L13,'Dermal Calcs'!$A$64:$A$70, 0), MATCH(N$3, 'Dermal Calcs'!$B$63:$H$63, 0)))*$K13*$E13</f>
        <v>1.472989175977654E-3</v>
      </c>
      <c r="O13" s="474">
        <f>(INDEX('Dermal Calcs'!$B$64:$H$70, MATCH($L13,'Dermal Calcs'!$A$64:$A$70, 0), MATCH(O$3, 'Dermal Calcs'!$B$63:$H$63, 0)))*$K13*$E13</f>
        <v>1.6107147887323946E-3</v>
      </c>
      <c r="P13" s="476">
        <f>(INDEX('Dermal Calcs'!$B$64:$H$70, MATCH($L13,'Dermal Calcs'!$A$64:$A$70, 0), MATCH(P$3, 'Dermal Calcs'!$B$63:$H$63, 0)))*$K13*$F13</f>
        <v>2.0378749999999998E-3</v>
      </c>
      <c r="Q13" s="476">
        <f>(INDEX('Dermal Calcs'!$B$64:$H$70, MATCH($L13,'Dermal Calcs'!$A$64:$A$70, 0), MATCH(Q$3, 'Dermal Calcs'!$B$63:$H$63, 0)))*$K13*$F13</f>
        <v>2.5276868279569889E-3</v>
      </c>
      <c r="R13" s="476">
        <f>(INDEX('Dermal Calcs'!$B$64:$H$70, MATCH($L13,'Dermal Calcs'!$A$64:$A$70, 0), MATCH(R$3, 'Dermal Calcs'!$B$63:$H$63, 0)))*$K13*$F13</f>
        <v>2.924569444444444E-3</v>
      </c>
      <c r="S13" s="477">
        <f>(INDEX('Dermal Calcs'!$B$64:$H$70, MATCH($L13,'Dermal Calcs'!$A$64:$A$70, 0), MATCH(S$3, 'Dermal Calcs'!$B$63:$H$63, 0)))*$K13*$F13</f>
        <v>3.4200082446808511E-3</v>
      </c>
      <c r="T13" s="473">
        <f t="shared" si="3"/>
        <v>0</v>
      </c>
      <c r="U13" s="474">
        <f t="shared" si="4"/>
        <v>0.53764104923184375</v>
      </c>
      <c r="V13" s="474">
        <f t="shared" si="5"/>
        <v>0.58791089788732398</v>
      </c>
      <c r="W13" s="478">
        <f t="shared" si="6"/>
        <v>0.74382437499999987</v>
      </c>
      <c r="X13" s="478">
        <f t="shared" si="7"/>
        <v>0.922605692204301</v>
      </c>
      <c r="Y13" s="478">
        <f t="shared" si="8"/>
        <v>1.0674678472222221</v>
      </c>
      <c r="Z13" s="478">
        <f t="shared" si="9"/>
        <v>1.2483030093085106</v>
      </c>
      <c r="AA13" s="473">
        <f t="shared" si="10"/>
        <v>0</v>
      </c>
      <c r="AB13" s="474">
        <f t="shared" si="11"/>
        <v>1.472989175977654E-3</v>
      </c>
      <c r="AC13" s="474">
        <f t="shared" si="12"/>
        <v>1.6107147887323946E-3</v>
      </c>
      <c r="AD13" s="478">
        <f t="shared" si="13"/>
        <v>2.0378749999999998E-3</v>
      </c>
      <c r="AE13" s="478">
        <f t="shared" si="14"/>
        <v>2.5276868279569889E-3</v>
      </c>
      <c r="AF13" s="478">
        <f t="shared" si="15"/>
        <v>2.924569444444444E-3</v>
      </c>
      <c r="AG13" s="478">
        <f t="shared" si="16"/>
        <v>3.4200082446808511E-3</v>
      </c>
      <c r="AH13" s="479">
        <f t="shared" si="17"/>
        <v>0</v>
      </c>
      <c r="AI13" s="480">
        <f t="shared" si="18"/>
        <v>1.4729891759776543</v>
      </c>
      <c r="AJ13" s="480">
        <f t="shared" si="19"/>
        <v>1.6107147887323943</v>
      </c>
      <c r="AK13" s="480">
        <f t="shared" si="20"/>
        <v>2.0378749999999997</v>
      </c>
      <c r="AL13" s="480">
        <f t="shared" si="21"/>
        <v>2.5276868279569893</v>
      </c>
      <c r="AM13" s="480">
        <f t="shared" si="22"/>
        <v>2.9245694444444443</v>
      </c>
      <c r="AN13" s="481">
        <f t="shared" si="23"/>
        <v>3.4200082446808509</v>
      </c>
      <c r="AO13" s="480">
        <f t="shared" si="24"/>
        <v>0</v>
      </c>
      <c r="AP13" s="480">
        <f t="shared" si="25"/>
        <v>1.4729891759776539</v>
      </c>
      <c r="AQ13" s="480">
        <f t="shared" si="26"/>
        <v>1.6107147887323945</v>
      </c>
      <c r="AR13" s="480">
        <f t="shared" si="27"/>
        <v>2.0378749999999997</v>
      </c>
      <c r="AS13" s="480">
        <f t="shared" si="28"/>
        <v>2.5276868279569888</v>
      </c>
      <c r="AT13" s="480">
        <f t="shared" si="29"/>
        <v>2.9245694444444439</v>
      </c>
      <c r="AU13" s="481">
        <f t="shared" si="30"/>
        <v>3.4200082446808513</v>
      </c>
      <c r="AV13" s="473">
        <f t="shared" si="31"/>
        <v>0</v>
      </c>
      <c r="AW13" s="474">
        <f t="shared" si="32"/>
        <v>1.5418519823550245</v>
      </c>
      <c r="AX13" s="478">
        <f t="shared" si="33"/>
        <v>2.7275348792705705</v>
      </c>
      <c r="AY13" s="473">
        <f t="shared" si="34"/>
        <v>0</v>
      </c>
      <c r="AZ13" s="474">
        <f t="shared" si="35"/>
        <v>1.5418519823550243</v>
      </c>
      <c r="BA13" s="478">
        <f t="shared" si="36"/>
        <v>2.7275348792705709</v>
      </c>
      <c r="BB13" s="556" t="s">
        <v>56</v>
      </c>
      <c r="BC13" s="482">
        <f t="shared" si="37"/>
        <v>8146.6993754623782</v>
      </c>
      <c r="BD13" s="482">
        <f t="shared" si="37"/>
        <v>7450.108538112946</v>
      </c>
      <c r="BE13" s="482">
        <f t="shared" si="37"/>
        <v>5888.4867815739444</v>
      </c>
      <c r="BF13" s="482">
        <f t="shared" si="37"/>
        <v>4747.423560259258</v>
      </c>
      <c r="BG13" s="482">
        <f t="shared" si="37"/>
        <v>4103.1680826712382</v>
      </c>
      <c r="BH13" s="562">
        <f t="shared" si="37"/>
        <v>3508.7634711593564</v>
      </c>
      <c r="BI13" s="556" t="s">
        <v>56</v>
      </c>
      <c r="BJ13" s="490">
        <f t="shared" si="42"/>
        <v>8146.6993754623809</v>
      </c>
      <c r="BK13" s="490">
        <f t="shared" si="43"/>
        <v>7450.1085381129451</v>
      </c>
      <c r="BL13" s="490">
        <f t="shared" si="44"/>
        <v>5888.4867815739444</v>
      </c>
      <c r="BM13" s="490">
        <f t="shared" si="45"/>
        <v>4747.4235602592589</v>
      </c>
      <c r="BN13" s="490">
        <f t="shared" si="46"/>
        <v>4103.1680826712391</v>
      </c>
      <c r="BO13" s="491">
        <f t="shared" si="47"/>
        <v>3508.763471159356</v>
      </c>
    </row>
    <row r="14" spans="1:67" s="310" customFormat="1" ht="14.65" customHeight="1">
      <c r="A14" s="809"/>
      <c r="B14" s="400" t="s">
        <v>2790</v>
      </c>
      <c r="C14" s="809"/>
      <c r="D14" s="462">
        <v>0</v>
      </c>
      <c r="E14" s="583">
        <v>1</v>
      </c>
      <c r="F14" s="583">
        <v>1</v>
      </c>
      <c r="G14" s="573">
        <f>'Compiled Articles'!G13</f>
        <v>88</v>
      </c>
      <c r="H14" s="573">
        <f>'Compiled Articles'!$G$11</f>
        <v>365</v>
      </c>
      <c r="I14" s="573">
        <f>I13</f>
        <v>1</v>
      </c>
      <c r="J14" s="471">
        <f t="shared" si="1"/>
        <v>1.1129999999999999E-4</v>
      </c>
      <c r="K14" s="471">
        <f t="shared" si="2"/>
        <v>1.6323999999999999E-4</v>
      </c>
      <c r="L14" s="497" t="s">
        <v>3131</v>
      </c>
      <c r="M14" s="473">
        <f>(INDEX('Dermal Calcs'!$B$64:$H$70, MATCH($L14,'Dermal Calcs'!$A$64:$A$70, 0), MATCH(M$3, 'Dermal Calcs'!$B$63:$H$63, 0)))*$K14*$D14</f>
        <v>0</v>
      </c>
      <c r="N14" s="474">
        <f>(INDEX('Dermal Calcs'!$B$64:$H$70, MATCH($L14,'Dermal Calcs'!$A$64:$A$70, 0), MATCH(N$3, 'Dermal Calcs'!$B$63:$H$63, 0)))*$K14*$E14</f>
        <v>9.461536312849163E-4</v>
      </c>
      <c r="O14" s="474">
        <f>(INDEX('Dermal Calcs'!$B$64:$H$70, MATCH($L14,'Dermal Calcs'!$A$64:$A$70, 0), MATCH(O$3, 'Dermal Calcs'!$B$63:$H$63, 0)))*$K14*$E14</f>
        <v>1.0346197183098592E-3</v>
      </c>
      <c r="P14" s="476">
        <f>(INDEX('Dermal Calcs'!$B$64:$H$70, MATCH($L14,'Dermal Calcs'!$A$64:$A$70, 0), MATCH(P$3, 'Dermal Calcs'!$B$63:$H$63, 0)))*$K14*$F14</f>
        <v>1.3089999999999998E-3</v>
      </c>
      <c r="Q14" s="476">
        <f>(INDEX('Dermal Calcs'!$B$64:$H$70, MATCH($L14,'Dermal Calcs'!$A$64:$A$70, 0), MATCH(Q$3, 'Dermal Calcs'!$B$63:$H$63, 0)))*$K14*$F14</f>
        <v>1.6236236559139783E-3</v>
      </c>
      <c r="R14" s="476">
        <f>(INDEX('Dermal Calcs'!$B$64:$H$70, MATCH($L14,'Dermal Calcs'!$A$64:$A$70, 0), MATCH(R$3, 'Dermal Calcs'!$B$63:$H$63, 0)))*$K14*$F14</f>
        <v>1.8785555555555552E-3</v>
      </c>
      <c r="S14" s="477">
        <f>(INDEX('Dermal Calcs'!$B$64:$H$70, MATCH($L14,'Dermal Calcs'!$A$64:$A$70, 0), MATCH(S$3, 'Dermal Calcs'!$B$63:$H$63, 0)))*$K14*$F14</f>
        <v>2.1967936170212764E-3</v>
      </c>
      <c r="T14" s="486">
        <f t="shared" si="3"/>
        <v>0</v>
      </c>
      <c r="U14" s="487">
        <f t="shared" si="4"/>
        <v>0.34534607541899442</v>
      </c>
      <c r="V14" s="487">
        <f t="shared" si="5"/>
        <v>0.3776361971830986</v>
      </c>
      <c r="W14" s="488">
        <f t="shared" si="6"/>
        <v>0.47778499999999996</v>
      </c>
      <c r="X14" s="488">
        <f t="shared" si="7"/>
        <v>0.59262263440860208</v>
      </c>
      <c r="Y14" s="488">
        <f t="shared" si="8"/>
        <v>0.68567277777777769</v>
      </c>
      <c r="Z14" s="488">
        <f t="shared" si="9"/>
        <v>0.80182967021276585</v>
      </c>
      <c r="AA14" s="486">
        <f t="shared" si="10"/>
        <v>0</v>
      </c>
      <c r="AB14" s="487">
        <f t="shared" si="11"/>
        <v>9.461536312849163E-4</v>
      </c>
      <c r="AC14" s="487">
        <f t="shared" si="12"/>
        <v>1.0346197183098592E-3</v>
      </c>
      <c r="AD14" s="488">
        <f t="shared" si="13"/>
        <v>1.3089999999999998E-3</v>
      </c>
      <c r="AE14" s="488">
        <f t="shared" si="14"/>
        <v>1.6236236559139783E-3</v>
      </c>
      <c r="AF14" s="488">
        <f t="shared" si="15"/>
        <v>1.8785555555555552E-3</v>
      </c>
      <c r="AG14" s="488">
        <f t="shared" si="16"/>
        <v>2.1967936170212764E-3</v>
      </c>
      <c r="AH14" s="479">
        <f t="shared" si="17"/>
        <v>0</v>
      </c>
      <c r="AI14" s="480">
        <f t="shared" si="18"/>
        <v>0.94615363128491625</v>
      </c>
      <c r="AJ14" s="480">
        <f t="shared" si="19"/>
        <v>1.0346197183098591</v>
      </c>
      <c r="AK14" s="480">
        <f t="shared" si="20"/>
        <v>1.3089999999999999</v>
      </c>
      <c r="AL14" s="480">
        <f t="shared" si="21"/>
        <v>1.6236236559139783</v>
      </c>
      <c r="AM14" s="480">
        <f t="shared" si="22"/>
        <v>1.8785555555555553</v>
      </c>
      <c r="AN14" s="481">
        <f t="shared" si="23"/>
        <v>2.1967936170212763</v>
      </c>
      <c r="AO14" s="480">
        <f t="shared" si="24"/>
        <v>0</v>
      </c>
      <c r="AP14" s="480">
        <f t="shared" si="25"/>
        <v>0.94615363128491625</v>
      </c>
      <c r="AQ14" s="480">
        <f t="shared" si="26"/>
        <v>1.0346197183098591</v>
      </c>
      <c r="AR14" s="480">
        <f t="shared" si="27"/>
        <v>1.3089999999999999</v>
      </c>
      <c r="AS14" s="480">
        <f t="shared" si="28"/>
        <v>1.6236236559139783</v>
      </c>
      <c r="AT14" s="480">
        <f t="shared" si="29"/>
        <v>1.8785555555555551</v>
      </c>
      <c r="AU14" s="481">
        <f t="shared" si="30"/>
        <v>2.1967936170212763</v>
      </c>
      <c r="AV14" s="486">
        <f t="shared" si="31"/>
        <v>0</v>
      </c>
      <c r="AW14" s="487">
        <f t="shared" si="32"/>
        <v>0.99038667479738773</v>
      </c>
      <c r="AX14" s="488">
        <f t="shared" si="33"/>
        <v>1.7519932071227022</v>
      </c>
      <c r="AY14" s="486">
        <f t="shared" si="34"/>
        <v>0</v>
      </c>
      <c r="AZ14" s="487">
        <f t="shared" si="35"/>
        <v>0.99038667479738762</v>
      </c>
      <c r="BA14" s="488">
        <f t="shared" si="36"/>
        <v>1.7519932071227025</v>
      </c>
      <c r="BB14" s="556" t="s">
        <v>56</v>
      </c>
      <c r="BC14" s="482">
        <f t="shared" si="37"/>
        <v>12682.929709526663</v>
      </c>
      <c r="BD14" s="482">
        <f t="shared" si="37"/>
        <v>11598.464428653109</v>
      </c>
      <c r="BE14" s="482">
        <f t="shared" si="37"/>
        <v>9167.3032849503434</v>
      </c>
      <c r="BF14" s="482">
        <f t="shared" si="37"/>
        <v>7390.8753154036185</v>
      </c>
      <c r="BG14" s="482">
        <f t="shared" si="37"/>
        <v>6387.8866741586335</v>
      </c>
      <c r="BH14" s="562">
        <f t="shared" si="37"/>
        <v>5462.5067676003619</v>
      </c>
      <c r="BI14" s="556" t="s">
        <v>56</v>
      </c>
      <c r="BJ14" s="490">
        <f t="shared" si="42"/>
        <v>12682.929709526663</v>
      </c>
      <c r="BK14" s="490">
        <f t="shared" si="43"/>
        <v>11598.464428653109</v>
      </c>
      <c r="BL14" s="490">
        <f t="shared" si="44"/>
        <v>9167.3032849503434</v>
      </c>
      <c r="BM14" s="490">
        <f t="shared" si="45"/>
        <v>7390.8753154036185</v>
      </c>
      <c r="BN14" s="490">
        <f t="shared" si="46"/>
        <v>6387.8866741586344</v>
      </c>
      <c r="BO14" s="491">
        <f t="shared" si="47"/>
        <v>5462.5067676003619</v>
      </c>
    </row>
    <row r="15" spans="1:67" s="496" customFormat="1" ht="14.65" customHeight="1">
      <c r="A15" s="810"/>
      <c r="B15" s="492" t="s">
        <v>2745</v>
      </c>
      <c r="C15" s="810"/>
      <c r="D15" s="465">
        <v>0</v>
      </c>
      <c r="E15" s="466">
        <v>1</v>
      </c>
      <c r="F15" s="466">
        <v>1</v>
      </c>
      <c r="G15" s="573">
        <f>'Compiled Articles'!G14</f>
        <v>24</v>
      </c>
      <c r="H15" s="573">
        <f>'Compiled Articles'!$G$11</f>
        <v>365</v>
      </c>
      <c r="I15" s="573">
        <f>I13</f>
        <v>1</v>
      </c>
      <c r="J15" s="471">
        <f t="shared" si="1"/>
        <v>1.1129999999999999E-4</v>
      </c>
      <c r="K15" s="471">
        <f t="shared" si="2"/>
        <v>4.4520000000000001E-5</v>
      </c>
      <c r="L15" s="498" t="s">
        <v>3131</v>
      </c>
      <c r="M15" s="473">
        <f>(INDEX('Dermal Calcs'!$B$64:$H$70, MATCH($L15,'Dermal Calcs'!$A$64:$A$70, 0), MATCH(M$3, 'Dermal Calcs'!$B$63:$H$63, 0)))*$K15*$D15</f>
        <v>0</v>
      </c>
      <c r="N15" s="474">
        <f>(INDEX('Dermal Calcs'!$B$64:$H$70, MATCH($L15,'Dermal Calcs'!$A$64:$A$70, 0), MATCH(N$3, 'Dermal Calcs'!$B$63:$H$63, 0)))*$K15*$E15</f>
        <v>2.5804189944134083E-4</v>
      </c>
      <c r="O15" s="474">
        <f>(INDEX('Dermal Calcs'!$B$64:$H$70, MATCH($L15,'Dermal Calcs'!$A$64:$A$70, 0), MATCH(O$3, 'Dermal Calcs'!$B$63:$H$63, 0)))*$K15*$E15</f>
        <v>2.8216901408450708E-4</v>
      </c>
      <c r="P15" s="476">
        <f>(INDEX('Dermal Calcs'!$B$64:$H$70, MATCH($L15,'Dermal Calcs'!$A$64:$A$70, 0), MATCH(P$3, 'Dermal Calcs'!$B$63:$H$63, 0)))*$K15*$F15</f>
        <v>3.5699999999999995E-4</v>
      </c>
      <c r="Q15" s="476">
        <f>(INDEX('Dermal Calcs'!$B$64:$H$70, MATCH($L15,'Dermal Calcs'!$A$64:$A$70, 0), MATCH(Q$3, 'Dermal Calcs'!$B$63:$H$63, 0)))*$K15*$F15</f>
        <v>4.4280645161290318E-4</v>
      </c>
      <c r="R15" s="476">
        <f>(INDEX('Dermal Calcs'!$B$64:$H$70, MATCH($L15,'Dermal Calcs'!$A$64:$A$70, 0), MATCH(R$3, 'Dermal Calcs'!$B$63:$H$63, 0)))*$K15*$F15</f>
        <v>5.1233333333333328E-4</v>
      </c>
      <c r="S15" s="477">
        <f>(INDEX('Dermal Calcs'!$B$64:$H$70, MATCH($L15,'Dermal Calcs'!$A$64:$A$70, 0), MATCH(S$3, 'Dermal Calcs'!$B$63:$H$63, 0)))*$K15*$F15</f>
        <v>5.9912553191489369E-4</v>
      </c>
      <c r="T15" s="493">
        <f t="shared" si="3"/>
        <v>0</v>
      </c>
      <c r="U15" s="494">
        <f t="shared" si="4"/>
        <v>9.4185293296089406E-2</v>
      </c>
      <c r="V15" s="494">
        <f t="shared" si="5"/>
        <v>0.10299169014084508</v>
      </c>
      <c r="W15" s="495">
        <f t="shared" si="6"/>
        <v>0.13030499999999998</v>
      </c>
      <c r="X15" s="495">
        <f t="shared" si="7"/>
        <v>0.16162435483870966</v>
      </c>
      <c r="Y15" s="495">
        <f t="shared" si="8"/>
        <v>0.18700166666666665</v>
      </c>
      <c r="Z15" s="495">
        <f t="shared" si="9"/>
        <v>0.2186808191489362</v>
      </c>
      <c r="AA15" s="493">
        <f t="shared" si="10"/>
        <v>0</v>
      </c>
      <c r="AB15" s="494">
        <f t="shared" si="11"/>
        <v>2.5804189944134083E-4</v>
      </c>
      <c r="AC15" s="494">
        <f t="shared" si="12"/>
        <v>2.8216901408450708E-4</v>
      </c>
      <c r="AD15" s="495">
        <f t="shared" si="13"/>
        <v>3.5699999999999995E-4</v>
      </c>
      <c r="AE15" s="495">
        <f t="shared" si="14"/>
        <v>4.4280645161290318E-4</v>
      </c>
      <c r="AF15" s="495">
        <f t="shared" si="15"/>
        <v>5.1233333333333328E-4</v>
      </c>
      <c r="AG15" s="495">
        <f t="shared" si="16"/>
        <v>5.9912553191489369E-4</v>
      </c>
      <c r="AH15" s="479">
        <f t="shared" si="17"/>
        <v>0</v>
      </c>
      <c r="AI15" s="480">
        <f t="shared" si="18"/>
        <v>0.25804189944134087</v>
      </c>
      <c r="AJ15" s="480">
        <f t="shared" si="19"/>
        <v>0.28216901408450706</v>
      </c>
      <c r="AK15" s="480">
        <f t="shared" si="20"/>
        <v>0.35699999999999993</v>
      </c>
      <c r="AL15" s="480">
        <f t="shared" si="21"/>
        <v>0.44280645161290316</v>
      </c>
      <c r="AM15" s="480">
        <f t="shared" si="22"/>
        <v>0.5123333333333332</v>
      </c>
      <c r="AN15" s="481">
        <f t="shared" si="23"/>
        <v>0.59912553191489371</v>
      </c>
      <c r="AO15" s="480">
        <f t="shared" si="24"/>
        <v>0</v>
      </c>
      <c r="AP15" s="480">
        <f t="shared" si="25"/>
        <v>0.25804189944134082</v>
      </c>
      <c r="AQ15" s="480">
        <f t="shared" si="26"/>
        <v>0.28216901408450706</v>
      </c>
      <c r="AR15" s="480">
        <f t="shared" si="27"/>
        <v>0.35699999999999993</v>
      </c>
      <c r="AS15" s="480">
        <f t="shared" si="28"/>
        <v>0.44280645161290316</v>
      </c>
      <c r="AT15" s="480">
        <f t="shared" si="29"/>
        <v>0.51233333333333331</v>
      </c>
      <c r="AU15" s="481">
        <f t="shared" si="30"/>
        <v>0.59912553191489371</v>
      </c>
      <c r="AV15" s="493">
        <f t="shared" si="31"/>
        <v>0</v>
      </c>
      <c r="AW15" s="494">
        <f t="shared" si="32"/>
        <v>0.27010545676292397</v>
      </c>
      <c r="AX15" s="495">
        <f t="shared" si="33"/>
        <v>0.4778163292152825</v>
      </c>
      <c r="AY15" s="493">
        <f t="shared" si="34"/>
        <v>0</v>
      </c>
      <c r="AZ15" s="494">
        <f t="shared" si="35"/>
        <v>0.27010545676292397</v>
      </c>
      <c r="BA15" s="495">
        <f t="shared" si="36"/>
        <v>0.4778163292152825</v>
      </c>
      <c r="BB15" s="556" t="s">
        <v>56</v>
      </c>
      <c r="BC15" s="482">
        <f t="shared" si="37"/>
        <v>46504.075601597753</v>
      </c>
      <c r="BD15" s="482">
        <f t="shared" si="37"/>
        <v>42527.702905061393</v>
      </c>
      <c r="BE15" s="482">
        <f t="shared" si="37"/>
        <v>33613.445378151264</v>
      </c>
      <c r="BF15" s="482">
        <f t="shared" si="37"/>
        <v>27099.876156479935</v>
      </c>
      <c r="BG15" s="482">
        <f t="shared" si="37"/>
        <v>23422.251138581658</v>
      </c>
      <c r="BH15" s="562">
        <f t="shared" si="37"/>
        <v>20029.191481201324</v>
      </c>
      <c r="BI15" s="556" t="s">
        <v>56</v>
      </c>
      <c r="BJ15" s="490">
        <f t="shared" si="42"/>
        <v>46504.07560159776</v>
      </c>
      <c r="BK15" s="490">
        <f t="shared" si="43"/>
        <v>42527.702905061393</v>
      </c>
      <c r="BL15" s="490">
        <f t="shared" si="44"/>
        <v>33613.445378151264</v>
      </c>
      <c r="BM15" s="490">
        <f t="shared" si="45"/>
        <v>27099.876156479935</v>
      </c>
      <c r="BN15" s="490">
        <f t="shared" si="46"/>
        <v>23422.251138581654</v>
      </c>
      <c r="BO15" s="491">
        <f t="shared" si="47"/>
        <v>20029.191481201324</v>
      </c>
    </row>
    <row r="16" spans="1:67" s="310" customFormat="1" ht="14.65" customHeight="1">
      <c r="A16" s="808" t="str">
        <f>'Compiled Articles'!H6</f>
        <v>Clothing (Synthetic Leather)</v>
      </c>
      <c r="B16" s="400" t="s">
        <v>2741</v>
      </c>
      <c r="C16" s="808" t="str">
        <f>A16</f>
        <v>Clothing (Synthetic Leather)</v>
      </c>
      <c r="D16" s="462">
        <v>1</v>
      </c>
      <c r="E16" s="583">
        <v>1</v>
      </c>
      <c r="F16" s="583">
        <v>0</v>
      </c>
      <c r="G16" s="573">
        <f>'Compiled Articles'!H12</f>
        <v>480</v>
      </c>
      <c r="H16" s="573">
        <f>'Compiled Articles'!$H$11</f>
        <v>52</v>
      </c>
      <c r="I16" s="573">
        <v>1</v>
      </c>
      <c r="J16" s="471">
        <f t="shared" si="1"/>
        <v>1.1129999999999999E-4</v>
      </c>
      <c r="K16" s="471">
        <f t="shared" si="2"/>
        <v>8.9039999999999996E-4</v>
      </c>
      <c r="L16" s="472" t="s">
        <v>3133</v>
      </c>
      <c r="M16" s="473">
        <f>(INDEX('Dermal Calcs'!$B$64:$H$70, MATCH($L16,'Dermal Calcs'!$A$64:$A$70, 0), MATCH(M$3, 'Dermal Calcs'!$B$63:$H$63, 0)))*$K16*$D16</f>
        <v>0.10946899204924337</v>
      </c>
      <c r="N16" s="474">
        <f>(INDEX('Dermal Calcs'!$B$64:$H$70, MATCH($L16,'Dermal Calcs'!$A$64:$A$70, 0), MATCH(N$3, 'Dermal Calcs'!$B$63:$H$63, 0)))*$K16*$E16</f>
        <v>0.11440893854748604</v>
      </c>
      <c r="O16" s="474">
        <f>(INDEX('Dermal Calcs'!$B$64:$H$70, MATCH($L16,'Dermal Calcs'!$A$64:$A$70, 0), MATCH(O$3, 'Dermal Calcs'!$B$63:$H$63, 0)))*$K16*$E16</f>
        <v>0.12462464788732394</v>
      </c>
      <c r="P16" s="476">
        <f>(INDEX('Dermal Calcs'!$B$64:$H$70, MATCH($L16,'Dermal Calcs'!$A$64:$A$70, 0), MATCH(P$3, 'Dermal Calcs'!$B$63:$H$63, 0)))*$K16*$F16</f>
        <v>0</v>
      </c>
      <c r="Q16" s="476">
        <f>(INDEX('Dermal Calcs'!$B$64:$H$70, MATCH($L16,'Dermal Calcs'!$A$64:$A$70, 0), MATCH(Q$3, 'Dermal Calcs'!$B$63:$H$63, 0)))*$K16*$F16</f>
        <v>0</v>
      </c>
      <c r="R16" s="476">
        <f>(INDEX('Dermal Calcs'!$B$64:$H$70, MATCH($L16,'Dermal Calcs'!$A$64:$A$70, 0), MATCH(R$3, 'Dermal Calcs'!$B$63:$H$63, 0)))*$K16*$F16</f>
        <v>0</v>
      </c>
      <c r="S16" s="477">
        <f>(INDEX('Dermal Calcs'!$B$64:$H$70, MATCH($L16,'Dermal Calcs'!$A$64:$A$70, 0), MATCH(S$3, 'Dermal Calcs'!$B$63:$H$63, 0)))*$K16*$F16</f>
        <v>0</v>
      </c>
      <c r="T16" s="473">
        <f t="shared" si="3"/>
        <v>5.6923875865606552</v>
      </c>
      <c r="U16" s="474">
        <f t="shared" si="4"/>
        <v>5.9492648044692746</v>
      </c>
      <c r="V16" s="474">
        <f t="shared" si="5"/>
        <v>6.4804816901408451</v>
      </c>
      <c r="W16" s="478">
        <f t="shared" si="6"/>
        <v>0</v>
      </c>
      <c r="X16" s="478">
        <f t="shared" si="7"/>
        <v>0</v>
      </c>
      <c r="Y16" s="478">
        <f t="shared" si="8"/>
        <v>0</v>
      </c>
      <c r="Z16" s="478">
        <f t="shared" si="9"/>
        <v>0</v>
      </c>
      <c r="AA16" s="473">
        <f t="shared" si="10"/>
        <v>0.10946899204924337</v>
      </c>
      <c r="AB16" s="474">
        <f t="shared" si="11"/>
        <v>0.11440893854748604</v>
      </c>
      <c r="AC16" s="474">
        <f t="shared" si="12"/>
        <v>0.12462464788732394</v>
      </c>
      <c r="AD16" s="478">
        <f t="shared" si="13"/>
        <v>0</v>
      </c>
      <c r="AE16" s="478">
        <f t="shared" si="14"/>
        <v>0</v>
      </c>
      <c r="AF16" s="478">
        <f t="shared" si="15"/>
        <v>0</v>
      </c>
      <c r="AG16" s="478">
        <f t="shared" si="16"/>
        <v>0</v>
      </c>
      <c r="AH16" s="479">
        <f t="shared" si="17"/>
        <v>15.595582428933302</v>
      </c>
      <c r="AI16" s="480">
        <f t="shared" si="18"/>
        <v>16.299355628682946</v>
      </c>
      <c r="AJ16" s="480">
        <f t="shared" si="19"/>
        <v>17.754744356550258</v>
      </c>
      <c r="AK16" s="480">
        <f t="shared" si="20"/>
        <v>0</v>
      </c>
      <c r="AL16" s="480">
        <f t="shared" si="21"/>
        <v>0</v>
      </c>
      <c r="AM16" s="480">
        <f t="shared" si="22"/>
        <v>0</v>
      </c>
      <c r="AN16" s="481">
        <f t="shared" si="23"/>
        <v>0</v>
      </c>
      <c r="AO16" s="480">
        <f t="shared" si="24"/>
        <v>109.46899204924337</v>
      </c>
      <c r="AP16" s="480">
        <f t="shared" si="25"/>
        <v>114.40893854748604</v>
      </c>
      <c r="AQ16" s="480">
        <f t="shared" si="26"/>
        <v>124.62464788732395</v>
      </c>
      <c r="AR16" s="480">
        <f t="shared" si="27"/>
        <v>0</v>
      </c>
      <c r="AS16" s="480">
        <f t="shared" si="28"/>
        <v>0</v>
      </c>
      <c r="AT16" s="480">
        <f t="shared" si="29"/>
        <v>0</v>
      </c>
      <c r="AU16" s="481">
        <f t="shared" si="30"/>
        <v>0</v>
      </c>
      <c r="AV16" s="473">
        <f t="shared" si="31"/>
        <v>15.595582428933302</v>
      </c>
      <c r="AW16" s="474">
        <f t="shared" si="32"/>
        <v>17.0270499926166</v>
      </c>
      <c r="AX16" s="478">
        <f t="shared" si="33"/>
        <v>0</v>
      </c>
      <c r="AY16" s="473">
        <f t="shared" si="34"/>
        <v>109.46899204924337</v>
      </c>
      <c r="AZ16" s="474">
        <f t="shared" si="35"/>
        <v>119.516793217405</v>
      </c>
      <c r="BA16" s="478">
        <f t="shared" si="36"/>
        <v>0</v>
      </c>
      <c r="BB16" s="561">
        <f t="shared" si="40"/>
        <v>769.44865988058962</v>
      </c>
      <c r="BC16" s="482">
        <f t="shared" si="37"/>
        <v>736.22542346906562</v>
      </c>
      <c r="BD16" s="482">
        <f t="shared" si="37"/>
        <v>675.87568477564923</v>
      </c>
      <c r="BE16" s="483" t="s">
        <v>56</v>
      </c>
      <c r="BF16" s="483" t="s">
        <v>56</v>
      </c>
      <c r="BG16" s="483" t="s">
        <v>56</v>
      </c>
      <c r="BH16" s="555" t="s">
        <v>56</v>
      </c>
      <c r="BI16" s="489">
        <f t="shared" si="41"/>
        <v>109.62008305148126</v>
      </c>
      <c r="BJ16" s="490">
        <f t="shared" si="42"/>
        <v>104.88690964490799</v>
      </c>
      <c r="BK16" s="490">
        <f t="shared" si="43"/>
        <v>96.2891386529692</v>
      </c>
      <c r="BL16" s="483" t="s">
        <v>56</v>
      </c>
      <c r="BM16" s="483" t="s">
        <v>56</v>
      </c>
      <c r="BN16" s="483" t="s">
        <v>56</v>
      </c>
      <c r="BO16" s="555" t="s">
        <v>56</v>
      </c>
    </row>
    <row r="17" spans="1:67" s="310" customFormat="1" ht="14.65" customHeight="1">
      <c r="A17" s="809"/>
      <c r="B17" s="400" t="s">
        <v>2790</v>
      </c>
      <c r="C17" s="809"/>
      <c r="D17" s="462">
        <v>1</v>
      </c>
      <c r="E17" s="583">
        <v>1</v>
      </c>
      <c r="F17" s="583">
        <v>0</v>
      </c>
      <c r="G17" s="573">
        <f>'Compiled Articles'!H13</f>
        <v>240</v>
      </c>
      <c r="H17" s="573">
        <f>'Compiled Articles'!$H$11</f>
        <v>52</v>
      </c>
      <c r="I17" s="573">
        <f>I16</f>
        <v>1</v>
      </c>
      <c r="J17" s="471">
        <f t="shared" si="1"/>
        <v>1.1129999999999999E-4</v>
      </c>
      <c r="K17" s="471">
        <f t="shared" si="2"/>
        <v>4.4519999999999998E-4</v>
      </c>
      <c r="L17" s="497" t="s">
        <v>3134</v>
      </c>
      <c r="M17" s="473">
        <f>(INDEX('Dermal Calcs'!$B$64:$H$70, MATCH($L17,'Dermal Calcs'!$A$64:$A$70, 0), MATCH(M$3, 'Dermal Calcs'!$B$63:$H$63, 0)))*$K17*$D17</f>
        <v>7.0133925365478316E-3</v>
      </c>
      <c r="N17" s="474">
        <f>(INDEX('Dermal Calcs'!$B$64:$H$70, MATCH($L17,'Dermal Calcs'!$A$64:$A$70, 0), MATCH(N$3, 'Dermal Calcs'!$B$63:$H$63, 0)))*$K17*$E17</f>
        <v>6.6375837988826812E-3</v>
      </c>
      <c r="O17" s="474">
        <f>(INDEX('Dermal Calcs'!$B$64:$H$70, MATCH($L17,'Dermal Calcs'!$A$64:$A$70, 0), MATCH(O$3, 'Dermal Calcs'!$B$63:$H$63, 0)))*$K17*$E17</f>
        <v>7.2893661971830991E-3</v>
      </c>
      <c r="P17" s="476">
        <f>(INDEX('Dermal Calcs'!$B$64:$H$70, MATCH($L17,'Dermal Calcs'!$A$64:$A$70, 0), MATCH(P$3, 'Dermal Calcs'!$B$63:$H$63, 0)))*$K17*$F17</f>
        <v>0</v>
      </c>
      <c r="Q17" s="476">
        <f>(INDEX('Dermal Calcs'!$B$64:$H$70, MATCH($L17,'Dermal Calcs'!$A$64:$A$70, 0), MATCH(Q$3, 'Dermal Calcs'!$B$63:$H$63, 0)))*$K17*$F17</f>
        <v>0</v>
      </c>
      <c r="R17" s="476">
        <f>(INDEX('Dermal Calcs'!$B$64:$H$70, MATCH($L17,'Dermal Calcs'!$A$64:$A$70, 0), MATCH(R$3, 'Dermal Calcs'!$B$63:$H$63, 0)))*$K17*$F17</f>
        <v>0</v>
      </c>
      <c r="S17" s="477">
        <f>(INDEX('Dermal Calcs'!$B$64:$H$70, MATCH($L17,'Dermal Calcs'!$A$64:$A$70, 0), MATCH(S$3, 'Dermal Calcs'!$B$63:$H$63, 0)))*$K17*$F17</f>
        <v>0</v>
      </c>
      <c r="T17" s="486">
        <f t="shared" si="3"/>
        <v>0.36469641190048724</v>
      </c>
      <c r="U17" s="487">
        <f t="shared" si="4"/>
        <v>0.34515435754189944</v>
      </c>
      <c r="V17" s="487">
        <f t="shared" si="5"/>
        <v>0.37904704225352115</v>
      </c>
      <c r="W17" s="488">
        <f t="shared" si="6"/>
        <v>0</v>
      </c>
      <c r="X17" s="488">
        <f t="shared" si="7"/>
        <v>0</v>
      </c>
      <c r="Y17" s="488">
        <f t="shared" si="8"/>
        <v>0</v>
      </c>
      <c r="Z17" s="488">
        <f t="shared" si="9"/>
        <v>0</v>
      </c>
      <c r="AA17" s="486">
        <f t="shared" si="10"/>
        <v>7.0133925365478316E-3</v>
      </c>
      <c r="AB17" s="487">
        <f t="shared" si="11"/>
        <v>6.6375837988826812E-3</v>
      </c>
      <c r="AC17" s="487">
        <f t="shared" si="12"/>
        <v>7.2893661971830991E-3</v>
      </c>
      <c r="AD17" s="488">
        <f t="shared" si="13"/>
        <v>0</v>
      </c>
      <c r="AE17" s="488">
        <f t="shared" si="14"/>
        <v>0</v>
      </c>
      <c r="AF17" s="488">
        <f t="shared" si="15"/>
        <v>0</v>
      </c>
      <c r="AG17" s="488">
        <f t="shared" si="16"/>
        <v>0</v>
      </c>
      <c r="AH17" s="479">
        <f t="shared" si="17"/>
        <v>0.99916825178215685</v>
      </c>
      <c r="AI17" s="480">
        <f t="shared" si="18"/>
        <v>0.94562837682712175</v>
      </c>
      <c r="AJ17" s="480">
        <f t="shared" si="19"/>
        <v>1.038485047269921</v>
      </c>
      <c r="AK17" s="480">
        <f t="shared" si="20"/>
        <v>0</v>
      </c>
      <c r="AL17" s="480">
        <f t="shared" si="21"/>
        <v>0</v>
      </c>
      <c r="AM17" s="480">
        <f t="shared" si="22"/>
        <v>0</v>
      </c>
      <c r="AN17" s="481">
        <f t="shared" si="23"/>
        <v>0</v>
      </c>
      <c r="AO17" s="480">
        <f t="shared" si="24"/>
        <v>7.0133925365478316</v>
      </c>
      <c r="AP17" s="480">
        <f t="shared" si="25"/>
        <v>6.6375837988826811</v>
      </c>
      <c r="AQ17" s="480">
        <f t="shared" si="26"/>
        <v>7.2893661971830994</v>
      </c>
      <c r="AR17" s="480">
        <f t="shared" si="27"/>
        <v>0</v>
      </c>
      <c r="AS17" s="480">
        <f t="shared" si="28"/>
        <v>0</v>
      </c>
      <c r="AT17" s="480">
        <f t="shared" si="29"/>
        <v>0</v>
      </c>
      <c r="AU17" s="481">
        <f t="shared" si="30"/>
        <v>0</v>
      </c>
      <c r="AV17" s="486">
        <f t="shared" si="31"/>
        <v>0.99916825178215685</v>
      </c>
      <c r="AW17" s="487">
        <f t="shared" si="32"/>
        <v>0.99205671204852153</v>
      </c>
      <c r="AX17" s="488">
        <f t="shared" si="33"/>
        <v>0</v>
      </c>
      <c r="AY17" s="486">
        <f t="shared" si="34"/>
        <v>7.0133925365478316</v>
      </c>
      <c r="AZ17" s="487">
        <f t="shared" si="35"/>
        <v>6.9634749980328898</v>
      </c>
      <c r="BA17" s="488">
        <f t="shared" si="36"/>
        <v>0</v>
      </c>
      <c r="BB17" s="561">
        <f t="shared" si="40"/>
        <v>12009.989287185932</v>
      </c>
      <c r="BC17" s="482">
        <f t="shared" si="37"/>
        <v>12689.974512253686</v>
      </c>
      <c r="BD17" s="482">
        <f t="shared" si="37"/>
        <v>11555.293965519162</v>
      </c>
      <c r="BE17" s="483" t="s">
        <v>56</v>
      </c>
      <c r="BF17" s="483" t="s">
        <v>56</v>
      </c>
      <c r="BG17" s="483" t="s">
        <v>56</v>
      </c>
      <c r="BH17" s="555" t="s">
        <v>56</v>
      </c>
      <c r="BI17" s="489">
        <f t="shared" si="41"/>
        <v>1711.0121724210096</v>
      </c>
      <c r="BJ17" s="490">
        <f t="shared" si="42"/>
        <v>1807.8867798279227</v>
      </c>
      <c r="BK17" s="490">
        <f t="shared" si="43"/>
        <v>1646.233660841086</v>
      </c>
      <c r="BL17" s="483" t="s">
        <v>56</v>
      </c>
      <c r="BM17" s="483" t="s">
        <v>56</v>
      </c>
      <c r="BN17" s="483" t="s">
        <v>56</v>
      </c>
      <c r="BO17" s="555" t="s">
        <v>56</v>
      </c>
    </row>
    <row r="18" spans="1:67" s="496" customFormat="1" ht="14.65" customHeight="1">
      <c r="A18" s="810"/>
      <c r="B18" s="492" t="s">
        <v>2745</v>
      </c>
      <c r="C18" s="810"/>
      <c r="D18" s="465">
        <v>1</v>
      </c>
      <c r="E18" s="466">
        <v>1</v>
      </c>
      <c r="F18" s="466">
        <v>0</v>
      </c>
      <c r="G18" s="573">
        <f>'Compiled Articles'!H14</f>
        <v>120</v>
      </c>
      <c r="H18" s="573">
        <f>'Compiled Articles'!$H$11</f>
        <v>52</v>
      </c>
      <c r="I18" s="573">
        <f>I16</f>
        <v>1</v>
      </c>
      <c r="J18" s="471">
        <f t="shared" si="1"/>
        <v>1.1129999999999999E-4</v>
      </c>
      <c r="K18" s="471">
        <f t="shared" si="2"/>
        <v>2.2259999999999999E-4</v>
      </c>
      <c r="L18" s="498" t="s">
        <v>3131</v>
      </c>
      <c r="M18" s="473">
        <f>(INDEX('Dermal Calcs'!$B$64:$H$70, MATCH($L18,'Dermal Calcs'!$A$64:$A$70, 0), MATCH(M$3, 'Dermal Calcs'!$B$63:$H$63, 0)))*$K18*$D18</f>
        <v>1.3787612208258531E-3</v>
      </c>
      <c r="N18" s="474">
        <f>(INDEX('Dermal Calcs'!$B$64:$H$70, MATCH($L18,'Dermal Calcs'!$A$64:$A$70, 0), MATCH(N$3, 'Dermal Calcs'!$B$63:$H$63, 0)))*$K18*$E18</f>
        <v>1.290209497206704E-3</v>
      </c>
      <c r="O18" s="474">
        <f>(INDEX('Dermal Calcs'!$B$64:$H$70, MATCH($L18,'Dermal Calcs'!$A$64:$A$70, 0), MATCH(O$3, 'Dermal Calcs'!$B$63:$H$63, 0)))*$K18*$E18</f>
        <v>1.4108450704225352E-3</v>
      </c>
      <c r="P18" s="476">
        <f>(INDEX('Dermal Calcs'!$B$64:$H$70, MATCH($L18,'Dermal Calcs'!$A$64:$A$70, 0), MATCH(P$3, 'Dermal Calcs'!$B$63:$H$63, 0)))*$K18*$F18</f>
        <v>0</v>
      </c>
      <c r="Q18" s="476">
        <f>(INDEX('Dermal Calcs'!$B$64:$H$70, MATCH($L18,'Dermal Calcs'!$A$64:$A$70, 0), MATCH(Q$3, 'Dermal Calcs'!$B$63:$H$63, 0)))*$K18*$F18</f>
        <v>0</v>
      </c>
      <c r="R18" s="476">
        <f>(INDEX('Dermal Calcs'!$B$64:$H$70, MATCH($L18,'Dermal Calcs'!$A$64:$A$70, 0), MATCH(R$3, 'Dermal Calcs'!$B$63:$H$63, 0)))*$K18*$F18</f>
        <v>0</v>
      </c>
      <c r="S18" s="477">
        <f>(INDEX('Dermal Calcs'!$B$64:$H$70, MATCH($L18,'Dermal Calcs'!$A$64:$A$70, 0), MATCH(S$3, 'Dermal Calcs'!$B$63:$H$63, 0)))*$K18*$F18</f>
        <v>0</v>
      </c>
      <c r="T18" s="493">
        <f t="shared" si="3"/>
        <v>7.1695583482944358E-2</v>
      </c>
      <c r="U18" s="494">
        <f t="shared" si="4"/>
        <v>6.7090893854748604E-2</v>
      </c>
      <c r="V18" s="494">
        <f t="shared" si="5"/>
        <v>7.3363943661971825E-2</v>
      </c>
      <c r="W18" s="495">
        <f t="shared" si="6"/>
        <v>0</v>
      </c>
      <c r="X18" s="495">
        <f t="shared" si="7"/>
        <v>0</v>
      </c>
      <c r="Y18" s="495">
        <f t="shared" si="8"/>
        <v>0</v>
      </c>
      <c r="Z18" s="495">
        <f t="shared" si="9"/>
        <v>0</v>
      </c>
      <c r="AA18" s="493">
        <f t="shared" si="10"/>
        <v>1.3787612208258531E-3</v>
      </c>
      <c r="AB18" s="494">
        <f t="shared" si="11"/>
        <v>1.290209497206704E-3</v>
      </c>
      <c r="AC18" s="494">
        <f t="shared" si="12"/>
        <v>1.4108450704225352E-3</v>
      </c>
      <c r="AD18" s="495">
        <f t="shared" si="13"/>
        <v>0</v>
      </c>
      <c r="AE18" s="495">
        <f t="shared" si="14"/>
        <v>0</v>
      </c>
      <c r="AF18" s="495">
        <f t="shared" si="15"/>
        <v>0</v>
      </c>
      <c r="AG18" s="495">
        <f t="shared" si="16"/>
        <v>0</v>
      </c>
      <c r="AH18" s="479">
        <f t="shared" si="17"/>
        <v>0.19642625611765577</v>
      </c>
      <c r="AI18" s="480">
        <f t="shared" si="18"/>
        <v>0.18381066809520163</v>
      </c>
      <c r="AJ18" s="480">
        <f t="shared" si="19"/>
        <v>0.20099710592321049</v>
      </c>
      <c r="AK18" s="480">
        <f t="shared" si="20"/>
        <v>0</v>
      </c>
      <c r="AL18" s="480">
        <f t="shared" si="21"/>
        <v>0</v>
      </c>
      <c r="AM18" s="480">
        <f t="shared" si="22"/>
        <v>0</v>
      </c>
      <c r="AN18" s="481">
        <f t="shared" si="23"/>
        <v>0</v>
      </c>
      <c r="AO18" s="480">
        <f t="shared" si="24"/>
        <v>1.3787612208258531</v>
      </c>
      <c r="AP18" s="480">
        <f t="shared" si="25"/>
        <v>1.290209497206704</v>
      </c>
      <c r="AQ18" s="480">
        <f t="shared" si="26"/>
        <v>1.4108450704225353</v>
      </c>
      <c r="AR18" s="480">
        <f t="shared" si="27"/>
        <v>0</v>
      </c>
      <c r="AS18" s="480">
        <f t="shared" si="28"/>
        <v>0</v>
      </c>
      <c r="AT18" s="480">
        <f t="shared" si="29"/>
        <v>0</v>
      </c>
      <c r="AU18" s="481">
        <f t="shared" si="30"/>
        <v>0</v>
      </c>
      <c r="AV18" s="493">
        <f t="shared" si="31"/>
        <v>0.19642625611765577</v>
      </c>
      <c r="AW18" s="494">
        <f t="shared" si="32"/>
        <v>0.19240388700920608</v>
      </c>
      <c r="AX18" s="495">
        <f t="shared" si="33"/>
        <v>0</v>
      </c>
      <c r="AY18" s="493">
        <f t="shared" si="34"/>
        <v>1.3787612208258531</v>
      </c>
      <c r="AZ18" s="494">
        <f t="shared" si="35"/>
        <v>1.3505272838146196</v>
      </c>
      <c r="BA18" s="495">
        <f t="shared" si="36"/>
        <v>0</v>
      </c>
      <c r="BB18" s="561">
        <f t="shared" si="40"/>
        <v>61091.62918022638</v>
      </c>
      <c r="BC18" s="482">
        <f t="shared" si="37"/>
        <v>65284.567671473793</v>
      </c>
      <c r="BD18" s="482">
        <f t="shared" si="37"/>
        <v>59702.352155182343</v>
      </c>
      <c r="BE18" s="483" t="s">
        <v>56</v>
      </c>
      <c r="BF18" s="483" t="s">
        <v>56</v>
      </c>
      <c r="BG18" s="483" t="s">
        <v>56</v>
      </c>
      <c r="BH18" s="555" t="s">
        <v>56</v>
      </c>
      <c r="BI18" s="489">
        <f t="shared" si="41"/>
        <v>8703.464979100745</v>
      </c>
      <c r="BJ18" s="490">
        <f t="shared" si="42"/>
        <v>9300.8151203195521</v>
      </c>
      <c r="BK18" s="490">
        <f t="shared" si="43"/>
        <v>8505.5405810122793</v>
      </c>
      <c r="BL18" s="483" t="s">
        <v>56</v>
      </c>
      <c r="BM18" s="483" t="s">
        <v>56</v>
      </c>
      <c r="BN18" s="483" t="s">
        <v>56</v>
      </c>
      <c r="BO18" s="555" t="s">
        <v>56</v>
      </c>
    </row>
    <row r="19" spans="1:67" s="310" customFormat="1" ht="14.65" customHeight="1">
      <c r="A19" s="808" t="str">
        <f>'Compiled Articles'!I6</f>
        <v>Furniture (Synthetic Leather)</v>
      </c>
      <c r="B19" s="400" t="s">
        <v>2741</v>
      </c>
      <c r="C19" s="808" t="str">
        <f>A19</f>
        <v>Furniture (Synthetic Leather)</v>
      </c>
      <c r="D19" s="462">
        <v>1</v>
      </c>
      <c r="E19" s="583">
        <v>1</v>
      </c>
      <c r="F19" s="583">
        <v>1</v>
      </c>
      <c r="G19" s="573">
        <f>'Compiled Articles'!I12</f>
        <v>480</v>
      </c>
      <c r="H19" s="573">
        <f>'Compiled Articles'!$I$11</f>
        <v>365</v>
      </c>
      <c r="I19" s="573">
        <v>1</v>
      </c>
      <c r="J19" s="471">
        <f t="shared" si="1"/>
        <v>1.1129999999999999E-4</v>
      </c>
      <c r="K19" s="471">
        <f t="shared" si="2"/>
        <v>8.9039999999999996E-4</v>
      </c>
      <c r="L19" s="472" t="s">
        <v>3133</v>
      </c>
      <c r="M19" s="473">
        <f>(INDEX('Dermal Calcs'!$B$64:$H$70, MATCH($L19,'Dermal Calcs'!$A$64:$A$70, 0), MATCH(M$3, 'Dermal Calcs'!$B$63:$H$63, 0)))*$K19*$D19</f>
        <v>0.10946899204924337</v>
      </c>
      <c r="N19" s="474">
        <f>(INDEX('Dermal Calcs'!$B$64:$H$70, MATCH($L19,'Dermal Calcs'!$A$64:$A$70, 0), MATCH(N$3, 'Dermal Calcs'!$B$63:$H$63, 0)))*$K19*$E19</f>
        <v>0.11440893854748604</v>
      </c>
      <c r="O19" s="474">
        <f>(INDEX('Dermal Calcs'!$B$64:$H$70, MATCH($L19,'Dermal Calcs'!$A$64:$A$70, 0), MATCH(O$3, 'Dermal Calcs'!$B$63:$H$63, 0)))*$K19*$E19</f>
        <v>0.12462464788732394</v>
      </c>
      <c r="P19" s="476">
        <f>(INDEX('Dermal Calcs'!$B$64:$H$70, MATCH($L19,'Dermal Calcs'!$A$64:$A$70, 0), MATCH(P$3, 'Dermal Calcs'!$B$63:$H$63, 0)))*$K19*$F19</f>
        <v>0.15119999999999997</v>
      </c>
      <c r="Q19" s="476">
        <f>(INDEX('Dermal Calcs'!$B$64:$H$70, MATCH($L19,'Dermal Calcs'!$A$64:$A$70, 0), MATCH(Q$3, 'Dermal Calcs'!$B$63:$H$63, 0)))*$K19*$F19</f>
        <v>0.18190967741935482</v>
      </c>
      <c r="R19" s="476">
        <f>(INDEX('Dermal Calcs'!$B$64:$H$70, MATCH($L19,'Dermal Calcs'!$A$64:$A$70, 0), MATCH(R$3, 'Dermal Calcs'!$B$63:$H$63, 0)))*$K19*$F19</f>
        <v>0.2014</v>
      </c>
      <c r="S19" s="477">
        <f>(INDEX('Dermal Calcs'!$B$64:$H$70, MATCH($L19,'Dermal Calcs'!$A$64:$A$70, 0), MATCH(S$3, 'Dermal Calcs'!$B$63:$H$63, 0)))*$K19*$F19</f>
        <v>0.22686255319148935</v>
      </c>
      <c r="T19" s="473">
        <f t="shared" si="3"/>
        <v>39.95618209797383</v>
      </c>
      <c r="U19" s="474">
        <f t="shared" si="4"/>
        <v>41.759262569832408</v>
      </c>
      <c r="V19" s="474">
        <f t="shared" si="5"/>
        <v>45.487996478873235</v>
      </c>
      <c r="W19" s="478">
        <f t="shared" si="6"/>
        <v>55.187999999999988</v>
      </c>
      <c r="X19" s="478">
        <f t="shared" si="7"/>
        <v>66.397032258064513</v>
      </c>
      <c r="Y19" s="478">
        <f t="shared" si="8"/>
        <v>73.510999999999996</v>
      </c>
      <c r="Z19" s="478">
        <f t="shared" si="9"/>
        <v>82.804831914893612</v>
      </c>
      <c r="AA19" s="473">
        <f t="shared" si="10"/>
        <v>0.10946899204924337</v>
      </c>
      <c r="AB19" s="474">
        <f t="shared" si="11"/>
        <v>0.11440893854748604</v>
      </c>
      <c r="AC19" s="474">
        <f t="shared" si="12"/>
        <v>0.12462464788732394</v>
      </c>
      <c r="AD19" s="478">
        <f t="shared" si="13"/>
        <v>0.15119999999999997</v>
      </c>
      <c r="AE19" s="478">
        <f t="shared" si="14"/>
        <v>0.18190967741935482</v>
      </c>
      <c r="AF19" s="478">
        <f t="shared" si="15"/>
        <v>0.2014</v>
      </c>
      <c r="AG19" s="478">
        <f t="shared" si="16"/>
        <v>0.22686255319148935</v>
      </c>
      <c r="AH19" s="479">
        <f t="shared" si="17"/>
        <v>109.46899204924338</v>
      </c>
      <c r="AI19" s="480">
        <f t="shared" si="18"/>
        <v>114.40893854748606</v>
      </c>
      <c r="AJ19" s="480">
        <f t="shared" si="19"/>
        <v>124.62464788732392</v>
      </c>
      <c r="AK19" s="480">
        <f t="shared" si="20"/>
        <v>151.19999999999996</v>
      </c>
      <c r="AL19" s="480">
        <f t="shared" si="21"/>
        <v>181.90967741935484</v>
      </c>
      <c r="AM19" s="480">
        <f t="shared" si="22"/>
        <v>201.4</v>
      </c>
      <c r="AN19" s="481">
        <f t="shared" si="23"/>
        <v>226.86255319148935</v>
      </c>
      <c r="AO19" s="480">
        <f t="shared" si="24"/>
        <v>109.46899204924337</v>
      </c>
      <c r="AP19" s="480">
        <f t="shared" si="25"/>
        <v>114.40893854748604</v>
      </c>
      <c r="AQ19" s="480">
        <f t="shared" si="26"/>
        <v>124.62464788732395</v>
      </c>
      <c r="AR19" s="480">
        <f t="shared" si="27"/>
        <v>151.19999999999996</v>
      </c>
      <c r="AS19" s="480">
        <f t="shared" si="28"/>
        <v>181.90967741935481</v>
      </c>
      <c r="AT19" s="480">
        <f t="shared" si="29"/>
        <v>201.4</v>
      </c>
      <c r="AU19" s="481">
        <f t="shared" si="30"/>
        <v>226.86255319148935</v>
      </c>
      <c r="AV19" s="473">
        <f t="shared" si="31"/>
        <v>109.46899204924338</v>
      </c>
      <c r="AW19" s="474">
        <f t="shared" si="32"/>
        <v>119.516793217405</v>
      </c>
      <c r="AX19" s="478">
        <f t="shared" si="33"/>
        <v>190.34305765271105</v>
      </c>
      <c r="AY19" s="473">
        <f t="shared" si="34"/>
        <v>109.46899204924337</v>
      </c>
      <c r="AZ19" s="474">
        <f t="shared" si="35"/>
        <v>119.516793217405</v>
      </c>
      <c r="BA19" s="478">
        <f t="shared" si="36"/>
        <v>190.34305765271102</v>
      </c>
      <c r="BB19" s="561">
        <f t="shared" si="40"/>
        <v>109.62008305148125</v>
      </c>
      <c r="BC19" s="482">
        <f t="shared" si="37"/>
        <v>104.88690964490799</v>
      </c>
      <c r="BD19" s="482">
        <f t="shared" si="37"/>
        <v>96.289138652969214</v>
      </c>
      <c r="BE19" s="482">
        <f t="shared" si="37"/>
        <v>79.365079365079382</v>
      </c>
      <c r="BF19" s="482">
        <f t="shared" si="37"/>
        <v>65.966803801957724</v>
      </c>
      <c r="BG19" s="482">
        <f t="shared" si="37"/>
        <v>59.582919563058589</v>
      </c>
      <c r="BH19" s="562">
        <f t="shared" si="37"/>
        <v>52.895463932608926</v>
      </c>
      <c r="BI19" s="489">
        <f t="shared" si="41"/>
        <v>109.62008305148126</v>
      </c>
      <c r="BJ19" s="490">
        <f t="shared" si="42"/>
        <v>104.88690964490799</v>
      </c>
      <c r="BK19" s="490">
        <f t="shared" si="43"/>
        <v>96.2891386529692</v>
      </c>
      <c r="BL19" s="490">
        <f t="shared" si="44"/>
        <v>79.365079365079382</v>
      </c>
      <c r="BM19" s="490">
        <f t="shared" si="45"/>
        <v>65.966803801957738</v>
      </c>
      <c r="BN19" s="490">
        <f t="shared" si="46"/>
        <v>59.582919563058589</v>
      </c>
      <c r="BO19" s="491">
        <f t="shared" si="47"/>
        <v>52.895463932608926</v>
      </c>
    </row>
    <row r="20" spans="1:67" s="310" customFormat="1" ht="14.65" customHeight="1">
      <c r="A20" s="809"/>
      <c r="B20" s="400" t="s">
        <v>2790</v>
      </c>
      <c r="C20" s="809"/>
      <c r="D20" s="462">
        <v>1</v>
      </c>
      <c r="E20" s="583">
        <v>1</v>
      </c>
      <c r="F20" s="583">
        <v>1</v>
      </c>
      <c r="G20" s="573">
        <f>'Compiled Articles'!I13</f>
        <v>240</v>
      </c>
      <c r="H20" s="573">
        <f>'Compiled Articles'!$I$11</f>
        <v>365</v>
      </c>
      <c r="I20" s="573">
        <f>I19</f>
        <v>1</v>
      </c>
      <c r="J20" s="471">
        <f t="shared" si="1"/>
        <v>1.1129999999999999E-4</v>
      </c>
      <c r="K20" s="471">
        <f t="shared" si="2"/>
        <v>4.4519999999999998E-4</v>
      </c>
      <c r="L20" s="497" t="s">
        <v>3134</v>
      </c>
      <c r="M20" s="473">
        <f>(INDEX('Dermal Calcs'!$B$64:$H$70, MATCH($L20,'Dermal Calcs'!$A$64:$A$70, 0), MATCH(M$3, 'Dermal Calcs'!$B$63:$H$63, 0)))*$K20*$D20</f>
        <v>7.0133925365478316E-3</v>
      </c>
      <c r="N20" s="474">
        <f>(INDEX('Dermal Calcs'!$B$64:$H$70, MATCH($L20,'Dermal Calcs'!$A$64:$A$70, 0), MATCH(N$3, 'Dermal Calcs'!$B$63:$H$63, 0)))*$K20*$E20</f>
        <v>6.6375837988826812E-3</v>
      </c>
      <c r="O20" s="474">
        <f>(INDEX('Dermal Calcs'!$B$64:$H$70, MATCH($L20,'Dermal Calcs'!$A$64:$A$70, 0), MATCH(O$3, 'Dermal Calcs'!$B$63:$H$63, 0)))*$K20*$E20</f>
        <v>7.2893661971830991E-3</v>
      </c>
      <c r="P20" s="476">
        <f>(INDEX('Dermal Calcs'!$B$64:$H$70, MATCH($L20,'Dermal Calcs'!$A$64:$A$70, 0), MATCH(P$3, 'Dermal Calcs'!$B$63:$H$63, 0)))*$K20*$F20</f>
        <v>9.3799999999999994E-3</v>
      </c>
      <c r="Q20" s="476">
        <f>(INDEX('Dermal Calcs'!$B$64:$H$70, MATCH($L20,'Dermal Calcs'!$A$64:$A$70, 0), MATCH(Q$3, 'Dermal Calcs'!$B$63:$H$63, 0)))*$K20*$F20</f>
        <v>1.2207096774193547E-2</v>
      </c>
      <c r="R20" s="476">
        <f>(INDEX('Dermal Calcs'!$B$64:$H$70, MATCH($L20,'Dermal Calcs'!$A$64:$A$70, 0), MATCH(R$3, 'Dermal Calcs'!$B$63:$H$63, 0)))*$K20*$F20</f>
        <v>1.559083333333333E-2</v>
      </c>
      <c r="S20" s="477">
        <f>(INDEX('Dermal Calcs'!$B$64:$H$70, MATCH($L20,'Dermal Calcs'!$A$64:$A$70, 0), MATCH(S$3, 'Dermal Calcs'!$B$63:$H$63, 0)))*$K20*$F20</f>
        <v>3.6480351063829783E-2</v>
      </c>
      <c r="T20" s="486">
        <f t="shared" si="3"/>
        <v>2.5598882758399584</v>
      </c>
      <c r="U20" s="487">
        <f t="shared" si="4"/>
        <v>2.4227180865921785</v>
      </c>
      <c r="V20" s="487">
        <f t="shared" si="5"/>
        <v>2.6606186619718311</v>
      </c>
      <c r="W20" s="488">
        <f t="shared" si="6"/>
        <v>3.4236999999999997</v>
      </c>
      <c r="X20" s="488">
        <f t="shared" si="7"/>
        <v>4.4555903225806448</v>
      </c>
      <c r="Y20" s="488">
        <f t="shared" si="8"/>
        <v>5.6906541666666657</v>
      </c>
      <c r="Z20" s="488">
        <f t="shared" si="9"/>
        <v>13.31532813829787</v>
      </c>
      <c r="AA20" s="486">
        <f t="shared" si="10"/>
        <v>7.0133925365478316E-3</v>
      </c>
      <c r="AB20" s="487">
        <f t="shared" si="11"/>
        <v>6.6375837988826812E-3</v>
      </c>
      <c r="AC20" s="487">
        <f t="shared" si="12"/>
        <v>7.2893661971830991E-3</v>
      </c>
      <c r="AD20" s="488">
        <f t="shared" si="13"/>
        <v>9.3799999999999994E-3</v>
      </c>
      <c r="AE20" s="488">
        <f t="shared" si="14"/>
        <v>1.2207096774193547E-2</v>
      </c>
      <c r="AF20" s="488">
        <f t="shared" si="15"/>
        <v>1.559083333333333E-2</v>
      </c>
      <c r="AG20" s="488">
        <f t="shared" si="16"/>
        <v>3.6480351063829783E-2</v>
      </c>
      <c r="AH20" s="479">
        <f t="shared" si="17"/>
        <v>7.0133925365478307</v>
      </c>
      <c r="AI20" s="480">
        <f t="shared" si="18"/>
        <v>6.6375837988826811</v>
      </c>
      <c r="AJ20" s="480">
        <f t="shared" si="19"/>
        <v>7.2893661971830985</v>
      </c>
      <c r="AK20" s="480">
        <f t="shared" si="20"/>
        <v>9.379999999999999</v>
      </c>
      <c r="AL20" s="480">
        <f t="shared" si="21"/>
        <v>12.207096774193548</v>
      </c>
      <c r="AM20" s="480">
        <f t="shared" si="22"/>
        <v>15.590833333333329</v>
      </c>
      <c r="AN20" s="481">
        <f t="shared" si="23"/>
        <v>36.480351063829779</v>
      </c>
      <c r="AO20" s="480">
        <f t="shared" si="24"/>
        <v>7.0133925365478316</v>
      </c>
      <c r="AP20" s="480">
        <f t="shared" si="25"/>
        <v>6.6375837988826811</v>
      </c>
      <c r="AQ20" s="480">
        <f t="shared" si="26"/>
        <v>7.2893661971830994</v>
      </c>
      <c r="AR20" s="480">
        <f t="shared" si="27"/>
        <v>9.379999999999999</v>
      </c>
      <c r="AS20" s="480">
        <f t="shared" si="28"/>
        <v>12.207096774193547</v>
      </c>
      <c r="AT20" s="480">
        <f t="shared" si="29"/>
        <v>15.590833333333331</v>
      </c>
      <c r="AU20" s="481">
        <f t="shared" si="30"/>
        <v>36.480351063829779</v>
      </c>
      <c r="AV20" s="486">
        <f t="shared" si="31"/>
        <v>7.0133925365478307</v>
      </c>
      <c r="AW20" s="487">
        <f t="shared" si="32"/>
        <v>6.9634749980328907</v>
      </c>
      <c r="AX20" s="488">
        <f t="shared" si="33"/>
        <v>18.414570292839162</v>
      </c>
      <c r="AY20" s="486">
        <f t="shared" si="34"/>
        <v>7.0133925365478316</v>
      </c>
      <c r="AZ20" s="487">
        <f t="shared" si="35"/>
        <v>6.9634749980328898</v>
      </c>
      <c r="BA20" s="488">
        <f t="shared" si="36"/>
        <v>18.414570292839166</v>
      </c>
      <c r="BB20" s="561">
        <f t="shared" si="40"/>
        <v>1711.0121724210098</v>
      </c>
      <c r="BC20" s="482">
        <f t="shared" ref="BC20:BC57" si="48">12000/AI20</f>
        <v>1807.8867798279227</v>
      </c>
      <c r="BD20" s="482">
        <f t="shared" ref="BD20:BD45" si="49">12000/AJ20</f>
        <v>1646.2336608410862</v>
      </c>
      <c r="BE20" s="482">
        <f t="shared" ref="BE20:BE42" si="50">12000/AK20</f>
        <v>1279.3176972281451</v>
      </c>
      <c r="BF20" s="482">
        <f t="shared" ref="BF20:BF42" si="51">12000/AL20</f>
        <v>983.03472332329159</v>
      </c>
      <c r="BG20" s="482">
        <f t="shared" ref="BG20:BG27" si="52">12000/AM20</f>
        <v>769.68304024800921</v>
      </c>
      <c r="BH20" s="562">
        <f t="shared" ref="BH20:BH27" si="53">12000/AN20</f>
        <v>328.9442028395934</v>
      </c>
      <c r="BI20" s="489">
        <f t="shared" si="41"/>
        <v>1711.0121724210096</v>
      </c>
      <c r="BJ20" s="490">
        <f t="shared" si="42"/>
        <v>1807.8867798279227</v>
      </c>
      <c r="BK20" s="490">
        <f t="shared" si="43"/>
        <v>1646.233660841086</v>
      </c>
      <c r="BL20" s="490">
        <f t="shared" si="44"/>
        <v>1279.3176972281451</v>
      </c>
      <c r="BM20" s="490">
        <f t="shared" si="45"/>
        <v>983.0347233232917</v>
      </c>
      <c r="BN20" s="490">
        <f t="shared" si="46"/>
        <v>769.68304024800909</v>
      </c>
      <c r="BO20" s="491">
        <f t="shared" si="47"/>
        <v>328.9442028395934</v>
      </c>
    </row>
    <row r="21" spans="1:67" s="310" customFormat="1" ht="14.65" customHeight="1" thickBot="1">
      <c r="A21" s="810"/>
      <c r="B21" s="492" t="s">
        <v>2745</v>
      </c>
      <c r="C21" s="810"/>
      <c r="D21" s="499">
        <v>1</v>
      </c>
      <c r="E21" s="500">
        <v>1</v>
      </c>
      <c r="F21" s="500">
        <v>1</v>
      </c>
      <c r="G21" s="573">
        <f>'Compiled Articles'!I14</f>
        <v>120</v>
      </c>
      <c r="H21" s="573">
        <f>'Compiled Articles'!$I$11</f>
        <v>365</v>
      </c>
      <c r="I21" s="573">
        <f>I19</f>
        <v>1</v>
      </c>
      <c r="J21" s="471">
        <f t="shared" si="1"/>
        <v>1.1129999999999999E-4</v>
      </c>
      <c r="K21" s="471">
        <f t="shared" si="2"/>
        <v>2.2259999999999999E-4</v>
      </c>
      <c r="L21" s="498" t="s">
        <v>3131</v>
      </c>
      <c r="M21" s="473">
        <f>(INDEX('Dermal Calcs'!$B$64:$H$70, MATCH($L21,'Dermal Calcs'!$A$64:$A$70, 0), MATCH(M$3, 'Dermal Calcs'!$B$63:$H$63, 0)))*$K21*$D21</f>
        <v>1.3787612208258531E-3</v>
      </c>
      <c r="N21" s="474">
        <f>(INDEX('Dermal Calcs'!$B$64:$H$70, MATCH($L21,'Dermal Calcs'!$A$64:$A$70, 0), MATCH(N$3, 'Dermal Calcs'!$B$63:$H$63, 0)))*$K21*$E21</f>
        <v>1.290209497206704E-3</v>
      </c>
      <c r="O21" s="474">
        <f>(INDEX('Dermal Calcs'!$B$64:$H$70, MATCH($L21,'Dermal Calcs'!$A$64:$A$70, 0), MATCH(O$3, 'Dermal Calcs'!$B$63:$H$63, 0)))*$K21*$E21</f>
        <v>1.4108450704225352E-3</v>
      </c>
      <c r="P21" s="476">
        <f>(INDEX('Dermal Calcs'!$B$64:$H$70, MATCH($L21,'Dermal Calcs'!$A$64:$A$70, 0), MATCH(P$3, 'Dermal Calcs'!$B$63:$H$63, 0)))*$K21*$F21</f>
        <v>1.7849999999999997E-3</v>
      </c>
      <c r="Q21" s="476">
        <f>(INDEX('Dermal Calcs'!$B$64:$H$70, MATCH($L21,'Dermal Calcs'!$A$64:$A$70, 0), MATCH(Q$3, 'Dermal Calcs'!$B$63:$H$63, 0)))*$K21*$F21</f>
        <v>2.2140322580645158E-3</v>
      </c>
      <c r="R21" s="476">
        <f>(INDEX('Dermal Calcs'!$B$64:$H$70, MATCH($L21,'Dermal Calcs'!$A$64:$A$70, 0), MATCH(R$3, 'Dermal Calcs'!$B$63:$H$63, 0)))*$K21*$F21</f>
        <v>2.5616666666666661E-3</v>
      </c>
      <c r="S21" s="477">
        <f>(INDEX('Dermal Calcs'!$B$64:$H$70, MATCH($L21,'Dermal Calcs'!$A$64:$A$70, 0), MATCH(S$3, 'Dermal Calcs'!$B$63:$H$63, 0)))*$K21*$F21</f>
        <v>2.9956276595744682E-3</v>
      </c>
      <c r="T21" s="493">
        <f t="shared" si="3"/>
        <v>0.50324784560143643</v>
      </c>
      <c r="U21" s="494">
        <f t="shared" si="4"/>
        <v>0.47092646648044695</v>
      </c>
      <c r="V21" s="494">
        <f t="shared" si="5"/>
        <v>0.5149584507042253</v>
      </c>
      <c r="W21" s="495">
        <f t="shared" si="6"/>
        <v>0.65152499999999991</v>
      </c>
      <c r="X21" s="495">
        <f t="shared" si="7"/>
        <v>0.80812177419354825</v>
      </c>
      <c r="Y21" s="495">
        <f t="shared" si="8"/>
        <v>0.93500833333333311</v>
      </c>
      <c r="Z21" s="495">
        <f t="shared" si="9"/>
        <v>1.0934040957446809</v>
      </c>
      <c r="AA21" s="493">
        <f t="shared" si="10"/>
        <v>1.3787612208258531E-3</v>
      </c>
      <c r="AB21" s="494">
        <f t="shared" si="11"/>
        <v>1.290209497206704E-3</v>
      </c>
      <c r="AC21" s="494">
        <f t="shared" si="12"/>
        <v>1.4108450704225352E-3</v>
      </c>
      <c r="AD21" s="495">
        <f t="shared" si="13"/>
        <v>1.7849999999999997E-3</v>
      </c>
      <c r="AE21" s="495">
        <f t="shared" si="14"/>
        <v>2.2140322580645158E-3</v>
      </c>
      <c r="AF21" s="495">
        <f t="shared" si="15"/>
        <v>2.5616666666666661E-3</v>
      </c>
      <c r="AG21" s="495">
        <f t="shared" si="16"/>
        <v>2.9956276595744682E-3</v>
      </c>
      <c r="AH21" s="479">
        <f t="shared" si="17"/>
        <v>1.3787612208258533</v>
      </c>
      <c r="AI21" s="480">
        <f t="shared" si="18"/>
        <v>1.290209497206704</v>
      </c>
      <c r="AJ21" s="480">
        <f t="shared" si="19"/>
        <v>1.4108450704225353</v>
      </c>
      <c r="AK21" s="480">
        <f t="shared" si="20"/>
        <v>1.7849999999999997</v>
      </c>
      <c r="AL21" s="480">
        <f t="shared" si="21"/>
        <v>2.214032258064516</v>
      </c>
      <c r="AM21" s="480">
        <f t="shared" si="22"/>
        <v>2.5616666666666661</v>
      </c>
      <c r="AN21" s="481">
        <f t="shared" si="23"/>
        <v>2.9956276595744682</v>
      </c>
      <c r="AO21" s="480">
        <f t="shared" si="24"/>
        <v>1.3787612208258531</v>
      </c>
      <c r="AP21" s="480">
        <f t="shared" si="25"/>
        <v>1.290209497206704</v>
      </c>
      <c r="AQ21" s="480">
        <f t="shared" si="26"/>
        <v>1.4108450704225353</v>
      </c>
      <c r="AR21" s="480">
        <f t="shared" si="27"/>
        <v>1.7849999999999997</v>
      </c>
      <c r="AS21" s="480">
        <f t="shared" si="28"/>
        <v>2.214032258064516</v>
      </c>
      <c r="AT21" s="480">
        <f t="shared" si="29"/>
        <v>2.5616666666666661</v>
      </c>
      <c r="AU21" s="481">
        <f t="shared" si="30"/>
        <v>2.9956276595744682</v>
      </c>
      <c r="AV21" s="493">
        <f t="shared" si="31"/>
        <v>1.3787612208258533</v>
      </c>
      <c r="AW21" s="494">
        <f t="shared" si="32"/>
        <v>1.3505272838146194</v>
      </c>
      <c r="AX21" s="495">
        <f t="shared" si="33"/>
        <v>2.3890816460764124</v>
      </c>
      <c r="AY21" s="493">
        <f t="shared" si="34"/>
        <v>1.3787612208258531</v>
      </c>
      <c r="AZ21" s="494">
        <f t="shared" si="35"/>
        <v>1.3505272838146196</v>
      </c>
      <c r="BA21" s="495">
        <f t="shared" si="36"/>
        <v>2.3890816460764124</v>
      </c>
      <c r="BB21" s="561">
        <f t="shared" si="40"/>
        <v>8703.4649791007432</v>
      </c>
      <c r="BC21" s="482">
        <f t="shared" si="48"/>
        <v>9300.8151203195521</v>
      </c>
      <c r="BD21" s="482">
        <f t="shared" si="49"/>
        <v>8505.5405810122793</v>
      </c>
      <c r="BE21" s="482">
        <f t="shared" si="50"/>
        <v>6722.6890756302537</v>
      </c>
      <c r="BF21" s="482">
        <f t="shared" si="51"/>
        <v>5419.9752312959863</v>
      </c>
      <c r="BG21" s="482">
        <f t="shared" si="52"/>
        <v>4684.4502277163319</v>
      </c>
      <c r="BH21" s="562">
        <f t="shared" si="53"/>
        <v>4005.8382962402648</v>
      </c>
      <c r="BI21" s="489">
        <f t="shared" si="41"/>
        <v>8703.464979100745</v>
      </c>
      <c r="BJ21" s="490">
        <f t="shared" si="42"/>
        <v>9300.8151203195521</v>
      </c>
      <c r="BK21" s="490">
        <f t="shared" si="43"/>
        <v>8505.5405810122793</v>
      </c>
      <c r="BL21" s="490">
        <f t="shared" si="44"/>
        <v>6722.6890756302537</v>
      </c>
      <c r="BM21" s="490">
        <f t="shared" si="45"/>
        <v>5419.9752312959863</v>
      </c>
      <c r="BN21" s="490">
        <f t="shared" si="46"/>
        <v>4684.4502277163319</v>
      </c>
      <c r="BO21" s="491">
        <f t="shared" si="47"/>
        <v>4005.8382962402648</v>
      </c>
    </row>
    <row r="22" spans="1:67" ht="14.65" customHeight="1">
      <c r="A22" s="808" t="str">
        <f>'Compiled Articles'!J6</f>
        <v>Small articles with the potetial for semi-routine contact</v>
      </c>
      <c r="B22" s="501" t="s">
        <v>2741</v>
      </c>
      <c r="C22" s="808" t="str">
        <f>A22</f>
        <v>Small articles with the potetial for semi-routine contact</v>
      </c>
      <c r="D22" s="462">
        <v>1</v>
      </c>
      <c r="E22" s="583">
        <v>1</v>
      </c>
      <c r="F22" s="583">
        <v>1</v>
      </c>
      <c r="G22" s="502">
        <f>'Compiled Articles'!J12</f>
        <v>120</v>
      </c>
      <c r="H22" s="573">
        <f>'Compiled Articles'!$J$11</f>
        <v>365</v>
      </c>
      <c r="I22" s="14">
        <v>1</v>
      </c>
      <c r="J22" s="471">
        <f t="shared" si="1"/>
        <v>1.1129999999999999E-4</v>
      </c>
      <c r="K22" s="471">
        <f t="shared" si="2"/>
        <v>2.2259999999999999E-4</v>
      </c>
      <c r="L22" s="472" t="s">
        <v>3135</v>
      </c>
      <c r="M22" s="473">
        <f>(INDEX('Dermal Calcs'!$B$64:$H$70, MATCH($L22,'Dermal Calcs'!$A$64:$A$70, 0), MATCH(M$3, 'Dermal Calcs'!$B$63:$H$63, 0)))*$K22*$D22</f>
        <v>2.7575224416517062E-3</v>
      </c>
      <c r="N22" s="474">
        <f>(INDEX('Dermal Calcs'!$B$64:$H$70, MATCH($L22,'Dermal Calcs'!$A$64:$A$70, 0), MATCH(N$3, 'Dermal Calcs'!$B$63:$H$63, 0)))*$K22*$E22</f>
        <v>2.5804189944134081E-3</v>
      </c>
      <c r="O22" s="474">
        <f>(INDEX('Dermal Calcs'!$B$64:$H$70, MATCH($L22,'Dermal Calcs'!$A$64:$A$70, 0), MATCH(O$3, 'Dermal Calcs'!$B$63:$H$63, 0)))*$K22*$E22</f>
        <v>2.8216901408450704E-3</v>
      </c>
      <c r="P22" s="476">
        <f>(INDEX('Dermal Calcs'!$B$64:$H$70, MATCH($L22,'Dermal Calcs'!$A$64:$A$70, 0), MATCH(P$3, 'Dermal Calcs'!$B$63:$H$63, 0)))*$K22*$F22</f>
        <v>3.5699999999999994E-3</v>
      </c>
      <c r="Q22" s="476">
        <f>(INDEX('Dermal Calcs'!$B$64:$H$70, MATCH($L22,'Dermal Calcs'!$A$64:$A$70, 0), MATCH(Q$3, 'Dermal Calcs'!$B$63:$H$63, 0)))*$K22*$F22</f>
        <v>4.4280645161290317E-3</v>
      </c>
      <c r="R22" s="476">
        <f>(INDEX('Dermal Calcs'!$B$64:$H$70, MATCH($L22,'Dermal Calcs'!$A$64:$A$70, 0), MATCH(R$3, 'Dermal Calcs'!$B$63:$H$63, 0)))*$K22*$F22</f>
        <v>5.1233333333333322E-3</v>
      </c>
      <c r="S22" s="477">
        <f>(INDEX('Dermal Calcs'!$B$64:$H$70, MATCH($L22,'Dermal Calcs'!$A$64:$A$70, 0), MATCH(S$3, 'Dermal Calcs'!$B$63:$H$63, 0)))*$K22*$F22</f>
        <v>5.9912553191489365E-3</v>
      </c>
      <c r="T22" s="486">
        <f t="shared" si="3"/>
        <v>1.0064956912028729</v>
      </c>
      <c r="U22" s="487">
        <f t="shared" si="4"/>
        <v>0.9418529329608939</v>
      </c>
      <c r="V22" s="487">
        <f t="shared" si="5"/>
        <v>1.0299169014084506</v>
      </c>
      <c r="W22" s="488">
        <f t="shared" si="6"/>
        <v>1.3030499999999998</v>
      </c>
      <c r="X22" s="488">
        <f t="shared" si="7"/>
        <v>1.6162435483870965</v>
      </c>
      <c r="Y22" s="488">
        <f t="shared" si="8"/>
        <v>1.8700166666666662</v>
      </c>
      <c r="Z22" s="488">
        <f t="shared" si="9"/>
        <v>2.1868081914893618</v>
      </c>
      <c r="AA22" s="486">
        <f t="shared" si="10"/>
        <v>2.7575224416517062E-3</v>
      </c>
      <c r="AB22" s="487">
        <f t="shared" si="11"/>
        <v>2.5804189944134081E-3</v>
      </c>
      <c r="AC22" s="487">
        <f t="shared" si="12"/>
        <v>2.8216901408450704E-3</v>
      </c>
      <c r="AD22" s="488">
        <f t="shared" si="13"/>
        <v>3.5699999999999994E-3</v>
      </c>
      <c r="AE22" s="488">
        <f t="shared" si="14"/>
        <v>4.4280645161290317E-3</v>
      </c>
      <c r="AF22" s="488">
        <f t="shared" si="15"/>
        <v>5.1233333333333322E-3</v>
      </c>
      <c r="AG22" s="488">
        <f t="shared" si="16"/>
        <v>5.9912553191489365E-3</v>
      </c>
      <c r="AH22" s="503">
        <f>(T22*1000)/365</f>
        <v>2.7575224416517066</v>
      </c>
      <c r="AI22" s="504">
        <f t="shared" ref="AI22:AN22" si="54">(U22*1000)/365</f>
        <v>2.5804189944134079</v>
      </c>
      <c r="AJ22" s="504">
        <f t="shared" si="54"/>
        <v>2.8216901408450705</v>
      </c>
      <c r="AK22" s="504">
        <f t="shared" si="54"/>
        <v>3.5699999999999994</v>
      </c>
      <c r="AL22" s="504">
        <f t="shared" si="54"/>
        <v>4.428064516129032</v>
      </c>
      <c r="AM22" s="504">
        <f t="shared" si="54"/>
        <v>5.1233333333333322</v>
      </c>
      <c r="AN22" s="505">
        <f t="shared" si="54"/>
        <v>5.9912553191489364</v>
      </c>
      <c r="AO22" s="504">
        <f t="shared" ref="AO22:AO30" si="55">AA22*1000</f>
        <v>2.7575224416517061</v>
      </c>
      <c r="AP22" s="504">
        <f t="shared" ref="AP22:AP30" si="56">AB22*1000</f>
        <v>2.5804189944134079</v>
      </c>
      <c r="AQ22" s="504">
        <f t="shared" ref="AQ22:AQ30" si="57">AC22*1000</f>
        <v>2.8216901408450705</v>
      </c>
      <c r="AR22" s="504">
        <f t="shared" ref="AR22:AR30" si="58">AD22*1000</f>
        <v>3.5699999999999994</v>
      </c>
      <c r="AS22" s="504">
        <f t="shared" ref="AS22:AS30" si="59">AE22*1000</f>
        <v>4.428064516129032</v>
      </c>
      <c r="AT22" s="504">
        <f t="shared" ref="AT22:AT30" si="60">AF22*1000</f>
        <v>5.1233333333333322</v>
      </c>
      <c r="AU22" s="505">
        <f t="shared" ref="AU22:AU30" si="61">AG22*1000</f>
        <v>5.9912553191489364</v>
      </c>
      <c r="AV22" s="486">
        <f>(T22*1000)/365</f>
        <v>2.7575224416517066</v>
      </c>
      <c r="AW22" s="487">
        <f t="shared" ref="AW22:AW24" si="62">(AVERAGE(U22:V22)*1000)/365</f>
        <v>2.7010545676292388</v>
      </c>
      <c r="AX22" s="488">
        <f t="shared" ref="AX22:AX24" si="63">(AVERAGE(W22:Z22)*1000)/365</f>
        <v>4.7781632921528248</v>
      </c>
      <c r="AY22" s="486">
        <f t="shared" ref="AY22:AY24" si="64">AA22*1000</f>
        <v>2.7575224416517061</v>
      </c>
      <c r="AZ22" s="487">
        <f t="shared" ref="AZ22:AZ24" si="65">AVERAGE(AB22:AC22)*1000</f>
        <v>2.7010545676292392</v>
      </c>
      <c r="BA22" s="488">
        <f t="shared" ref="BA22:BA24" si="66">AVERAGE(AD22:AG22)*1000</f>
        <v>4.7781632921528248</v>
      </c>
      <c r="BB22" s="561">
        <f t="shared" si="40"/>
        <v>4351.7324895503716</v>
      </c>
      <c r="BC22" s="482">
        <f t="shared" si="48"/>
        <v>4650.407560159776</v>
      </c>
      <c r="BD22" s="482">
        <f t="shared" si="49"/>
        <v>4252.7702905061396</v>
      </c>
      <c r="BE22" s="482">
        <f t="shared" si="50"/>
        <v>3361.3445378151268</v>
      </c>
      <c r="BF22" s="482">
        <f t="shared" si="51"/>
        <v>2709.9876156479932</v>
      </c>
      <c r="BG22" s="482">
        <f t="shared" si="52"/>
        <v>2342.225113858166</v>
      </c>
      <c r="BH22" s="562">
        <f t="shared" si="53"/>
        <v>2002.9191481201324</v>
      </c>
      <c r="BI22" s="489">
        <f t="shared" si="41"/>
        <v>4351.7324895503725</v>
      </c>
      <c r="BJ22" s="490">
        <f t="shared" si="42"/>
        <v>4650.407560159776</v>
      </c>
      <c r="BK22" s="490">
        <f t="shared" si="43"/>
        <v>4252.7702905061396</v>
      </c>
      <c r="BL22" s="490">
        <f t="shared" si="44"/>
        <v>3361.3445378151268</v>
      </c>
      <c r="BM22" s="490">
        <f t="shared" si="45"/>
        <v>2709.9876156479932</v>
      </c>
      <c r="BN22" s="490">
        <f t="shared" si="46"/>
        <v>2342.225113858166</v>
      </c>
      <c r="BO22" s="491">
        <f t="shared" si="47"/>
        <v>2002.9191481201324</v>
      </c>
    </row>
    <row r="23" spans="1:67">
      <c r="A23" s="809"/>
      <c r="B23" s="400" t="s">
        <v>2790</v>
      </c>
      <c r="C23" s="809"/>
      <c r="D23" s="462">
        <v>1</v>
      </c>
      <c r="E23" s="583">
        <v>1</v>
      </c>
      <c r="F23" s="583">
        <v>1</v>
      </c>
      <c r="G23" s="502">
        <f>'Compiled Articles'!J13</f>
        <v>60</v>
      </c>
      <c r="H23" s="573">
        <f>'Compiled Articles'!$J$11</f>
        <v>365</v>
      </c>
      <c r="I23" s="573">
        <f>I22</f>
        <v>1</v>
      </c>
      <c r="J23" s="471">
        <f t="shared" si="1"/>
        <v>1.1129999999999999E-4</v>
      </c>
      <c r="K23" s="471">
        <f t="shared" si="2"/>
        <v>1.1129999999999999E-4</v>
      </c>
      <c r="L23" s="497" t="s">
        <v>3131</v>
      </c>
      <c r="M23" s="473">
        <f>(INDEX('Dermal Calcs'!$B$64:$H$70, MATCH($L23,'Dermal Calcs'!$A$64:$A$70, 0), MATCH(M$3, 'Dermal Calcs'!$B$63:$H$63, 0)))*$K23*$D23</f>
        <v>6.8938061041292655E-4</v>
      </c>
      <c r="N23" s="474">
        <f>(INDEX('Dermal Calcs'!$B$64:$H$70, MATCH($L23,'Dermal Calcs'!$A$64:$A$70, 0), MATCH(N$3, 'Dermal Calcs'!$B$63:$H$63, 0)))*$K23*$E23</f>
        <v>6.4510474860335202E-4</v>
      </c>
      <c r="O23" s="474">
        <f>(INDEX('Dermal Calcs'!$B$64:$H$70, MATCH($L23,'Dermal Calcs'!$A$64:$A$70, 0), MATCH(O$3, 'Dermal Calcs'!$B$63:$H$63, 0)))*$K23*$E23</f>
        <v>7.0542253521126759E-4</v>
      </c>
      <c r="P23" s="476">
        <f>(INDEX('Dermal Calcs'!$B$64:$H$70, MATCH($L23,'Dermal Calcs'!$A$64:$A$70, 0), MATCH(P$3, 'Dermal Calcs'!$B$63:$H$63, 0)))*$K23*$F23</f>
        <v>8.9249999999999985E-4</v>
      </c>
      <c r="Q23" s="476">
        <f>(INDEX('Dermal Calcs'!$B$64:$H$70, MATCH($L23,'Dermal Calcs'!$A$64:$A$70, 0), MATCH(Q$3, 'Dermal Calcs'!$B$63:$H$63, 0)))*$K23*$F23</f>
        <v>1.1070161290322579E-3</v>
      </c>
      <c r="R23" s="476">
        <f>(INDEX('Dermal Calcs'!$B$64:$H$70, MATCH($L23,'Dermal Calcs'!$A$64:$A$70, 0), MATCH(R$3, 'Dermal Calcs'!$B$63:$H$63, 0)))*$K23*$F23</f>
        <v>1.280833333333333E-3</v>
      </c>
      <c r="S23" s="477">
        <f>(INDEX('Dermal Calcs'!$B$64:$H$70, MATCH($L23,'Dermal Calcs'!$A$64:$A$70, 0), MATCH(S$3, 'Dermal Calcs'!$B$63:$H$63, 0)))*$K23*$F23</f>
        <v>1.4978138297872341E-3</v>
      </c>
      <c r="T23" s="486">
        <f t="shared" si="3"/>
        <v>0.25162392280071821</v>
      </c>
      <c r="U23" s="487">
        <f t="shared" si="4"/>
        <v>0.23546323324022347</v>
      </c>
      <c r="V23" s="487">
        <f t="shared" si="5"/>
        <v>0.25747922535211265</v>
      </c>
      <c r="W23" s="488">
        <f t="shared" si="6"/>
        <v>0.32576249999999995</v>
      </c>
      <c r="X23" s="488">
        <f t="shared" si="7"/>
        <v>0.40406088709677412</v>
      </c>
      <c r="Y23" s="488">
        <f t="shared" si="8"/>
        <v>0.46750416666666655</v>
      </c>
      <c r="Z23" s="488">
        <f t="shared" si="9"/>
        <v>0.54670204787234045</v>
      </c>
      <c r="AA23" s="486">
        <f t="shared" si="10"/>
        <v>6.8938061041292655E-4</v>
      </c>
      <c r="AB23" s="487">
        <f t="shared" si="11"/>
        <v>6.4510474860335202E-4</v>
      </c>
      <c r="AC23" s="487">
        <f t="shared" si="12"/>
        <v>7.0542253521126759E-4</v>
      </c>
      <c r="AD23" s="488">
        <f t="shared" si="13"/>
        <v>8.9249999999999985E-4</v>
      </c>
      <c r="AE23" s="488">
        <f t="shared" si="14"/>
        <v>1.1070161290322579E-3</v>
      </c>
      <c r="AF23" s="488">
        <f t="shared" si="15"/>
        <v>1.280833333333333E-3</v>
      </c>
      <c r="AG23" s="488">
        <f t="shared" si="16"/>
        <v>1.4978138297872341E-3</v>
      </c>
      <c r="AH23" s="479">
        <f t="shared" ref="AH23:AH30" si="67">(T23*1000)/365</f>
        <v>0.68938061041292664</v>
      </c>
      <c r="AI23" s="480">
        <f t="shared" ref="AI23:AI30" si="68">(U23*1000)/365</f>
        <v>0.64510474860335199</v>
      </c>
      <c r="AJ23" s="480">
        <f t="shared" ref="AJ23:AJ30" si="69">(V23*1000)/365</f>
        <v>0.70542253521126763</v>
      </c>
      <c r="AK23" s="480">
        <f t="shared" ref="AK23:AK30" si="70">(W23*1000)/365</f>
        <v>0.89249999999999985</v>
      </c>
      <c r="AL23" s="480">
        <f t="shared" ref="AL23:AL30" si="71">(X23*1000)/365</f>
        <v>1.107016129032258</v>
      </c>
      <c r="AM23" s="480">
        <f t="shared" ref="AM23:AM30" si="72">(Y23*1000)/365</f>
        <v>1.280833333333333</v>
      </c>
      <c r="AN23" s="481">
        <f t="shared" ref="AN23:AN30" si="73">(Z23*1000)/365</f>
        <v>1.4978138297872341</v>
      </c>
      <c r="AO23" s="480">
        <f t="shared" si="55"/>
        <v>0.68938061041292653</v>
      </c>
      <c r="AP23" s="480">
        <f t="shared" si="56"/>
        <v>0.64510474860335199</v>
      </c>
      <c r="AQ23" s="480">
        <f t="shared" si="57"/>
        <v>0.70542253521126763</v>
      </c>
      <c r="AR23" s="480">
        <f t="shared" si="58"/>
        <v>0.89249999999999985</v>
      </c>
      <c r="AS23" s="480">
        <f t="shared" si="59"/>
        <v>1.107016129032258</v>
      </c>
      <c r="AT23" s="480">
        <f t="shared" si="60"/>
        <v>1.280833333333333</v>
      </c>
      <c r="AU23" s="481">
        <f t="shared" si="61"/>
        <v>1.4978138297872341</v>
      </c>
      <c r="AV23" s="486">
        <f t="shared" ref="AV23:AV24" si="74">(T23*1000)/365</f>
        <v>0.68938061041292664</v>
      </c>
      <c r="AW23" s="487">
        <f t="shared" si="62"/>
        <v>0.6752636419073097</v>
      </c>
      <c r="AX23" s="488">
        <f t="shared" si="63"/>
        <v>1.1945408230382062</v>
      </c>
      <c r="AY23" s="486">
        <f t="shared" si="64"/>
        <v>0.68938061041292653</v>
      </c>
      <c r="AZ23" s="487">
        <f t="shared" si="65"/>
        <v>0.67526364190730981</v>
      </c>
      <c r="BA23" s="488">
        <f t="shared" si="66"/>
        <v>1.1945408230382062</v>
      </c>
      <c r="BB23" s="561">
        <f t="shared" si="40"/>
        <v>17406.929958201486</v>
      </c>
      <c r="BC23" s="482">
        <f t="shared" si="48"/>
        <v>18601.630240639104</v>
      </c>
      <c r="BD23" s="482">
        <f t="shared" si="49"/>
        <v>17011.081162024559</v>
      </c>
      <c r="BE23" s="482">
        <f t="shared" si="50"/>
        <v>13445.378151260507</v>
      </c>
      <c r="BF23" s="482">
        <f t="shared" si="51"/>
        <v>10839.950462591973</v>
      </c>
      <c r="BG23" s="482">
        <f t="shared" si="52"/>
        <v>9368.9004554326639</v>
      </c>
      <c r="BH23" s="562">
        <f t="shared" si="53"/>
        <v>8011.6765924805295</v>
      </c>
      <c r="BI23" s="489">
        <f t="shared" si="41"/>
        <v>17406.92995820149</v>
      </c>
      <c r="BJ23" s="490">
        <f t="shared" si="42"/>
        <v>18601.630240639104</v>
      </c>
      <c r="BK23" s="490">
        <f t="shared" si="43"/>
        <v>17011.081162024559</v>
      </c>
      <c r="BL23" s="490">
        <f t="shared" si="44"/>
        <v>13445.378151260507</v>
      </c>
      <c r="BM23" s="490">
        <f t="shared" si="45"/>
        <v>10839.950462591973</v>
      </c>
      <c r="BN23" s="490">
        <f t="shared" si="46"/>
        <v>9368.9004554326639</v>
      </c>
      <c r="BO23" s="491">
        <f t="shared" si="47"/>
        <v>8011.6765924805295</v>
      </c>
    </row>
    <row r="24" spans="1:67">
      <c r="A24" s="810"/>
      <c r="B24" s="492" t="s">
        <v>2745</v>
      </c>
      <c r="C24" s="810"/>
      <c r="D24" s="499">
        <v>1</v>
      </c>
      <c r="E24" s="500">
        <v>1</v>
      </c>
      <c r="F24" s="500">
        <v>1</v>
      </c>
      <c r="G24" s="502">
        <f>'Compiled Articles'!J14</f>
        <v>30</v>
      </c>
      <c r="H24" s="573">
        <f>'Compiled Articles'!$J$11</f>
        <v>365</v>
      </c>
      <c r="I24" s="573">
        <v>1</v>
      </c>
      <c r="J24" s="471">
        <f t="shared" si="1"/>
        <v>1.1129999999999999E-4</v>
      </c>
      <c r="K24" s="471">
        <f t="shared" si="2"/>
        <v>5.5649999999999997E-5</v>
      </c>
      <c r="L24" s="498" t="s">
        <v>3132</v>
      </c>
      <c r="M24" s="473">
        <f>(INDEX('Dermal Calcs'!$B$64:$H$70, MATCH($L24,'Dermal Calcs'!$A$64:$A$70, 0), MATCH(M$3, 'Dermal Calcs'!$B$63:$H$63, 0)))*$K24*$D24</f>
        <v>6.8938061041292663E-5</v>
      </c>
      <c r="N24" s="474">
        <f>(INDEX('Dermal Calcs'!$B$64:$H$70, MATCH($L24,'Dermal Calcs'!$A$64:$A$70, 0), MATCH(N$3, 'Dermal Calcs'!$B$63:$H$63, 0)))*$K24*$E24</f>
        <v>6.4510474860335207E-5</v>
      </c>
      <c r="O24" s="474">
        <f>(INDEX('Dermal Calcs'!$B$64:$H$70, MATCH($L24,'Dermal Calcs'!$A$64:$A$70, 0), MATCH(O$3, 'Dermal Calcs'!$B$63:$H$63, 0)))*$K24*$E24</f>
        <v>7.0542253521126757E-5</v>
      </c>
      <c r="P24" s="476">
        <f>(INDEX('Dermal Calcs'!$B$64:$H$70, MATCH($L24,'Dermal Calcs'!$A$64:$A$70, 0), MATCH(P$3, 'Dermal Calcs'!$B$63:$H$63, 0)))*$K24*$F24</f>
        <v>8.9249999999999987E-5</v>
      </c>
      <c r="Q24" s="476">
        <f>(INDEX('Dermal Calcs'!$B$64:$H$70, MATCH($L24,'Dermal Calcs'!$A$64:$A$70, 0), MATCH(Q$3, 'Dermal Calcs'!$B$63:$H$63, 0)))*$K24*$F24</f>
        <v>1.1070161290322581E-4</v>
      </c>
      <c r="R24" s="476">
        <f>(INDEX('Dermal Calcs'!$B$64:$H$70, MATCH($L24,'Dermal Calcs'!$A$64:$A$70, 0), MATCH(R$3, 'Dermal Calcs'!$B$63:$H$63, 0)))*$K24*$F24</f>
        <v>1.2808333333333332E-4</v>
      </c>
      <c r="S24" s="477">
        <f>(INDEX('Dermal Calcs'!$B$64:$H$70, MATCH($L24,'Dermal Calcs'!$A$64:$A$70, 0), MATCH(S$3, 'Dermal Calcs'!$B$63:$H$63, 0)))*$K24*$F24</f>
        <v>1.4978138297872342E-4</v>
      </c>
      <c r="T24" s="486">
        <f t="shared" si="3"/>
        <v>2.5162392280071822E-2</v>
      </c>
      <c r="U24" s="487">
        <f t="shared" si="4"/>
        <v>2.3546323324022352E-2</v>
      </c>
      <c r="V24" s="487">
        <f t="shared" si="5"/>
        <v>2.5747922535211267E-2</v>
      </c>
      <c r="W24" s="488">
        <f t="shared" si="6"/>
        <v>3.2576249999999994E-2</v>
      </c>
      <c r="X24" s="488">
        <f t="shared" si="7"/>
        <v>4.0406088709677421E-2</v>
      </c>
      <c r="Y24" s="488">
        <f t="shared" si="8"/>
        <v>4.6750416666666662E-2</v>
      </c>
      <c r="Z24" s="488">
        <f t="shared" si="9"/>
        <v>5.4670204787234049E-2</v>
      </c>
      <c r="AA24" s="486">
        <f t="shared" si="10"/>
        <v>6.8938061041292663E-5</v>
      </c>
      <c r="AB24" s="487">
        <f t="shared" si="11"/>
        <v>6.4510474860335207E-5</v>
      </c>
      <c r="AC24" s="487">
        <f t="shared" si="12"/>
        <v>7.0542253521126757E-5</v>
      </c>
      <c r="AD24" s="488">
        <f t="shared" si="13"/>
        <v>8.9249999999999987E-5</v>
      </c>
      <c r="AE24" s="488">
        <f t="shared" si="14"/>
        <v>1.1070161290322581E-4</v>
      </c>
      <c r="AF24" s="488">
        <f t="shared" si="15"/>
        <v>1.2808333333333332E-4</v>
      </c>
      <c r="AG24" s="488">
        <f t="shared" si="16"/>
        <v>1.4978138297872342E-4</v>
      </c>
      <c r="AH24" s="479">
        <f t="shared" si="67"/>
        <v>6.8938061041292659E-2</v>
      </c>
      <c r="AI24" s="480">
        <f t="shared" si="68"/>
        <v>6.4510474860335218E-2</v>
      </c>
      <c r="AJ24" s="480">
        <f t="shared" si="69"/>
        <v>7.0542253521126752E-2</v>
      </c>
      <c r="AK24" s="480">
        <f t="shared" si="70"/>
        <v>8.9249999999999982E-2</v>
      </c>
      <c r="AL24" s="480">
        <f t="shared" si="71"/>
        <v>0.1107016129032258</v>
      </c>
      <c r="AM24" s="480">
        <f t="shared" si="72"/>
        <v>0.1280833333333333</v>
      </c>
      <c r="AN24" s="481">
        <f t="shared" si="73"/>
        <v>0.14978138297872343</v>
      </c>
      <c r="AO24" s="480">
        <f t="shared" si="55"/>
        <v>6.8938061041292659E-2</v>
      </c>
      <c r="AP24" s="480">
        <f t="shared" si="56"/>
        <v>6.4510474860335204E-2</v>
      </c>
      <c r="AQ24" s="480">
        <f t="shared" si="57"/>
        <v>7.0542253521126752E-2</v>
      </c>
      <c r="AR24" s="480">
        <f t="shared" si="58"/>
        <v>8.9249999999999982E-2</v>
      </c>
      <c r="AS24" s="480">
        <f t="shared" si="59"/>
        <v>0.1107016129032258</v>
      </c>
      <c r="AT24" s="480">
        <f t="shared" si="60"/>
        <v>0.12808333333333333</v>
      </c>
      <c r="AU24" s="481">
        <f t="shared" si="61"/>
        <v>0.14978138297872343</v>
      </c>
      <c r="AV24" s="486">
        <f t="shared" si="74"/>
        <v>6.8938061041292659E-2</v>
      </c>
      <c r="AW24" s="487">
        <f t="shared" si="62"/>
        <v>6.7526364190730978E-2</v>
      </c>
      <c r="AX24" s="488">
        <f t="shared" si="63"/>
        <v>0.11945408230382062</v>
      </c>
      <c r="AY24" s="486">
        <f t="shared" si="64"/>
        <v>6.8938061041292659E-2</v>
      </c>
      <c r="AZ24" s="487">
        <f t="shared" si="65"/>
        <v>6.7526364190730978E-2</v>
      </c>
      <c r="BA24" s="488">
        <f t="shared" si="66"/>
        <v>0.11945408230382062</v>
      </c>
      <c r="BB24" s="561">
        <f t="shared" si="40"/>
        <v>174069.29958201488</v>
      </c>
      <c r="BC24" s="482">
        <f t="shared" si="48"/>
        <v>186016.30240639101</v>
      </c>
      <c r="BD24" s="482">
        <f t="shared" si="49"/>
        <v>170110.8116202456</v>
      </c>
      <c r="BE24" s="482">
        <f t="shared" si="50"/>
        <v>134453.78151260506</v>
      </c>
      <c r="BF24" s="482">
        <f t="shared" si="51"/>
        <v>108399.50462591973</v>
      </c>
      <c r="BG24" s="482">
        <f t="shared" si="52"/>
        <v>93689.004554326631</v>
      </c>
      <c r="BH24" s="562">
        <f t="shared" si="53"/>
        <v>80116.765924805295</v>
      </c>
      <c r="BI24" s="489">
        <f t="shared" si="41"/>
        <v>174069.29958201488</v>
      </c>
      <c r="BJ24" s="490">
        <f t="shared" si="42"/>
        <v>186016.30240639104</v>
      </c>
      <c r="BK24" s="490">
        <f t="shared" si="43"/>
        <v>170110.8116202456</v>
      </c>
      <c r="BL24" s="490">
        <f t="shared" si="44"/>
        <v>134453.78151260506</v>
      </c>
      <c r="BM24" s="490">
        <f t="shared" si="45"/>
        <v>108399.50462591973</v>
      </c>
      <c r="BN24" s="490">
        <f t="shared" si="46"/>
        <v>93689.004554326617</v>
      </c>
      <c r="BO24" s="491">
        <f t="shared" si="47"/>
        <v>80116.765924805295</v>
      </c>
    </row>
    <row r="25" spans="1:67" ht="14.65" customHeight="1">
      <c r="A25" s="808" t="str">
        <f>'Compiled Articles'!K6</f>
        <v>Vinyl Flooring</v>
      </c>
      <c r="B25" s="501" t="s">
        <v>2741</v>
      </c>
      <c r="C25" s="808" t="str">
        <f>A25</f>
        <v>Vinyl Flooring</v>
      </c>
      <c r="D25" s="462">
        <v>1</v>
      </c>
      <c r="E25" s="583">
        <v>1</v>
      </c>
      <c r="F25" s="583">
        <v>1</v>
      </c>
      <c r="G25" s="502">
        <f>'Compiled Articles'!K12</f>
        <v>120</v>
      </c>
      <c r="H25" s="573">
        <f>'Compiled Articles'!$K$11</f>
        <v>365</v>
      </c>
      <c r="I25" s="14">
        <v>1</v>
      </c>
      <c r="J25" s="471">
        <f t="shared" si="1"/>
        <v>1.1129999999999999E-4</v>
      </c>
      <c r="K25" s="471">
        <f t="shared" si="2"/>
        <v>2.2259999999999999E-4</v>
      </c>
      <c r="L25" s="472" t="s">
        <v>3135</v>
      </c>
      <c r="M25" s="473">
        <f>(INDEX('Dermal Calcs'!$B$64:$H$70, MATCH($L25,'Dermal Calcs'!$A$64:$A$70, 0), MATCH(M$3, 'Dermal Calcs'!$B$63:$H$63, 0)))*$K25*$D25</f>
        <v>2.7575224416517062E-3</v>
      </c>
      <c r="N25" s="474">
        <f>(INDEX('Dermal Calcs'!$B$64:$H$70, MATCH($L25,'Dermal Calcs'!$A$64:$A$70, 0), MATCH(N$3, 'Dermal Calcs'!$B$63:$H$63, 0)))*$K25*$E25</f>
        <v>2.5804189944134081E-3</v>
      </c>
      <c r="O25" s="474">
        <f>(INDEX('Dermal Calcs'!$B$64:$H$70, MATCH($L25,'Dermal Calcs'!$A$64:$A$70, 0), MATCH(O$3, 'Dermal Calcs'!$B$63:$H$63, 0)))*$K25*$E25</f>
        <v>2.8216901408450704E-3</v>
      </c>
      <c r="P25" s="476">
        <f>(INDEX('Dermal Calcs'!$B$64:$H$70, MATCH($L25,'Dermal Calcs'!$A$64:$A$70, 0), MATCH(P$3, 'Dermal Calcs'!$B$63:$H$63, 0)))*$K25*$F25</f>
        <v>3.5699999999999994E-3</v>
      </c>
      <c r="Q25" s="476">
        <f>(INDEX('Dermal Calcs'!$B$64:$H$70, MATCH($L25,'Dermal Calcs'!$A$64:$A$70, 0), MATCH(Q$3, 'Dermal Calcs'!$B$63:$H$63, 0)))*$K25*$F25</f>
        <v>4.4280645161290317E-3</v>
      </c>
      <c r="R25" s="476">
        <f>(INDEX('Dermal Calcs'!$B$64:$H$70, MATCH($L25,'Dermal Calcs'!$A$64:$A$70, 0), MATCH(R$3, 'Dermal Calcs'!$B$63:$H$63, 0)))*$K25*$F25</f>
        <v>5.1233333333333322E-3</v>
      </c>
      <c r="S25" s="477">
        <f>(INDEX('Dermal Calcs'!$B$64:$H$70, MATCH($L25,'Dermal Calcs'!$A$64:$A$70, 0), MATCH(S$3, 'Dermal Calcs'!$B$63:$H$63, 0)))*$K25*$F25</f>
        <v>5.9912553191489365E-3</v>
      </c>
      <c r="T25" s="486">
        <f t="shared" si="3"/>
        <v>1.0064956912028729</v>
      </c>
      <c r="U25" s="487">
        <f t="shared" si="4"/>
        <v>0.9418529329608939</v>
      </c>
      <c r="V25" s="487">
        <f t="shared" si="5"/>
        <v>1.0299169014084506</v>
      </c>
      <c r="W25" s="488">
        <f t="shared" si="6"/>
        <v>1.3030499999999998</v>
      </c>
      <c r="X25" s="488">
        <f t="shared" si="7"/>
        <v>1.6162435483870965</v>
      </c>
      <c r="Y25" s="488">
        <f t="shared" si="8"/>
        <v>1.8700166666666662</v>
      </c>
      <c r="Z25" s="488">
        <f t="shared" si="9"/>
        <v>2.1868081914893618</v>
      </c>
      <c r="AA25" s="486">
        <f t="shared" si="10"/>
        <v>2.7575224416517062E-3</v>
      </c>
      <c r="AB25" s="487">
        <f t="shared" si="11"/>
        <v>2.5804189944134081E-3</v>
      </c>
      <c r="AC25" s="487">
        <f t="shared" si="12"/>
        <v>2.8216901408450704E-3</v>
      </c>
      <c r="AD25" s="488">
        <f t="shared" si="13"/>
        <v>3.5699999999999994E-3</v>
      </c>
      <c r="AE25" s="488">
        <f t="shared" si="14"/>
        <v>4.4280645161290317E-3</v>
      </c>
      <c r="AF25" s="488">
        <f t="shared" si="15"/>
        <v>5.1233333333333322E-3</v>
      </c>
      <c r="AG25" s="488">
        <f t="shared" si="16"/>
        <v>5.9912553191489365E-3</v>
      </c>
      <c r="AH25" s="479">
        <f t="shared" si="67"/>
        <v>2.7575224416517066</v>
      </c>
      <c r="AI25" s="480">
        <f t="shared" si="68"/>
        <v>2.5804189944134079</v>
      </c>
      <c r="AJ25" s="480">
        <f t="shared" si="69"/>
        <v>2.8216901408450705</v>
      </c>
      <c r="AK25" s="480">
        <f t="shared" si="70"/>
        <v>3.5699999999999994</v>
      </c>
      <c r="AL25" s="480">
        <f t="shared" si="71"/>
        <v>4.428064516129032</v>
      </c>
      <c r="AM25" s="480">
        <f t="shared" si="72"/>
        <v>5.1233333333333322</v>
      </c>
      <c r="AN25" s="481">
        <f t="shared" si="73"/>
        <v>5.9912553191489364</v>
      </c>
      <c r="AO25" s="480">
        <f t="shared" si="55"/>
        <v>2.7575224416517061</v>
      </c>
      <c r="AP25" s="480">
        <f t="shared" si="56"/>
        <v>2.5804189944134079</v>
      </c>
      <c r="AQ25" s="480">
        <f t="shared" si="57"/>
        <v>2.8216901408450705</v>
      </c>
      <c r="AR25" s="480">
        <f t="shared" si="58"/>
        <v>3.5699999999999994</v>
      </c>
      <c r="AS25" s="480">
        <f t="shared" si="59"/>
        <v>4.428064516129032</v>
      </c>
      <c r="AT25" s="480">
        <f t="shared" si="60"/>
        <v>5.1233333333333322</v>
      </c>
      <c r="AU25" s="481">
        <f t="shared" si="61"/>
        <v>5.9912553191489364</v>
      </c>
      <c r="AV25" s="486">
        <f t="shared" ref="AV25:AV36" si="75">(T25*1000)/365</f>
        <v>2.7575224416517066</v>
      </c>
      <c r="AW25" s="487">
        <f t="shared" ref="AW25:AW36" si="76">(AVERAGE(U25:V25)*1000)/365</f>
        <v>2.7010545676292388</v>
      </c>
      <c r="AX25" s="488">
        <f t="shared" ref="AX25:AX36" si="77">(AVERAGE(W25:Z25)*1000)/365</f>
        <v>4.7781632921528248</v>
      </c>
      <c r="AY25" s="486">
        <f t="shared" ref="AY25:AY36" si="78">AA25*1000</f>
        <v>2.7575224416517061</v>
      </c>
      <c r="AZ25" s="487">
        <f t="shared" ref="AZ25:AZ36" si="79">AVERAGE(AB25:AC25)*1000</f>
        <v>2.7010545676292392</v>
      </c>
      <c r="BA25" s="488">
        <f t="shared" ref="BA25:BA36" si="80">AVERAGE(AD25:AG25)*1000</f>
        <v>4.7781632921528248</v>
      </c>
      <c r="BB25" s="561">
        <f t="shared" si="40"/>
        <v>4351.7324895503716</v>
      </c>
      <c r="BC25" s="482">
        <f t="shared" si="48"/>
        <v>4650.407560159776</v>
      </c>
      <c r="BD25" s="482">
        <f t="shared" si="49"/>
        <v>4252.7702905061396</v>
      </c>
      <c r="BE25" s="482">
        <f t="shared" si="50"/>
        <v>3361.3445378151268</v>
      </c>
      <c r="BF25" s="482">
        <f t="shared" si="51"/>
        <v>2709.9876156479932</v>
      </c>
      <c r="BG25" s="482">
        <f t="shared" si="52"/>
        <v>2342.225113858166</v>
      </c>
      <c r="BH25" s="562">
        <f t="shared" si="53"/>
        <v>2002.9191481201324</v>
      </c>
      <c r="BI25" s="489">
        <f t="shared" si="41"/>
        <v>4351.7324895503725</v>
      </c>
      <c r="BJ25" s="490">
        <f t="shared" si="42"/>
        <v>4650.407560159776</v>
      </c>
      <c r="BK25" s="490">
        <f t="shared" si="43"/>
        <v>4252.7702905061396</v>
      </c>
      <c r="BL25" s="490">
        <f t="shared" si="44"/>
        <v>3361.3445378151268</v>
      </c>
      <c r="BM25" s="490">
        <f t="shared" si="45"/>
        <v>2709.9876156479932</v>
      </c>
      <c r="BN25" s="490">
        <f t="shared" si="46"/>
        <v>2342.225113858166</v>
      </c>
      <c r="BO25" s="491">
        <f t="shared" si="47"/>
        <v>2002.9191481201324</v>
      </c>
    </row>
    <row r="26" spans="1:67">
      <c r="A26" s="809"/>
      <c r="B26" s="400" t="s">
        <v>2790</v>
      </c>
      <c r="C26" s="809"/>
      <c r="D26" s="462">
        <v>1</v>
      </c>
      <c r="E26" s="583">
        <v>1</v>
      </c>
      <c r="F26" s="583">
        <v>1</v>
      </c>
      <c r="G26" s="502">
        <f>'Compiled Articles'!K13</f>
        <v>60</v>
      </c>
      <c r="H26" s="573">
        <f>'Compiled Articles'!$K$11</f>
        <v>365</v>
      </c>
      <c r="I26" s="573">
        <f>I25</f>
        <v>1</v>
      </c>
      <c r="J26" s="471">
        <f t="shared" si="1"/>
        <v>1.1129999999999999E-4</v>
      </c>
      <c r="K26" s="471">
        <f t="shared" si="2"/>
        <v>1.1129999999999999E-4</v>
      </c>
      <c r="L26" s="497" t="s">
        <v>3131</v>
      </c>
      <c r="M26" s="473">
        <f>(INDEX('Dermal Calcs'!$B$64:$H$70, MATCH($L26,'Dermal Calcs'!$A$64:$A$70, 0), MATCH(M$3, 'Dermal Calcs'!$B$63:$H$63, 0)))*$K26*$D26</f>
        <v>6.8938061041292655E-4</v>
      </c>
      <c r="N26" s="474">
        <f>(INDEX('Dermal Calcs'!$B$64:$H$70, MATCH($L26,'Dermal Calcs'!$A$64:$A$70, 0), MATCH(N$3, 'Dermal Calcs'!$B$63:$H$63, 0)))*$K26*$E26</f>
        <v>6.4510474860335202E-4</v>
      </c>
      <c r="O26" s="474">
        <f>(INDEX('Dermal Calcs'!$B$64:$H$70, MATCH($L26,'Dermal Calcs'!$A$64:$A$70, 0), MATCH(O$3, 'Dermal Calcs'!$B$63:$H$63, 0)))*$K26*$E26</f>
        <v>7.0542253521126759E-4</v>
      </c>
      <c r="P26" s="476">
        <f>(INDEX('Dermal Calcs'!$B$64:$H$70, MATCH($L26,'Dermal Calcs'!$A$64:$A$70, 0), MATCH(P$3, 'Dermal Calcs'!$B$63:$H$63, 0)))*$K26*$F26</f>
        <v>8.9249999999999985E-4</v>
      </c>
      <c r="Q26" s="476">
        <f>(INDEX('Dermal Calcs'!$B$64:$H$70, MATCH($L26,'Dermal Calcs'!$A$64:$A$70, 0), MATCH(Q$3, 'Dermal Calcs'!$B$63:$H$63, 0)))*$K26*$F26</f>
        <v>1.1070161290322579E-3</v>
      </c>
      <c r="R26" s="476">
        <f>(INDEX('Dermal Calcs'!$B$64:$H$70, MATCH($L26,'Dermal Calcs'!$A$64:$A$70, 0), MATCH(R$3, 'Dermal Calcs'!$B$63:$H$63, 0)))*$K26*$F26</f>
        <v>1.280833333333333E-3</v>
      </c>
      <c r="S26" s="477">
        <f>(INDEX('Dermal Calcs'!$B$64:$H$70, MATCH($L26,'Dermal Calcs'!$A$64:$A$70, 0), MATCH(S$3, 'Dermal Calcs'!$B$63:$H$63, 0)))*$K26*$F26</f>
        <v>1.4978138297872341E-3</v>
      </c>
      <c r="T26" s="486">
        <f t="shared" si="3"/>
        <v>0.25162392280071821</v>
      </c>
      <c r="U26" s="487">
        <f t="shared" si="4"/>
        <v>0.23546323324022347</v>
      </c>
      <c r="V26" s="487">
        <f t="shared" si="5"/>
        <v>0.25747922535211265</v>
      </c>
      <c r="W26" s="488">
        <f t="shared" si="6"/>
        <v>0.32576249999999995</v>
      </c>
      <c r="X26" s="488">
        <f t="shared" si="7"/>
        <v>0.40406088709677412</v>
      </c>
      <c r="Y26" s="488">
        <f t="shared" si="8"/>
        <v>0.46750416666666655</v>
      </c>
      <c r="Z26" s="488">
        <f t="shared" si="9"/>
        <v>0.54670204787234045</v>
      </c>
      <c r="AA26" s="486">
        <f t="shared" si="10"/>
        <v>6.8938061041292655E-4</v>
      </c>
      <c r="AB26" s="487">
        <f t="shared" si="11"/>
        <v>6.4510474860335202E-4</v>
      </c>
      <c r="AC26" s="487">
        <f t="shared" si="12"/>
        <v>7.0542253521126759E-4</v>
      </c>
      <c r="AD26" s="488">
        <f t="shared" si="13"/>
        <v>8.9249999999999985E-4</v>
      </c>
      <c r="AE26" s="488">
        <f t="shared" si="14"/>
        <v>1.1070161290322579E-3</v>
      </c>
      <c r="AF26" s="488">
        <f t="shared" si="15"/>
        <v>1.280833333333333E-3</v>
      </c>
      <c r="AG26" s="488">
        <f t="shared" si="16"/>
        <v>1.4978138297872341E-3</v>
      </c>
      <c r="AH26" s="479">
        <f t="shared" si="67"/>
        <v>0.68938061041292664</v>
      </c>
      <c r="AI26" s="480">
        <f t="shared" si="68"/>
        <v>0.64510474860335199</v>
      </c>
      <c r="AJ26" s="480">
        <f t="shared" si="69"/>
        <v>0.70542253521126763</v>
      </c>
      <c r="AK26" s="480">
        <f t="shared" si="70"/>
        <v>0.89249999999999985</v>
      </c>
      <c r="AL26" s="480">
        <f t="shared" si="71"/>
        <v>1.107016129032258</v>
      </c>
      <c r="AM26" s="480">
        <f t="shared" si="72"/>
        <v>1.280833333333333</v>
      </c>
      <c r="AN26" s="481">
        <f t="shared" si="73"/>
        <v>1.4978138297872341</v>
      </c>
      <c r="AO26" s="480">
        <f t="shared" si="55"/>
        <v>0.68938061041292653</v>
      </c>
      <c r="AP26" s="480">
        <f t="shared" si="56"/>
        <v>0.64510474860335199</v>
      </c>
      <c r="AQ26" s="480">
        <f t="shared" si="57"/>
        <v>0.70542253521126763</v>
      </c>
      <c r="AR26" s="480">
        <f t="shared" si="58"/>
        <v>0.89249999999999985</v>
      </c>
      <c r="AS26" s="480">
        <f t="shared" si="59"/>
        <v>1.107016129032258</v>
      </c>
      <c r="AT26" s="480">
        <f t="shared" si="60"/>
        <v>1.280833333333333</v>
      </c>
      <c r="AU26" s="481">
        <f t="shared" si="61"/>
        <v>1.4978138297872341</v>
      </c>
      <c r="AV26" s="486">
        <f t="shared" si="75"/>
        <v>0.68938061041292664</v>
      </c>
      <c r="AW26" s="487">
        <f t="shared" si="76"/>
        <v>0.6752636419073097</v>
      </c>
      <c r="AX26" s="488">
        <f t="shared" si="77"/>
        <v>1.1945408230382062</v>
      </c>
      <c r="AY26" s="486">
        <f t="shared" si="78"/>
        <v>0.68938061041292653</v>
      </c>
      <c r="AZ26" s="487">
        <f t="shared" si="79"/>
        <v>0.67526364190730981</v>
      </c>
      <c r="BA26" s="488">
        <f t="shared" si="80"/>
        <v>1.1945408230382062</v>
      </c>
      <c r="BB26" s="561">
        <f t="shared" si="40"/>
        <v>17406.929958201486</v>
      </c>
      <c r="BC26" s="482">
        <f t="shared" si="48"/>
        <v>18601.630240639104</v>
      </c>
      <c r="BD26" s="482">
        <f t="shared" si="49"/>
        <v>17011.081162024559</v>
      </c>
      <c r="BE26" s="482">
        <f t="shared" si="50"/>
        <v>13445.378151260507</v>
      </c>
      <c r="BF26" s="482">
        <f t="shared" si="51"/>
        <v>10839.950462591973</v>
      </c>
      <c r="BG26" s="482">
        <f t="shared" si="52"/>
        <v>9368.9004554326639</v>
      </c>
      <c r="BH26" s="562">
        <f t="shared" si="53"/>
        <v>8011.6765924805295</v>
      </c>
      <c r="BI26" s="489">
        <f t="shared" si="41"/>
        <v>17406.92995820149</v>
      </c>
      <c r="BJ26" s="490">
        <f t="shared" si="42"/>
        <v>18601.630240639104</v>
      </c>
      <c r="BK26" s="490">
        <f t="shared" si="43"/>
        <v>17011.081162024559</v>
      </c>
      <c r="BL26" s="490">
        <f t="shared" si="44"/>
        <v>13445.378151260507</v>
      </c>
      <c r="BM26" s="490">
        <f t="shared" si="45"/>
        <v>10839.950462591973</v>
      </c>
      <c r="BN26" s="490">
        <f t="shared" si="46"/>
        <v>9368.9004554326639</v>
      </c>
      <c r="BO26" s="491">
        <f t="shared" si="47"/>
        <v>8011.6765924805295</v>
      </c>
    </row>
    <row r="27" spans="1:67">
      <c r="A27" s="810"/>
      <c r="B27" s="492" t="s">
        <v>2745</v>
      </c>
      <c r="C27" s="810"/>
      <c r="D27" s="499">
        <v>1</v>
      </c>
      <c r="E27" s="500">
        <v>1</v>
      </c>
      <c r="F27" s="500">
        <v>1</v>
      </c>
      <c r="G27" s="502">
        <f>'Compiled Articles'!K14</f>
        <v>30</v>
      </c>
      <c r="H27" s="573">
        <f>'Compiled Articles'!$K$11</f>
        <v>365</v>
      </c>
      <c r="I27" s="573">
        <f>I25</f>
        <v>1</v>
      </c>
      <c r="J27" s="471">
        <f t="shared" si="1"/>
        <v>1.1129999999999999E-4</v>
      </c>
      <c r="K27" s="471">
        <f t="shared" si="2"/>
        <v>5.5649999999999997E-5</v>
      </c>
      <c r="L27" s="498" t="s">
        <v>3132</v>
      </c>
      <c r="M27" s="473">
        <f>(INDEX('Dermal Calcs'!$B$64:$H$70, MATCH($L27,'Dermal Calcs'!$A$64:$A$70, 0), MATCH(M$3, 'Dermal Calcs'!$B$63:$H$63, 0)))*$K27*$D27</f>
        <v>6.8938061041292663E-5</v>
      </c>
      <c r="N27" s="474">
        <f>(INDEX('Dermal Calcs'!$B$64:$H$70, MATCH($L27,'Dermal Calcs'!$A$64:$A$70, 0), MATCH(N$3, 'Dermal Calcs'!$B$63:$H$63, 0)))*$K27*$E27</f>
        <v>6.4510474860335207E-5</v>
      </c>
      <c r="O27" s="474">
        <f>(INDEX('Dermal Calcs'!$B$64:$H$70, MATCH($L27,'Dermal Calcs'!$A$64:$A$70, 0), MATCH(O$3, 'Dermal Calcs'!$B$63:$H$63, 0)))*$K27*$E27</f>
        <v>7.0542253521126757E-5</v>
      </c>
      <c r="P27" s="476">
        <f>(INDEX('Dermal Calcs'!$B$64:$H$70, MATCH($L27,'Dermal Calcs'!$A$64:$A$70, 0), MATCH(P$3, 'Dermal Calcs'!$B$63:$H$63, 0)))*$K27*$F27</f>
        <v>8.9249999999999987E-5</v>
      </c>
      <c r="Q27" s="476">
        <f>(INDEX('Dermal Calcs'!$B$64:$H$70, MATCH($L27,'Dermal Calcs'!$A$64:$A$70, 0), MATCH(Q$3, 'Dermal Calcs'!$B$63:$H$63, 0)))*$K27*$F27</f>
        <v>1.1070161290322581E-4</v>
      </c>
      <c r="R27" s="476">
        <f>(INDEX('Dermal Calcs'!$B$64:$H$70, MATCH($L27,'Dermal Calcs'!$A$64:$A$70, 0), MATCH(R$3, 'Dermal Calcs'!$B$63:$H$63, 0)))*$K27*$F27</f>
        <v>1.2808333333333332E-4</v>
      </c>
      <c r="S27" s="477">
        <f>(INDEX('Dermal Calcs'!$B$64:$H$70, MATCH($L27,'Dermal Calcs'!$A$64:$A$70, 0), MATCH(S$3, 'Dermal Calcs'!$B$63:$H$63, 0)))*$K27*$F27</f>
        <v>1.4978138297872342E-4</v>
      </c>
      <c r="T27" s="486">
        <f t="shared" si="3"/>
        <v>2.5162392280071822E-2</v>
      </c>
      <c r="U27" s="487">
        <f t="shared" si="4"/>
        <v>2.3546323324022352E-2</v>
      </c>
      <c r="V27" s="487">
        <f t="shared" si="5"/>
        <v>2.5747922535211267E-2</v>
      </c>
      <c r="W27" s="488">
        <f t="shared" si="6"/>
        <v>3.2576249999999994E-2</v>
      </c>
      <c r="X27" s="488">
        <f t="shared" si="7"/>
        <v>4.0406088709677421E-2</v>
      </c>
      <c r="Y27" s="488">
        <f t="shared" si="8"/>
        <v>4.6750416666666662E-2</v>
      </c>
      <c r="Z27" s="488">
        <f t="shared" si="9"/>
        <v>5.4670204787234049E-2</v>
      </c>
      <c r="AA27" s="486">
        <f t="shared" si="10"/>
        <v>6.8938061041292663E-5</v>
      </c>
      <c r="AB27" s="487">
        <f t="shared" si="11"/>
        <v>6.4510474860335207E-5</v>
      </c>
      <c r="AC27" s="487">
        <f t="shared" si="12"/>
        <v>7.0542253521126757E-5</v>
      </c>
      <c r="AD27" s="488">
        <f t="shared" si="13"/>
        <v>8.9249999999999987E-5</v>
      </c>
      <c r="AE27" s="488">
        <f t="shared" si="14"/>
        <v>1.1070161290322581E-4</v>
      </c>
      <c r="AF27" s="488">
        <f t="shared" si="15"/>
        <v>1.2808333333333332E-4</v>
      </c>
      <c r="AG27" s="488">
        <f t="shared" si="16"/>
        <v>1.4978138297872342E-4</v>
      </c>
      <c r="AH27" s="479">
        <f t="shared" si="67"/>
        <v>6.8938061041292659E-2</v>
      </c>
      <c r="AI27" s="480">
        <f t="shared" si="68"/>
        <v>6.4510474860335218E-2</v>
      </c>
      <c r="AJ27" s="480">
        <f t="shared" si="69"/>
        <v>7.0542253521126752E-2</v>
      </c>
      <c r="AK27" s="480">
        <f t="shared" si="70"/>
        <v>8.9249999999999982E-2</v>
      </c>
      <c r="AL27" s="480">
        <f t="shared" si="71"/>
        <v>0.1107016129032258</v>
      </c>
      <c r="AM27" s="480">
        <f t="shared" si="72"/>
        <v>0.1280833333333333</v>
      </c>
      <c r="AN27" s="481">
        <f t="shared" si="73"/>
        <v>0.14978138297872343</v>
      </c>
      <c r="AO27" s="480">
        <f t="shared" si="55"/>
        <v>6.8938061041292659E-2</v>
      </c>
      <c r="AP27" s="480">
        <f t="shared" si="56"/>
        <v>6.4510474860335204E-2</v>
      </c>
      <c r="AQ27" s="480">
        <f t="shared" si="57"/>
        <v>7.0542253521126752E-2</v>
      </c>
      <c r="AR27" s="480">
        <f t="shared" si="58"/>
        <v>8.9249999999999982E-2</v>
      </c>
      <c r="AS27" s="480">
        <f t="shared" si="59"/>
        <v>0.1107016129032258</v>
      </c>
      <c r="AT27" s="480">
        <f t="shared" si="60"/>
        <v>0.12808333333333333</v>
      </c>
      <c r="AU27" s="481">
        <f t="shared" si="61"/>
        <v>0.14978138297872343</v>
      </c>
      <c r="AV27" s="486">
        <f t="shared" si="75"/>
        <v>6.8938061041292659E-2</v>
      </c>
      <c r="AW27" s="487">
        <f t="shared" si="76"/>
        <v>6.7526364190730978E-2</v>
      </c>
      <c r="AX27" s="488">
        <f t="shared" si="77"/>
        <v>0.11945408230382062</v>
      </c>
      <c r="AY27" s="486">
        <f t="shared" si="78"/>
        <v>6.8938061041292659E-2</v>
      </c>
      <c r="AZ27" s="487">
        <f t="shared" si="79"/>
        <v>6.7526364190730978E-2</v>
      </c>
      <c r="BA27" s="488">
        <f t="shared" si="80"/>
        <v>0.11945408230382062</v>
      </c>
      <c r="BB27" s="561">
        <f t="shared" si="40"/>
        <v>174069.29958201488</v>
      </c>
      <c r="BC27" s="482">
        <f t="shared" si="48"/>
        <v>186016.30240639101</v>
      </c>
      <c r="BD27" s="482">
        <f t="shared" si="49"/>
        <v>170110.8116202456</v>
      </c>
      <c r="BE27" s="482">
        <f t="shared" si="50"/>
        <v>134453.78151260506</v>
      </c>
      <c r="BF27" s="482">
        <f t="shared" si="51"/>
        <v>108399.50462591973</v>
      </c>
      <c r="BG27" s="482">
        <f t="shared" si="52"/>
        <v>93689.004554326631</v>
      </c>
      <c r="BH27" s="562">
        <f t="shared" si="53"/>
        <v>80116.765924805295</v>
      </c>
      <c r="BI27" s="489">
        <f t="shared" si="41"/>
        <v>174069.29958201488</v>
      </c>
      <c r="BJ27" s="490">
        <f t="shared" si="42"/>
        <v>186016.30240639104</v>
      </c>
      <c r="BK27" s="490">
        <f t="shared" si="43"/>
        <v>170110.8116202456</v>
      </c>
      <c r="BL27" s="490">
        <f t="shared" si="44"/>
        <v>134453.78151260506</v>
      </c>
      <c r="BM27" s="490">
        <f t="shared" si="45"/>
        <v>108399.50462591973</v>
      </c>
      <c r="BN27" s="490">
        <f t="shared" si="46"/>
        <v>93689.004554326617</v>
      </c>
      <c r="BO27" s="491">
        <f t="shared" si="47"/>
        <v>80116.765924805295</v>
      </c>
    </row>
    <row r="28" spans="1:67" ht="14.45" customHeight="1">
      <c r="A28" s="820" t="str">
        <f>'Compiled Products'!G1</f>
        <v>Crafting Resin (Cured)</v>
      </c>
      <c r="B28" s="506" t="s">
        <v>2741</v>
      </c>
      <c r="C28" s="820" t="str">
        <f>A28</f>
        <v>Crafting Resin (Cured)</v>
      </c>
      <c r="D28" s="462">
        <v>1</v>
      </c>
      <c r="E28" s="583">
        <v>1</v>
      </c>
      <c r="F28" s="583">
        <v>1</v>
      </c>
      <c r="G28" s="502">
        <f>'Compiled Products'!G7</f>
        <v>120</v>
      </c>
      <c r="H28" s="14">
        <f>'Compiled Products'!$G$5</f>
        <v>52</v>
      </c>
      <c r="I28" s="14">
        <v>1</v>
      </c>
      <c r="J28" s="471">
        <f t="shared" si="1"/>
        <v>1.1129999999999999E-4</v>
      </c>
      <c r="K28" s="507">
        <f t="shared" si="2"/>
        <v>2.2259999999999999E-4</v>
      </c>
      <c r="L28" s="497" t="s">
        <v>3131</v>
      </c>
      <c r="M28" s="473">
        <f>(INDEX('Dermal Calcs'!$B$64:$H$70, MATCH($L28,'Dermal Calcs'!$A$64:$A$70, 0), MATCH(M$3, 'Dermal Calcs'!$B$63:$H$63, 0)))*$K28*$D28</f>
        <v>1.3787612208258531E-3</v>
      </c>
      <c r="N28" s="474">
        <f>(INDEX('Dermal Calcs'!$B$64:$H$70, MATCH($L28,'Dermal Calcs'!$A$64:$A$70, 0), MATCH(N$3, 'Dermal Calcs'!$B$63:$H$63, 0)))*$K28*$E28</f>
        <v>1.290209497206704E-3</v>
      </c>
      <c r="O28" s="474">
        <f>(INDEX('Dermal Calcs'!$B$64:$H$70, MATCH($L28,'Dermal Calcs'!$A$64:$A$70, 0), MATCH(O$3, 'Dermal Calcs'!$B$63:$H$63, 0)))*$K28*$E28</f>
        <v>1.4108450704225352E-3</v>
      </c>
      <c r="P28" s="476">
        <f>(INDEX('Dermal Calcs'!$B$64:$H$70, MATCH($L28,'Dermal Calcs'!$A$64:$A$70, 0), MATCH(P$3, 'Dermal Calcs'!$B$63:$H$63, 0)))*$K28*$F28</f>
        <v>1.7849999999999997E-3</v>
      </c>
      <c r="Q28" s="476">
        <f>(INDEX('Dermal Calcs'!$B$64:$H$70, MATCH($L28,'Dermal Calcs'!$A$64:$A$70, 0), MATCH(Q$3, 'Dermal Calcs'!$B$63:$H$63, 0)))*$K28*$F28</f>
        <v>2.2140322580645158E-3</v>
      </c>
      <c r="R28" s="476">
        <v>0</v>
      </c>
      <c r="S28" s="477">
        <v>0</v>
      </c>
      <c r="T28" s="479">
        <f t="shared" si="3"/>
        <v>7.1695583482944358E-2</v>
      </c>
      <c r="U28" s="480">
        <f t="shared" si="4"/>
        <v>6.7090893854748604E-2</v>
      </c>
      <c r="V28" s="480">
        <f t="shared" si="5"/>
        <v>7.3363943661971825E-2</v>
      </c>
      <c r="W28" s="487">
        <f t="shared" si="6"/>
        <v>9.2819999999999986E-2</v>
      </c>
      <c r="X28" s="487">
        <f t="shared" si="7"/>
        <v>0.11512967741935483</v>
      </c>
      <c r="Y28" s="487">
        <f t="shared" si="8"/>
        <v>0</v>
      </c>
      <c r="Z28" s="487">
        <f t="shared" si="9"/>
        <v>0</v>
      </c>
      <c r="AA28" s="508">
        <f t="shared" si="10"/>
        <v>1.3787612208258531E-3</v>
      </c>
      <c r="AB28" s="488">
        <f t="shared" si="11"/>
        <v>1.290209497206704E-3</v>
      </c>
      <c r="AC28" s="488">
        <f t="shared" si="12"/>
        <v>1.4108450704225352E-3</v>
      </c>
      <c r="AD28" s="487">
        <f t="shared" si="13"/>
        <v>1.7849999999999997E-3</v>
      </c>
      <c r="AE28" s="487">
        <f t="shared" si="14"/>
        <v>2.2140322580645158E-3</v>
      </c>
      <c r="AF28" s="487">
        <f t="shared" si="15"/>
        <v>0</v>
      </c>
      <c r="AG28" s="487">
        <f t="shared" si="16"/>
        <v>0</v>
      </c>
      <c r="AH28" s="479">
        <f t="shared" si="67"/>
        <v>0.19642625611765577</v>
      </c>
      <c r="AI28" s="480">
        <f t="shared" si="68"/>
        <v>0.18381066809520163</v>
      </c>
      <c r="AJ28" s="480">
        <f t="shared" si="69"/>
        <v>0.20099710592321049</v>
      </c>
      <c r="AK28" s="480">
        <f t="shared" si="70"/>
        <v>0.25430136986301366</v>
      </c>
      <c r="AL28" s="480">
        <f t="shared" si="71"/>
        <v>0.31542377375165709</v>
      </c>
      <c r="AM28" s="480">
        <f t="shared" si="72"/>
        <v>0</v>
      </c>
      <c r="AN28" s="481">
        <f t="shared" si="73"/>
        <v>0</v>
      </c>
      <c r="AO28" s="480">
        <f t="shared" si="55"/>
        <v>1.3787612208258531</v>
      </c>
      <c r="AP28" s="480">
        <f t="shared" si="56"/>
        <v>1.290209497206704</v>
      </c>
      <c r="AQ28" s="480">
        <f t="shared" si="57"/>
        <v>1.4108450704225353</v>
      </c>
      <c r="AR28" s="480">
        <f t="shared" si="58"/>
        <v>1.7849999999999997</v>
      </c>
      <c r="AS28" s="480">
        <f t="shared" si="59"/>
        <v>2.214032258064516</v>
      </c>
      <c r="AT28" s="480">
        <f t="shared" si="60"/>
        <v>0</v>
      </c>
      <c r="AU28" s="481">
        <f t="shared" si="61"/>
        <v>0</v>
      </c>
      <c r="AV28" s="508">
        <f t="shared" si="75"/>
        <v>0.19642625611765577</v>
      </c>
      <c r="AW28" s="488">
        <f t="shared" si="76"/>
        <v>0.19240388700920608</v>
      </c>
      <c r="AX28" s="487">
        <f t="shared" si="77"/>
        <v>0.14243128590366769</v>
      </c>
      <c r="AY28" s="508">
        <f t="shared" si="78"/>
        <v>1.3787612208258531</v>
      </c>
      <c r="AZ28" s="488">
        <f t="shared" si="79"/>
        <v>1.3505272838146196</v>
      </c>
      <c r="BA28" s="487">
        <f t="shared" si="80"/>
        <v>0.99975806451612892</v>
      </c>
      <c r="BB28" s="561">
        <f t="shared" si="40"/>
        <v>61091.62918022638</v>
      </c>
      <c r="BC28" s="482">
        <f t="shared" si="48"/>
        <v>65284.567671473793</v>
      </c>
      <c r="BD28" s="482">
        <f t="shared" si="49"/>
        <v>59702.352155182343</v>
      </c>
      <c r="BE28" s="482">
        <f t="shared" si="50"/>
        <v>47188.106011635427</v>
      </c>
      <c r="BF28" s="482">
        <f t="shared" si="51"/>
        <v>38044.056911981439</v>
      </c>
      <c r="BG28" s="483" t="s">
        <v>56</v>
      </c>
      <c r="BH28" s="555" t="s">
        <v>56</v>
      </c>
      <c r="BI28" s="489">
        <f t="shared" si="41"/>
        <v>8703.464979100745</v>
      </c>
      <c r="BJ28" s="490">
        <f t="shared" si="42"/>
        <v>9300.8151203195521</v>
      </c>
      <c r="BK28" s="490">
        <f t="shared" si="43"/>
        <v>8505.5405810122793</v>
      </c>
      <c r="BL28" s="490">
        <f t="shared" si="44"/>
        <v>6722.6890756302537</v>
      </c>
      <c r="BM28" s="490">
        <f t="shared" si="45"/>
        <v>5419.9752312959863</v>
      </c>
      <c r="BN28" s="483" t="s">
        <v>56</v>
      </c>
      <c r="BO28" s="555" t="s">
        <v>56</v>
      </c>
    </row>
    <row r="29" spans="1:67">
      <c r="A29" s="821"/>
      <c r="B29" s="506" t="s">
        <v>2790</v>
      </c>
      <c r="C29" s="821"/>
      <c r="D29" s="462">
        <v>1</v>
      </c>
      <c r="E29" s="583">
        <v>1</v>
      </c>
      <c r="F29" s="583">
        <v>1</v>
      </c>
      <c r="G29" s="502">
        <f>'Compiled Products'!G8</f>
        <v>60</v>
      </c>
      <c r="H29" s="573">
        <f>H28</f>
        <v>52</v>
      </c>
      <c r="I29" s="573">
        <v>1</v>
      </c>
      <c r="J29" s="471">
        <f t="shared" si="1"/>
        <v>1.1129999999999999E-4</v>
      </c>
      <c r="K29" s="507">
        <f t="shared" si="2"/>
        <v>1.1129999999999999E-4</v>
      </c>
      <c r="L29" s="497" t="s">
        <v>3136</v>
      </c>
      <c r="M29" s="473">
        <f>(INDEX('Dermal Calcs'!$B$64:$H$70, MATCH($L29,'Dermal Calcs'!$A$64:$A$70, 0), MATCH(M$3, 'Dermal Calcs'!$B$63:$H$63, 0)))*$K29*$D29</f>
        <v>3.4469030520646327E-4</v>
      </c>
      <c r="N29" s="474">
        <f>(INDEX('Dermal Calcs'!$B$64:$H$70, MATCH($L29,'Dermal Calcs'!$A$64:$A$70, 0), MATCH(N$3, 'Dermal Calcs'!$B$63:$H$63, 0)))*$K29*$E29</f>
        <v>3.2255237430167601E-4</v>
      </c>
      <c r="O29" s="474">
        <f>(INDEX('Dermal Calcs'!$B$64:$H$70, MATCH($L29,'Dermal Calcs'!$A$64:$A$70, 0), MATCH(O$3, 'Dermal Calcs'!$B$63:$H$63, 0)))*$K29*$E29</f>
        <v>3.527112676056338E-4</v>
      </c>
      <c r="P29" s="476">
        <f>(INDEX('Dermal Calcs'!$B$64:$H$70, MATCH($L29,'Dermal Calcs'!$A$64:$A$70, 0), MATCH(P$3, 'Dermal Calcs'!$B$63:$H$63, 0)))*$K29*$F29</f>
        <v>4.4624999999999992E-4</v>
      </c>
      <c r="Q29" s="476">
        <f>(INDEX('Dermal Calcs'!$B$64:$H$70, MATCH($L29,'Dermal Calcs'!$A$64:$A$70, 0), MATCH(Q$3, 'Dermal Calcs'!$B$63:$H$63, 0)))*$K29*$F29</f>
        <v>5.5350806451612896E-4</v>
      </c>
      <c r="R29" s="476">
        <v>0</v>
      </c>
      <c r="S29" s="477">
        <v>0</v>
      </c>
      <c r="T29" s="479">
        <f t="shared" si="3"/>
        <v>1.792389587073609E-2</v>
      </c>
      <c r="U29" s="480">
        <f t="shared" si="4"/>
        <v>1.6772723463687151E-2</v>
      </c>
      <c r="V29" s="480">
        <f t="shared" si="5"/>
        <v>1.8340985915492956E-2</v>
      </c>
      <c r="W29" s="487">
        <f t="shared" si="6"/>
        <v>2.3204999999999996E-2</v>
      </c>
      <c r="X29" s="487">
        <f t="shared" si="7"/>
        <v>2.8782419354838707E-2</v>
      </c>
      <c r="Y29" s="487">
        <f t="shared" si="8"/>
        <v>0</v>
      </c>
      <c r="Z29" s="487">
        <f t="shared" si="9"/>
        <v>0</v>
      </c>
      <c r="AA29" s="508">
        <f t="shared" si="10"/>
        <v>3.4469030520646327E-4</v>
      </c>
      <c r="AB29" s="488">
        <f t="shared" si="11"/>
        <v>3.2255237430167601E-4</v>
      </c>
      <c r="AC29" s="488">
        <f t="shared" si="12"/>
        <v>3.527112676056338E-4</v>
      </c>
      <c r="AD29" s="487">
        <f t="shared" si="13"/>
        <v>4.4624999999999992E-4</v>
      </c>
      <c r="AE29" s="487">
        <f t="shared" si="14"/>
        <v>5.5350806451612896E-4</v>
      </c>
      <c r="AF29" s="487">
        <f t="shared" si="15"/>
        <v>0</v>
      </c>
      <c r="AG29" s="487">
        <f t="shared" si="16"/>
        <v>0</v>
      </c>
      <c r="AH29" s="479">
        <f t="shared" si="67"/>
        <v>4.9106564029413942E-2</v>
      </c>
      <c r="AI29" s="480">
        <f t="shared" si="68"/>
        <v>4.5952667023800409E-2</v>
      </c>
      <c r="AJ29" s="480">
        <f t="shared" si="69"/>
        <v>5.0249276480802622E-2</v>
      </c>
      <c r="AK29" s="480">
        <f t="shared" si="70"/>
        <v>6.3575342465753415E-2</v>
      </c>
      <c r="AL29" s="480">
        <f t="shared" si="71"/>
        <v>7.8855943437914272E-2</v>
      </c>
      <c r="AM29" s="480">
        <f t="shared" si="72"/>
        <v>0</v>
      </c>
      <c r="AN29" s="481">
        <f t="shared" si="73"/>
        <v>0</v>
      </c>
      <c r="AO29" s="480">
        <f t="shared" si="55"/>
        <v>0.34469030520646327</v>
      </c>
      <c r="AP29" s="480">
        <f t="shared" si="56"/>
        <v>0.32255237430167599</v>
      </c>
      <c r="AQ29" s="480">
        <f t="shared" si="57"/>
        <v>0.35271126760563382</v>
      </c>
      <c r="AR29" s="480">
        <f t="shared" si="58"/>
        <v>0.44624999999999992</v>
      </c>
      <c r="AS29" s="480">
        <f t="shared" si="59"/>
        <v>0.55350806451612899</v>
      </c>
      <c r="AT29" s="480">
        <f t="shared" si="60"/>
        <v>0</v>
      </c>
      <c r="AU29" s="481">
        <f t="shared" si="61"/>
        <v>0</v>
      </c>
      <c r="AV29" s="508">
        <f t="shared" si="75"/>
        <v>4.9106564029413942E-2</v>
      </c>
      <c r="AW29" s="488">
        <f t="shared" si="76"/>
        <v>4.8100971752301519E-2</v>
      </c>
      <c r="AX29" s="487">
        <f t="shared" si="77"/>
        <v>3.5607821475916922E-2</v>
      </c>
      <c r="AY29" s="508">
        <f t="shared" si="78"/>
        <v>0.34469030520646327</v>
      </c>
      <c r="AZ29" s="488">
        <f t="shared" si="79"/>
        <v>0.3376318209536549</v>
      </c>
      <c r="BA29" s="487">
        <f t="shared" si="80"/>
        <v>0.24993951612903223</v>
      </c>
      <c r="BB29" s="561">
        <f t="shared" si="40"/>
        <v>244366.51672090552</v>
      </c>
      <c r="BC29" s="482">
        <f t="shared" si="48"/>
        <v>261138.27068589517</v>
      </c>
      <c r="BD29" s="482">
        <f t="shared" si="49"/>
        <v>238809.40862072937</v>
      </c>
      <c r="BE29" s="482">
        <f t="shared" si="50"/>
        <v>188752.42404654171</v>
      </c>
      <c r="BF29" s="482">
        <f t="shared" si="51"/>
        <v>152176.22764792576</v>
      </c>
      <c r="BG29" s="483" t="s">
        <v>56</v>
      </c>
      <c r="BH29" s="555" t="s">
        <v>56</v>
      </c>
      <c r="BI29" s="489">
        <f t="shared" si="41"/>
        <v>34813.85991640298</v>
      </c>
      <c r="BJ29" s="490">
        <f t="shared" si="42"/>
        <v>37203.260481278208</v>
      </c>
      <c r="BK29" s="490">
        <f t="shared" si="43"/>
        <v>34022.162324049117</v>
      </c>
      <c r="BL29" s="490">
        <f t="shared" si="44"/>
        <v>26890.756302521015</v>
      </c>
      <c r="BM29" s="490">
        <f t="shared" si="45"/>
        <v>21679.900925183945</v>
      </c>
      <c r="BN29" s="483" t="s">
        <v>56</v>
      </c>
      <c r="BO29" s="555" t="s">
        <v>56</v>
      </c>
    </row>
    <row r="30" spans="1:67">
      <c r="A30" s="822"/>
      <c r="B30" s="506" t="s">
        <v>2745</v>
      </c>
      <c r="C30" s="822"/>
      <c r="D30" s="465">
        <v>1</v>
      </c>
      <c r="E30" s="466">
        <v>1</v>
      </c>
      <c r="F30" s="466">
        <v>1</v>
      </c>
      <c r="G30" s="502">
        <f>'Compiled Products'!G9</f>
        <v>30</v>
      </c>
      <c r="H30" s="573">
        <f>H28</f>
        <v>52</v>
      </c>
      <c r="I30" s="573">
        <f>I28</f>
        <v>1</v>
      </c>
      <c r="J30" s="471">
        <f t="shared" si="1"/>
        <v>1.1129999999999999E-4</v>
      </c>
      <c r="K30" s="507">
        <f t="shared" si="2"/>
        <v>5.5649999999999997E-5</v>
      </c>
      <c r="L30" s="509" t="s">
        <v>3132</v>
      </c>
      <c r="M30" s="474">
        <f>(INDEX('Dermal Calcs'!$B$64:$H$70, MATCH($L30,'Dermal Calcs'!$A$64:$A$70, 0), MATCH(M$3, 'Dermal Calcs'!$B$63:$H$63, 0)))*$K30*$D30</f>
        <v>6.8938061041292663E-5</v>
      </c>
      <c r="N30" s="474">
        <f>(INDEX('Dermal Calcs'!$B$64:$H$70, MATCH($L30,'Dermal Calcs'!$A$64:$A$70, 0), MATCH(N$3, 'Dermal Calcs'!$B$63:$H$63, 0)))*$K30*$E30</f>
        <v>6.4510474860335207E-5</v>
      </c>
      <c r="O30" s="474">
        <f>(INDEX('Dermal Calcs'!$B$64:$H$70, MATCH($L30,'Dermal Calcs'!$A$64:$A$70, 0), MATCH(O$3, 'Dermal Calcs'!$B$63:$H$63, 0)))*$K30*$E30</f>
        <v>7.0542253521126757E-5</v>
      </c>
      <c r="P30" s="476">
        <f>(INDEX('Dermal Calcs'!$B$64:$H$70, MATCH($L30,'Dermal Calcs'!$A$64:$A$70, 0), MATCH(P$3, 'Dermal Calcs'!$B$63:$H$63, 0)))*$K30*$F30</f>
        <v>8.9249999999999987E-5</v>
      </c>
      <c r="Q30" s="476">
        <f>(INDEX('Dermal Calcs'!$B$64:$H$70, MATCH($L30,'Dermal Calcs'!$A$64:$A$70, 0), MATCH(Q$3, 'Dermal Calcs'!$B$63:$H$63, 0)))*$K30*$F30</f>
        <v>1.1070161290322581E-4</v>
      </c>
      <c r="R30" s="476">
        <v>0</v>
      </c>
      <c r="S30" s="477">
        <v>0</v>
      </c>
      <c r="T30" s="479">
        <f t="shared" si="3"/>
        <v>3.5847791741472185E-3</v>
      </c>
      <c r="U30" s="480">
        <f t="shared" si="4"/>
        <v>3.3545446927374309E-3</v>
      </c>
      <c r="V30" s="480">
        <f t="shared" si="5"/>
        <v>3.6681971830985912E-3</v>
      </c>
      <c r="W30" s="487">
        <f t="shared" si="6"/>
        <v>4.6409999999999993E-3</v>
      </c>
      <c r="X30" s="487">
        <f t="shared" si="7"/>
        <v>5.7564838709677421E-3</v>
      </c>
      <c r="Y30" s="487">
        <f t="shared" si="8"/>
        <v>0</v>
      </c>
      <c r="Z30" s="487">
        <f t="shared" si="9"/>
        <v>0</v>
      </c>
      <c r="AA30" s="508">
        <f t="shared" si="10"/>
        <v>6.8938061041292663E-5</v>
      </c>
      <c r="AB30" s="488">
        <f t="shared" si="11"/>
        <v>6.4510474860335207E-5</v>
      </c>
      <c r="AC30" s="488">
        <f t="shared" si="12"/>
        <v>7.0542253521126757E-5</v>
      </c>
      <c r="AD30" s="487">
        <f t="shared" si="13"/>
        <v>8.9249999999999987E-5</v>
      </c>
      <c r="AE30" s="487">
        <f t="shared" si="14"/>
        <v>1.1070161290322581E-4</v>
      </c>
      <c r="AF30" s="487">
        <f t="shared" si="15"/>
        <v>0</v>
      </c>
      <c r="AG30" s="487">
        <f t="shared" si="16"/>
        <v>0</v>
      </c>
      <c r="AH30" s="479">
        <f t="shared" si="67"/>
        <v>9.8213128058827915E-3</v>
      </c>
      <c r="AI30" s="480">
        <f t="shared" si="68"/>
        <v>9.1905334047600838E-3</v>
      </c>
      <c r="AJ30" s="480">
        <f t="shared" si="69"/>
        <v>1.0049855296160523E-2</v>
      </c>
      <c r="AK30" s="480">
        <f t="shared" si="70"/>
        <v>1.2715068493150683E-2</v>
      </c>
      <c r="AL30" s="480">
        <f t="shared" si="71"/>
        <v>1.5771188687582854E-2</v>
      </c>
      <c r="AM30" s="480">
        <f t="shared" si="72"/>
        <v>0</v>
      </c>
      <c r="AN30" s="481">
        <f t="shared" si="73"/>
        <v>0</v>
      </c>
      <c r="AO30" s="480">
        <f t="shared" si="55"/>
        <v>6.8938061041292659E-2</v>
      </c>
      <c r="AP30" s="480">
        <f t="shared" si="56"/>
        <v>6.4510474860335204E-2</v>
      </c>
      <c r="AQ30" s="480">
        <f t="shared" si="57"/>
        <v>7.0542253521126752E-2</v>
      </c>
      <c r="AR30" s="480">
        <f t="shared" si="58"/>
        <v>8.9249999999999982E-2</v>
      </c>
      <c r="AS30" s="480">
        <f t="shared" si="59"/>
        <v>0.1107016129032258</v>
      </c>
      <c r="AT30" s="480">
        <f t="shared" si="60"/>
        <v>0</v>
      </c>
      <c r="AU30" s="481">
        <f t="shared" si="61"/>
        <v>0</v>
      </c>
      <c r="AV30" s="508">
        <f t="shared" si="75"/>
        <v>9.8213128058827915E-3</v>
      </c>
      <c r="AW30" s="488">
        <f t="shared" si="76"/>
        <v>9.6201943504603052E-3</v>
      </c>
      <c r="AX30" s="487">
        <f t="shared" si="77"/>
        <v>7.121564295183385E-3</v>
      </c>
      <c r="AY30" s="508">
        <f t="shared" si="78"/>
        <v>6.8938061041292659E-2</v>
      </c>
      <c r="AZ30" s="488">
        <f t="shared" si="79"/>
        <v>6.7526364190730978E-2</v>
      </c>
      <c r="BA30" s="487">
        <f t="shared" si="80"/>
        <v>4.998790322580645E-2</v>
      </c>
      <c r="BB30" s="561">
        <f t="shared" si="40"/>
        <v>1221832.5836045272</v>
      </c>
      <c r="BC30" s="482">
        <f t="shared" si="48"/>
        <v>1305691.3534294756</v>
      </c>
      <c r="BD30" s="482">
        <f t="shared" si="49"/>
        <v>1194047.0431036472</v>
      </c>
      <c r="BE30" s="482">
        <f t="shared" si="50"/>
        <v>943762.12023270864</v>
      </c>
      <c r="BF30" s="482">
        <f t="shared" si="51"/>
        <v>760881.13823962887</v>
      </c>
      <c r="BG30" s="483" t="s">
        <v>56</v>
      </c>
      <c r="BH30" s="555" t="s">
        <v>56</v>
      </c>
      <c r="BI30" s="489">
        <f t="shared" si="41"/>
        <v>174069.29958201488</v>
      </c>
      <c r="BJ30" s="490">
        <f t="shared" si="42"/>
        <v>186016.30240639104</v>
      </c>
      <c r="BK30" s="490">
        <f t="shared" si="43"/>
        <v>170110.8116202456</v>
      </c>
      <c r="BL30" s="490">
        <f t="shared" si="44"/>
        <v>134453.78151260506</v>
      </c>
      <c r="BM30" s="490">
        <f t="shared" si="45"/>
        <v>108399.50462591973</v>
      </c>
      <c r="BN30" s="483" t="s">
        <v>56</v>
      </c>
      <c r="BO30" s="555" t="s">
        <v>56</v>
      </c>
    </row>
    <row r="31" spans="1:67" ht="14.65" customHeight="1">
      <c r="A31" s="803" t="str">
        <f>'Compiled Products'!D1</f>
        <v>Adhesives for Small Projects</v>
      </c>
      <c r="B31" s="501" t="s">
        <v>2741</v>
      </c>
      <c r="C31" s="803" t="str">
        <f>A31</f>
        <v>Adhesives for Small Projects</v>
      </c>
      <c r="D31" s="462">
        <v>1</v>
      </c>
      <c r="E31" s="583">
        <v>1</v>
      </c>
      <c r="F31" s="583">
        <v>0</v>
      </c>
      <c r="G31" s="502">
        <f>'Compiled Products'!D7</f>
        <v>60</v>
      </c>
      <c r="H31" s="14">
        <f>'Compiled Products'!$D$5</f>
        <v>52</v>
      </c>
      <c r="I31" s="14">
        <f>'Compiled Products'!D6</f>
        <v>1</v>
      </c>
      <c r="J31" s="510">
        <f t="shared" ref="J31:J57" si="81">$B$74</f>
        <v>3.2300000000000002E-2</v>
      </c>
      <c r="K31" s="511">
        <f t="shared" ref="K31:K57" si="82">J31*G31/60</f>
        <v>3.2300000000000002E-2</v>
      </c>
      <c r="L31" s="472" t="s">
        <v>3132</v>
      </c>
      <c r="M31" s="473">
        <f>(INDEX('Dermal Calcs'!$B$64:$H$70, MATCH($L31,'Dermal Calcs'!$A$64:$A$70, 0), MATCH(M$3, 'Dermal Calcs'!$B$63:$H$63, 0)))*$K31*$D31</f>
        <v>4.0012567324955131E-2</v>
      </c>
      <c r="N31" s="474">
        <f>(INDEX('Dermal Calcs'!$B$64:$H$70, MATCH($L31,'Dermal Calcs'!$A$64:$A$70, 0), MATCH(N$3, 'Dermal Calcs'!$B$63:$H$63, 0)))*$K31*$E31</f>
        <v>3.7442737430167614E-2</v>
      </c>
      <c r="O31" s="474">
        <f>(INDEX('Dermal Calcs'!$B$64:$H$70, MATCH($L31,'Dermal Calcs'!$A$64:$A$70, 0), MATCH(O$3, 'Dermal Calcs'!$B$63:$H$63, 0)))*$K31*$E31</f>
        <v>4.094366197183099E-2</v>
      </c>
      <c r="P31" s="476">
        <f>(INDEX('Dermal Calcs'!$B$64:$H$70, MATCH($L31,'Dermal Calcs'!$A$64:$A$70, 0), MATCH(P$3, 'Dermal Calcs'!$B$63:$H$63, 0)))*$K31*$F31</f>
        <v>0</v>
      </c>
      <c r="Q31" s="476">
        <f>(INDEX('Dermal Calcs'!$B$64:$H$70, MATCH($L31,'Dermal Calcs'!$A$64:$A$70, 0), MATCH(Q$3, 'Dermal Calcs'!$B$63:$H$63, 0)))*$K31*$F31</f>
        <v>0</v>
      </c>
      <c r="R31" s="476">
        <f>(INDEX('Dermal Calcs'!$B$64:$H$70, MATCH($L31,'Dermal Calcs'!$A$64:$A$70, 0), MATCH(R$3, 'Dermal Calcs'!$B$63:$H$63, 0)))*$K31*$F31</f>
        <v>0</v>
      </c>
      <c r="S31" s="477">
        <f>(INDEX('Dermal Calcs'!$B$64:$H$70, MATCH($L31,'Dermal Calcs'!$A$64:$A$70, 0), MATCH(S$3, 'Dermal Calcs'!$B$63:$H$63, 0)))*$K31*$F31</f>
        <v>0</v>
      </c>
      <c r="T31" s="473">
        <f t="shared" ref="T31:T57" si="83">M31*$H31</f>
        <v>2.0806535008976668</v>
      </c>
      <c r="U31" s="474">
        <f t="shared" ref="U31:U57" si="84">N31*$H31</f>
        <v>1.947022346368716</v>
      </c>
      <c r="V31" s="474">
        <f t="shared" ref="V31:V57" si="85">O31*$H31</f>
        <v>2.1290704225352113</v>
      </c>
      <c r="W31" s="474">
        <f t="shared" ref="W31:W57" si="86">P31*$H31</f>
        <v>0</v>
      </c>
      <c r="X31" s="474">
        <f t="shared" ref="X31:X57" si="87">Q31*$H31</f>
        <v>0</v>
      </c>
      <c r="Y31" s="474">
        <f t="shared" ref="Y31:Y57" si="88">R31*$H31</f>
        <v>0</v>
      </c>
      <c r="Z31" s="474">
        <f t="shared" ref="Z31:Z57" si="89">S31*$H31</f>
        <v>0</v>
      </c>
      <c r="AA31" s="473">
        <f t="shared" ref="AA31:AA57" si="90">M31*$I31</f>
        <v>4.0012567324955131E-2</v>
      </c>
      <c r="AB31" s="474">
        <f t="shared" ref="AB31:AB57" si="91">N31*$I31</f>
        <v>3.7442737430167614E-2</v>
      </c>
      <c r="AC31" s="474">
        <f t="shared" ref="AC31:AC57" si="92">O31*$I31</f>
        <v>4.094366197183099E-2</v>
      </c>
      <c r="AD31" s="474">
        <f t="shared" ref="AD31:AD57" si="93">P31*$I31</f>
        <v>0</v>
      </c>
      <c r="AE31" s="474">
        <f t="shared" ref="AE31:AE57" si="94">Q31*$I31</f>
        <v>0</v>
      </c>
      <c r="AF31" s="474">
        <f t="shared" ref="AF31:AF57" si="95">R31*$I31</f>
        <v>0</v>
      </c>
      <c r="AG31" s="474">
        <f t="shared" ref="AG31:AG57" si="96">S31*$I31</f>
        <v>0</v>
      </c>
      <c r="AH31" s="479">
        <f t="shared" ref="AH31:AH57" si="97">(T31*1000)/365</f>
        <v>5.7004205504045657</v>
      </c>
      <c r="AI31" s="480">
        <f t="shared" ref="AI31:AI57" si="98">(U31*1000)/365</f>
        <v>5.334307798270455</v>
      </c>
      <c r="AJ31" s="480">
        <f t="shared" ref="AJ31:AJ57" si="99">(V31*1000)/365</f>
        <v>5.8330696507814013</v>
      </c>
      <c r="AK31" s="480">
        <f t="shared" ref="AK31:AK57" si="100">(W31*1000)/365</f>
        <v>0</v>
      </c>
      <c r="AL31" s="480">
        <f t="shared" ref="AL31:AL57" si="101">(X31*1000)/365</f>
        <v>0</v>
      </c>
      <c r="AM31" s="480">
        <f t="shared" ref="AM31:AM57" si="102">(Y31*1000)/365</f>
        <v>0</v>
      </c>
      <c r="AN31" s="481">
        <f t="shared" ref="AN31:AN57" si="103">(Z31*1000)/365</f>
        <v>0</v>
      </c>
      <c r="AO31" s="480">
        <f t="shared" ref="AO31:AO57" si="104">AA31*1000</f>
        <v>40.012567324955128</v>
      </c>
      <c r="AP31" s="480">
        <f t="shared" ref="AP31:AP57" si="105">AB31*1000</f>
        <v>37.442737430167611</v>
      </c>
      <c r="AQ31" s="480">
        <f t="shared" ref="AQ31:AQ57" si="106">AC31*1000</f>
        <v>40.943661971830991</v>
      </c>
      <c r="AR31" s="480">
        <f t="shared" ref="AR31:AR57" si="107">AD31*1000</f>
        <v>0</v>
      </c>
      <c r="AS31" s="480">
        <f t="shared" ref="AS31:AS57" si="108">AE31*1000</f>
        <v>0</v>
      </c>
      <c r="AT31" s="480">
        <f t="shared" ref="AT31:AT57" si="109">AF31*1000</f>
        <v>0</v>
      </c>
      <c r="AU31" s="481">
        <f t="shared" ref="AU31:AU57" si="110">AG31*1000</f>
        <v>0</v>
      </c>
      <c r="AV31" s="473">
        <f t="shared" si="75"/>
        <v>5.7004205504045657</v>
      </c>
      <c r="AW31" s="474">
        <f t="shared" si="76"/>
        <v>5.5836887245259277</v>
      </c>
      <c r="AX31" s="474">
        <f t="shared" si="77"/>
        <v>0</v>
      </c>
      <c r="AY31" s="473">
        <f t="shared" si="78"/>
        <v>40.012567324955128</v>
      </c>
      <c r="AZ31" s="474">
        <f t="shared" si="79"/>
        <v>39.193199700999301</v>
      </c>
      <c r="BA31" s="474">
        <f t="shared" si="80"/>
        <v>0</v>
      </c>
      <c r="BB31" s="561">
        <f t="shared" si="40"/>
        <v>2105.1078414115159</v>
      </c>
      <c r="BC31" s="482">
        <f t="shared" si="48"/>
        <v>2249.5889727043432</v>
      </c>
      <c r="BD31" s="482">
        <f t="shared" si="49"/>
        <v>2057.2358498055091</v>
      </c>
      <c r="BE31" s="483" t="s">
        <v>56</v>
      </c>
      <c r="BF31" s="483" t="s">
        <v>56</v>
      </c>
      <c r="BG31" s="483" t="s">
        <v>56</v>
      </c>
      <c r="BH31" s="555" t="s">
        <v>56</v>
      </c>
      <c r="BI31" s="489">
        <f t="shared" si="41"/>
        <v>299.90577466684607</v>
      </c>
      <c r="BJ31" s="490">
        <f t="shared" si="42"/>
        <v>320.48938789212565</v>
      </c>
      <c r="BK31" s="490">
        <f t="shared" si="43"/>
        <v>293.08565531475745</v>
      </c>
      <c r="BL31" s="483" t="s">
        <v>56</v>
      </c>
      <c r="BM31" s="483" t="s">
        <v>56</v>
      </c>
      <c r="BN31" s="483" t="s">
        <v>56</v>
      </c>
      <c r="BO31" s="555" t="s">
        <v>56</v>
      </c>
    </row>
    <row r="32" spans="1:67">
      <c r="A32" s="804"/>
      <c r="B32" s="400" t="s">
        <v>2790</v>
      </c>
      <c r="C32" s="804"/>
      <c r="D32" s="462">
        <v>1</v>
      </c>
      <c r="E32" s="583">
        <v>1</v>
      </c>
      <c r="F32" s="583">
        <v>0</v>
      </c>
      <c r="G32" s="502">
        <f>'Compiled Products'!D8</f>
        <v>30</v>
      </c>
      <c r="H32" s="14">
        <f>'Compiled Products'!$D$5</f>
        <v>52</v>
      </c>
      <c r="I32" s="573">
        <f>I31</f>
        <v>1</v>
      </c>
      <c r="J32" s="510">
        <f t="shared" si="81"/>
        <v>3.2300000000000002E-2</v>
      </c>
      <c r="K32" s="511">
        <f t="shared" si="82"/>
        <v>1.6150000000000001E-2</v>
      </c>
      <c r="L32" s="497" t="s">
        <v>3132</v>
      </c>
      <c r="M32" s="473">
        <f>(INDEX('Dermal Calcs'!$B$64:$H$70, MATCH($L32,'Dermal Calcs'!$A$64:$A$70, 0), MATCH(M$3, 'Dermal Calcs'!$B$63:$H$63, 0)))*$K32*$D32</f>
        <v>2.0006283662477566E-2</v>
      </c>
      <c r="N32" s="474">
        <f>(INDEX('Dermal Calcs'!$B$64:$H$70, MATCH($L32,'Dermal Calcs'!$A$64:$A$70, 0), MATCH(N$3, 'Dermal Calcs'!$B$63:$H$63, 0)))*$K32*$E32</f>
        <v>1.8721368715083807E-2</v>
      </c>
      <c r="O32" s="474">
        <f>(INDEX('Dermal Calcs'!$B$64:$H$70, MATCH($L32,'Dermal Calcs'!$A$64:$A$70, 0), MATCH(O$3, 'Dermal Calcs'!$B$63:$H$63, 0)))*$K32*$E32</f>
        <v>2.0471830985915495E-2</v>
      </c>
      <c r="P32" s="476">
        <f>(INDEX('Dermal Calcs'!$B$64:$H$70, MATCH($L32,'Dermal Calcs'!$A$64:$A$70, 0), MATCH(P$3, 'Dermal Calcs'!$B$63:$H$63, 0)))*$K32*$F32</f>
        <v>0</v>
      </c>
      <c r="Q32" s="476">
        <f>(INDEX('Dermal Calcs'!$B$64:$H$70, MATCH($L32,'Dermal Calcs'!$A$64:$A$70, 0), MATCH(Q$3, 'Dermal Calcs'!$B$63:$H$63, 0)))*$K32*$F32</f>
        <v>0</v>
      </c>
      <c r="R32" s="476">
        <f>(INDEX('Dermal Calcs'!$B$64:$H$70, MATCH($L32,'Dermal Calcs'!$A$64:$A$70, 0), MATCH(R$3, 'Dermal Calcs'!$B$63:$H$63, 0)))*$K32*$F32</f>
        <v>0</v>
      </c>
      <c r="S32" s="477">
        <f>(INDEX('Dermal Calcs'!$B$64:$H$70, MATCH($L32,'Dermal Calcs'!$A$64:$A$70, 0), MATCH(S$3, 'Dermal Calcs'!$B$63:$H$63, 0)))*$K32*$F32</f>
        <v>0</v>
      </c>
      <c r="T32" s="486">
        <f t="shared" si="83"/>
        <v>1.0403267504488334</v>
      </c>
      <c r="U32" s="487">
        <f t="shared" si="84"/>
        <v>0.97351117318435798</v>
      </c>
      <c r="V32" s="487">
        <f t="shared" si="85"/>
        <v>1.0645352112676056</v>
      </c>
      <c r="W32" s="487">
        <f t="shared" si="86"/>
        <v>0</v>
      </c>
      <c r="X32" s="487">
        <f t="shared" si="87"/>
        <v>0</v>
      </c>
      <c r="Y32" s="487">
        <f t="shared" si="88"/>
        <v>0</v>
      </c>
      <c r="Z32" s="487">
        <f t="shared" si="89"/>
        <v>0</v>
      </c>
      <c r="AA32" s="486">
        <f t="shared" si="90"/>
        <v>2.0006283662477566E-2</v>
      </c>
      <c r="AB32" s="487">
        <f t="shared" si="91"/>
        <v>1.8721368715083807E-2</v>
      </c>
      <c r="AC32" s="487">
        <f t="shared" si="92"/>
        <v>2.0471830985915495E-2</v>
      </c>
      <c r="AD32" s="487">
        <f t="shared" si="93"/>
        <v>0</v>
      </c>
      <c r="AE32" s="487">
        <f t="shared" si="94"/>
        <v>0</v>
      </c>
      <c r="AF32" s="487">
        <f t="shared" si="95"/>
        <v>0</v>
      </c>
      <c r="AG32" s="487">
        <f t="shared" si="96"/>
        <v>0</v>
      </c>
      <c r="AH32" s="479">
        <f t="shared" si="97"/>
        <v>2.8502102752022829</v>
      </c>
      <c r="AI32" s="480">
        <f t="shared" si="98"/>
        <v>2.6671538991352275</v>
      </c>
      <c r="AJ32" s="480">
        <f t="shared" si="99"/>
        <v>2.9165348253907006</v>
      </c>
      <c r="AK32" s="480">
        <f t="shared" si="100"/>
        <v>0</v>
      </c>
      <c r="AL32" s="480">
        <f t="shared" si="101"/>
        <v>0</v>
      </c>
      <c r="AM32" s="480">
        <f t="shared" si="102"/>
        <v>0</v>
      </c>
      <c r="AN32" s="481">
        <f t="shared" si="103"/>
        <v>0</v>
      </c>
      <c r="AO32" s="480">
        <f t="shared" si="104"/>
        <v>20.006283662477564</v>
      </c>
      <c r="AP32" s="480">
        <f t="shared" si="105"/>
        <v>18.721368715083806</v>
      </c>
      <c r="AQ32" s="480">
        <f t="shared" si="106"/>
        <v>20.471830985915496</v>
      </c>
      <c r="AR32" s="480">
        <f t="shared" si="107"/>
        <v>0</v>
      </c>
      <c r="AS32" s="480">
        <f t="shared" si="108"/>
        <v>0</v>
      </c>
      <c r="AT32" s="480">
        <f t="shared" si="109"/>
        <v>0</v>
      </c>
      <c r="AU32" s="481">
        <f t="shared" si="110"/>
        <v>0</v>
      </c>
      <c r="AV32" s="486">
        <f t="shared" si="75"/>
        <v>2.8502102752022829</v>
      </c>
      <c r="AW32" s="487">
        <f t="shared" si="76"/>
        <v>2.7918443622629638</v>
      </c>
      <c r="AX32" s="487">
        <f t="shared" si="77"/>
        <v>0</v>
      </c>
      <c r="AY32" s="486">
        <f t="shared" si="78"/>
        <v>20.006283662477564</v>
      </c>
      <c r="AZ32" s="487">
        <f t="shared" si="79"/>
        <v>19.596599850499651</v>
      </c>
      <c r="BA32" s="487">
        <f t="shared" si="80"/>
        <v>0</v>
      </c>
      <c r="BB32" s="561">
        <f t="shared" si="40"/>
        <v>4210.2156828230318</v>
      </c>
      <c r="BC32" s="482">
        <f t="shared" si="48"/>
        <v>4499.1779454086864</v>
      </c>
      <c r="BD32" s="482">
        <f t="shared" si="49"/>
        <v>4114.4716996110183</v>
      </c>
      <c r="BE32" s="483" t="s">
        <v>56</v>
      </c>
      <c r="BF32" s="483" t="s">
        <v>56</v>
      </c>
      <c r="BG32" s="483" t="s">
        <v>56</v>
      </c>
      <c r="BH32" s="555" t="s">
        <v>56</v>
      </c>
      <c r="BI32" s="489">
        <f t="shared" si="41"/>
        <v>599.81154933369214</v>
      </c>
      <c r="BJ32" s="490">
        <f t="shared" si="42"/>
        <v>640.9787757842513</v>
      </c>
      <c r="BK32" s="490">
        <f t="shared" si="43"/>
        <v>586.17131062951489</v>
      </c>
      <c r="BL32" s="483" t="s">
        <v>56</v>
      </c>
      <c r="BM32" s="483" t="s">
        <v>56</v>
      </c>
      <c r="BN32" s="483" t="s">
        <v>56</v>
      </c>
      <c r="BO32" s="555" t="s">
        <v>56</v>
      </c>
    </row>
    <row r="33" spans="1:67">
      <c r="A33" s="805"/>
      <c r="B33" s="492" t="s">
        <v>2745</v>
      </c>
      <c r="C33" s="805"/>
      <c r="D33" s="465">
        <v>1</v>
      </c>
      <c r="E33" s="466">
        <v>1</v>
      </c>
      <c r="F33" s="466">
        <v>0</v>
      </c>
      <c r="G33" s="502">
        <f>'Compiled Products'!D9</f>
        <v>15</v>
      </c>
      <c r="H33" s="14">
        <f>'Compiled Products'!$D$5</f>
        <v>52</v>
      </c>
      <c r="I33" s="573">
        <f>I31</f>
        <v>1</v>
      </c>
      <c r="J33" s="510">
        <f t="shared" si="81"/>
        <v>3.2300000000000002E-2</v>
      </c>
      <c r="K33" s="511">
        <f t="shared" si="82"/>
        <v>8.0750000000000006E-3</v>
      </c>
      <c r="L33" s="498" t="s">
        <v>3132</v>
      </c>
      <c r="M33" s="473">
        <f>(INDEX('Dermal Calcs'!$B$64:$H$70, MATCH($L33,'Dermal Calcs'!$A$64:$A$70, 0), MATCH(M$3, 'Dermal Calcs'!$B$63:$H$63, 0)))*$K33*$D33</f>
        <v>1.0003141831238783E-2</v>
      </c>
      <c r="N33" s="474">
        <f>(INDEX('Dermal Calcs'!$B$64:$H$70, MATCH($L33,'Dermal Calcs'!$A$64:$A$70, 0), MATCH(N$3, 'Dermal Calcs'!$B$63:$H$63, 0)))*$K33*$E33</f>
        <v>9.3606843575419034E-3</v>
      </c>
      <c r="O33" s="474">
        <f>(INDEX('Dermal Calcs'!$B$64:$H$70, MATCH($L33,'Dermal Calcs'!$A$64:$A$70, 0), MATCH(O$3, 'Dermal Calcs'!$B$63:$H$63, 0)))*$K33*$E33</f>
        <v>1.0235915492957747E-2</v>
      </c>
      <c r="P33" s="476">
        <f>(INDEX('Dermal Calcs'!$B$64:$H$70, MATCH($L33,'Dermal Calcs'!$A$64:$A$70, 0), MATCH(P$3, 'Dermal Calcs'!$B$63:$H$63, 0)))*$K33*$F33</f>
        <v>0</v>
      </c>
      <c r="Q33" s="476">
        <f>(INDEX('Dermal Calcs'!$B$64:$H$70, MATCH($L33,'Dermal Calcs'!$A$64:$A$70, 0), MATCH(Q$3, 'Dermal Calcs'!$B$63:$H$63, 0)))*$K33*$F33</f>
        <v>0</v>
      </c>
      <c r="R33" s="476">
        <f>(INDEX('Dermal Calcs'!$B$64:$H$70, MATCH($L33,'Dermal Calcs'!$A$64:$A$70, 0), MATCH(R$3, 'Dermal Calcs'!$B$63:$H$63, 0)))*$K33*$F33</f>
        <v>0</v>
      </c>
      <c r="S33" s="477">
        <f>(INDEX('Dermal Calcs'!$B$64:$H$70, MATCH($L33,'Dermal Calcs'!$A$64:$A$70, 0), MATCH(S$3, 'Dermal Calcs'!$B$63:$H$63, 0)))*$K33*$F33</f>
        <v>0</v>
      </c>
      <c r="T33" s="493">
        <f t="shared" si="83"/>
        <v>0.52016337522441669</v>
      </c>
      <c r="U33" s="494">
        <f t="shared" si="84"/>
        <v>0.48675558659217899</v>
      </c>
      <c r="V33" s="494">
        <f t="shared" si="85"/>
        <v>0.53226760563380282</v>
      </c>
      <c r="W33" s="494">
        <f t="shared" si="86"/>
        <v>0</v>
      </c>
      <c r="X33" s="494">
        <f t="shared" si="87"/>
        <v>0</v>
      </c>
      <c r="Y33" s="494">
        <f t="shared" si="88"/>
        <v>0</v>
      </c>
      <c r="Z33" s="494">
        <f t="shared" si="89"/>
        <v>0</v>
      </c>
      <c r="AA33" s="493">
        <f t="shared" si="90"/>
        <v>1.0003141831238783E-2</v>
      </c>
      <c r="AB33" s="494">
        <f t="shared" si="91"/>
        <v>9.3606843575419034E-3</v>
      </c>
      <c r="AC33" s="494">
        <f t="shared" si="92"/>
        <v>1.0235915492957747E-2</v>
      </c>
      <c r="AD33" s="494">
        <f t="shared" si="93"/>
        <v>0</v>
      </c>
      <c r="AE33" s="494">
        <f t="shared" si="94"/>
        <v>0</v>
      </c>
      <c r="AF33" s="494">
        <f t="shared" si="95"/>
        <v>0</v>
      </c>
      <c r="AG33" s="494">
        <f t="shared" si="96"/>
        <v>0</v>
      </c>
      <c r="AH33" s="479">
        <f t="shared" si="97"/>
        <v>1.4251051376011414</v>
      </c>
      <c r="AI33" s="480">
        <f t="shared" si="98"/>
        <v>1.3335769495676137</v>
      </c>
      <c r="AJ33" s="480">
        <f t="shared" si="99"/>
        <v>1.4582674126953503</v>
      </c>
      <c r="AK33" s="480">
        <f t="shared" si="100"/>
        <v>0</v>
      </c>
      <c r="AL33" s="480">
        <f t="shared" si="101"/>
        <v>0</v>
      </c>
      <c r="AM33" s="480">
        <f t="shared" si="102"/>
        <v>0</v>
      </c>
      <c r="AN33" s="481">
        <f t="shared" si="103"/>
        <v>0</v>
      </c>
      <c r="AO33" s="480">
        <f t="shared" si="104"/>
        <v>10.003141831238782</v>
      </c>
      <c r="AP33" s="480">
        <f t="shared" si="105"/>
        <v>9.3606843575419028</v>
      </c>
      <c r="AQ33" s="480">
        <f t="shared" si="106"/>
        <v>10.235915492957748</v>
      </c>
      <c r="AR33" s="480">
        <f t="shared" si="107"/>
        <v>0</v>
      </c>
      <c r="AS33" s="480">
        <f t="shared" si="108"/>
        <v>0</v>
      </c>
      <c r="AT33" s="480">
        <f t="shared" si="109"/>
        <v>0</v>
      </c>
      <c r="AU33" s="481">
        <f t="shared" si="110"/>
        <v>0</v>
      </c>
      <c r="AV33" s="493">
        <f t="shared" si="75"/>
        <v>1.4251051376011414</v>
      </c>
      <c r="AW33" s="494">
        <f t="shared" si="76"/>
        <v>1.3959221811314819</v>
      </c>
      <c r="AX33" s="498">
        <f t="shared" si="77"/>
        <v>0</v>
      </c>
      <c r="AY33" s="493">
        <f t="shared" si="78"/>
        <v>10.003141831238782</v>
      </c>
      <c r="AZ33" s="494">
        <f t="shared" si="79"/>
        <v>9.7982999252498253</v>
      </c>
      <c r="BA33" s="494">
        <f t="shared" si="80"/>
        <v>0</v>
      </c>
      <c r="BB33" s="561">
        <f t="shared" si="40"/>
        <v>8420.4313656460636</v>
      </c>
      <c r="BC33" s="482">
        <f t="shared" si="48"/>
        <v>8998.3558908173727</v>
      </c>
      <c r="BD33" s="482">
        <f t="shared" si="49"/>
        <v>8228.9433992220365</v>
      </c>
      <c r="BE33" s="483" t="s">
        <v>56</v>
      </c>
      <c r="BF33" s="483" t="s">
        <v>56</v>
      </c>
      <c r="BG33" s="483" t="s">
        <v>56</v>
      </c>
      <c r="BH33" s="555" t="s">
        <v>56</v>
      </c>
      <c r="BI33" s="489">
        <f t="shared" si="41"/>
        <v>1199.6230986673843</v>
      </c>
      <c r="BJ33" s="490">
        <f t="shared" si="42"/>
        <v>1281.9575515685026</v>
      </c>
      <c r="BK33" s="490">
        <f t="shared" si="43"/>
        <v>1172.3426212590298</v>
      </c>
      <c r="BL33" s="483" t="s">
        <v>56</v>
      </c>
      <c r="BM33" s="483" t="s">
        <v>56</v>
      </c>
      <c r="BN33" s="483" t="s">
        <v>56</v>
      </c>
      <c r="BO33" s="555" t="s">
        <v>56</v>
      </c>
    </row>
    <row r="34" spans="1:67" ht="14.65" customHeight="1">
      <c r="A34" s="803" t="str">
        <f>'Compiled Products'!E1</f>
        <v>Automotive lubricants</v>
      </c>
      <c r="B34" s="400" t="s">
        <v>2741</v>
      </c>
      <c r="C34" s="803" t="str">
        <f>A34</f>
        <v>Automotive lubricants</v>
      </c>
      <c r="D34" s="462">
        <v>1</v>
      </c>
      <c r="E34" s="583">
        <v>1</v>
      </c>
      <c r="F34" s="583">
        <v>0</v>
      </c>
      <c r="G34" s="502">
        <f>'Compiled Products'!E7</f>
        <v>120</v>
      </c>
      <c r="H34" s="14">
        <f>'Compiled Products'!$E$5</f>
        <v>1</v>
      </c>
      <c r="I34" s="14">
        <f>'Compiled Products'!E6</f>
        <v>1</v>
      </c>
      <c r="J34" s="512">
        <f t="shared" si="81"/>
        <v>3.2300000000000002E-2</v>
      </c>
      <c r="K34" s="507">
        <f t="shared" si="82"/>
        <v>6.4600000000000005E-2</v>
      </c>
      <c r="L34" s="497" t="s">
        <v>3132</v>
      </c>
      <c r="M34" s="473">
        <f>(INDEX('Dermal Calcs'!$B$64:$H$70, MATCH($L34,'Dermal Calcs'!$A$64:$A$70, 0), MATCH(M$3, 'Dermal Calcs'!$B$63:$H$63, 0)))*$K34*$D34</f>
        <v>8.0025134649910262E-2</v>
      </c>
      <c r="N34" s="474">
        <f>(INDEX('Dermal Calcs'!$B$64:$H$70, MATCH($L34,'Dermal Calcs'!$A$64:$A$70, 0), MATCH(N$3, 'Dermal Calcs'!$B$63:$H$63, 0)))*$K34*$E34</f>
        <v>7.4885474860335227E-2</v>
      </c>
      <c r="O34" s="474">
        <v>0</v>
      </c>
      <c r="P34" s="476">
        <f>(INDEX('Dermal Calcs'!$B$64:$H$70, MATCH($L34,'Dermal Calcs'!$A$64:$A$70, 0), MATCH(P$3, 'Dermal Calcs'!$B$63:$H$63, 0)))*$K34*$F34</f>
        <v>0</v>
      </c>
      <c r="Q34" s="476">
        <f>(INDEX('Dermal Calcs'!$B$64:$H$70, MATCH($L34,'Dermal Calcs'!$A$64:$A$70, 0), MATCH(Q$3, 'Dermal Calcs'!$B$63:$H$63, 0)))*$K34*$F34</f>
        <v>0</v>
      </c>
      <c r="R34" s="476">
        <f>(INDEX('Dermal Calcs'!$B$64:$H$70, MATCH($L34,'Dermal Calcs'!$A$64:$A$70, 0), MATCH(R$3, 'Dermal Calcs'!$B$63:$H$63, 0)))*$K34*$F34</f>
        <v>0</v>
      </c>
      <c r="S34" s="477">
        <f>(INDEX('Dermal Calcs'!$B$64:$H$70, MATCH($L34,'Dermal Calcs'!$A$64:$A$70, 0), MATCH(S$3, 'Dermal Calcs'!$B$63:$H$63, 0)))*$K34*$F34</f>
        <v>0</v>
      </c>
      <c r="T34" s="479">
        <f t="shared" si="83"/>
        <v>8.0025134649910262E-2</v>
      </c>
      <c r="U34" s="480">
        <f t="shared" si="84"/>
        <v>7.4885474860335227E-2</v>
      </c>
      <c r="V34" s="480">
        <f t="shared" si="85"/>
        <v>0</v>
      </c>
      <c r="W34" s="487">
        <f t="shared" si="86"/>
        <v>0</v>
      </c>
      <c r="X34" s="487">
        <f t="shared" si="87"/>
        <v>0</v>
      </c>
      <c r="Y34" s="487">
        <f t="shared" si="88"/>
        <v>0</v>
      </c>
      <c r="Z34" s="487">
        <f t="shared" si="89"/>
        <v>0</v>
      </c>
      <c r="AA34" s="508">
        <f t="shared" si="90"/>
        <v>8.0025134649910262E-2</v>
      </c>
      <c r="AB34" s="488">
        <f t="shared" si="91"/>
        <v>7.4885474860335227E-2</v>
      </c>
      <c r="AC34" s="488">
        <f t="shared" si="92"/>
        <v>0</v>
      </c>
      <c r="AD34" s="487">
        <f t="shared" si="93"/>
        <v>0</v>
      </c>
      <c r="AE34" s="487">
        <f t="shared" si="94"/>
        <v>0</v>
      </c>
      <c r="AF34" s="487">
        <f t="shared" si="95"/>
        <v>0</v>
      </c>
      <c r="AG34" s="487">
        <f t="shared" si="96"/>
        <v>0</v>
      </c>
      <c r="AH34" s="479">
        <f t="shared" si="97"/>
        <v>0.21924694424632948</v>
      </c>
      <c r="AI34" s="480">
        <f t="shared" si="98"/>
        <v>0.20516568454886361</v>
      </c>
      <c r="AJ34" s="480">
        <f t="shared" si="99"/>
        <v>0</v>
      </c>
      <c r="AK34" s="480">
        <f t="shared" si="100"/>
        <v>0</v>
      </c>
      <c r="AL34" s="480">
        <f t="shared" si="101"/>
        <v>0</v>
      </c>
      <c r="AM34" s="480">
        <f t="shared" si="102"/>
        <v>0</v>
      </c>
      <c r="AN34" s="481">
        <f t="shared" si="103"/>
        <v>0</v>
      </c>
      <c r="AO34" s="480">
        <f t="shared" si="104"/>
        <v>80.025134649910257</v>
      </c>
      <c r="AP34" s="480">
        <f t="shared" si="105"/>
        <v>74.885474860335222</v>
      </c>
      <c r="AQ34" s="480">
        <f t="shared" si="106"/>
        <v>0</v>
      </c>
      <c r="AR34" s="480">
        <f t="shared" si="107"/>
        <v>0</v>
      </c>
      <c r="AS34" s="480">
        <f t="shared" si="108"/>
        <v>0</v>
      </c>
      <c r="AT34" s="480">
        <f t="shared" si="109"/>
        <v>0</v>
      </c>
      <c r="AU34" s="481">
        <f t="shared" si="110"/>
        <v>0</v>
      </c>
      <c r="AV34" s="508">
        <f t="shared" si="75"/>
        <v>0.21924694424632948</v>
      </c>
      <c r="AW34" s="488">
        <f t="shared" si="76"/>
        <v>0.1025828422744318</v>
      </c>
      <c r="AX34" s="487">
        <f t="shared" si="77"/>
        <v>0</v>
      </c>
      <c r="AY34" s="508">
        <f t="shared" si="78"/>
        <v>80.025134649910257</v>
      </c>
      <c r="AZ34" s="488">
        <f t="shared" si="79"/>
        <v>37.442737430167611</v>
      </c>
      <c r="BA34" s="487">
        <f t="shared" si="80"/>
        <v>0</v>
      </c>
      <c r="BB34" s="561">
        <f t="shared" si="40"/>
        <v>54732.8038766994</v>
      </c>
      <c r="BC34" s="482">
        <f t="shared" si="48"/>
        <v>58489.313290312937</v>
      </c>
      <c r="BD34" s="483" t="s">
        <v>56</v>
      </c>
      <c r="BE34" s="483" t="s">
        <v>56</v>
      </c>
      <c r="BF34" s="483" t="s">
        <v>56</v>
      </c>
      <c r="BG34" s="483" t="s">
        <v>56</v>
      </c>
      <c r="BH34" s="555" t="s">
        <v>56</v>
      </c>
      <c r="BI34" s="489">
        <f t="shared" si="41"/>
        <v>149.95288733342304</v>
      </c>
      <c r="BJ34" s="490">
        <f t="shared" si="42"/>
        <v>160.24469394606282</v>
      </c>
      <c r="BK34" s="483" t="s">
        <v>56</v>
      </c>
      <c r="BL34" s="483" t="s">
        <v>56</v>
      </c>
      <c r="BM34" s="483" t="s">
        <v>56</v>
      </c>
      <c r="BN34" s="483" t="s">
        <v>56</v>
      </c>
      <c r="BO34" s="555" t="s">
        <v>56</v>
      </c>
    </row>
    <row r="35" spans="1:67">
      <c r="A35" s="804"/>
      <c r="B35" s="400" t="s">
        <v>2790</v>
      </c>
      <c r="C35" s="804"/>
      <c r="D35" s="462">
        <v>1</v>
      </c>
      <c r="E35" s="583">
        <v>1</v>
      </c>
      <c r="F35" s="583">
        <v>0</v>
      </c>
      <c r="G35" s="502">
        <f>'Compiled Products'!E8</f>
        <v>60</v>
      </c>
      <c r="H35" s="573">
        <f>H34</f>
        <v>1</v>
      </c>
      <c r="I35" s="573">
        <f>I34</f>
        <v>1</v>
      </c>
      <c r="J35" s="512">
        <f t="shared" si="81"/>
        <v>3.2300000000000002E-2</v>
      </c>
      <c r="K35" s="507">
        <f t="shared" si="82"/>
        <v>3.2300000000000002E-2</v>
      </c>
      <c r="L35" s="497" t="s">
        <v>3132</v>
      </c>
      <c r="M35" s="473">
        <f>(INDEX('Dermal Calcs'!$B$64:$H$70, MATCH($L35,'Dermal Calcs'!$A$64:$A$70, 0), MATCH(M$3, 'Dermal Calcs'!$B$63:$H$63, 0)))*$K35*$D35</f>
        <v>4.0012567324955131E-2</v>
      </c>
      <c r="N35" s="474">
        <f>(INDEX('Dermal Calcs'!$B$64:$H$70, MATCH($L35,'Dermal Calcs'!$A$64:$A$70, 0), MATCH(N$3, 'Dermal Calcs'!$B$63:$H$63, 0)))*$K35*$E35</f>
        <v>3.7442737430167614E-2</v>
      </c>
      <c r="O35" s="474">
        <v>0</v>
      </c>
      <c r="P35" s="476">
        <f>(INDEX('Dermal Calcs'!$B$64:$H$70, MATCH($L35,'Dermal Calcs'!$A$64:$A$70, 0), MATCH(P$3, 'Dermal Calcs'!$B$63:$H$63, 0)))*$K35*$F35</f>
        <v>0</v>
      </c>
      <c r="Q35" s="476">
        <f>(INDEX('Dermal Calcs'!$B$64:$H$70, MATCH($L35,'Dermal Calcs'!$A$64:$A$70, 0), MATCH(Q$3, 'Dermal Calcs'!$B$63:$H$63, 0)))*$K35*$F35</f>
        <v>0</v>
      </c>
      <c r="R35" s="476">
        <f>(INDEX('Dermal Calcs'!$B$64:$H$70, MATCH($L35,'Dermal Calcs'!$A$64:$A$70, 0), MATCH(R$3, 'Dermal Calcs'!$B$63:$H$63, 0)))*$K35*$F35</f>
        <v>0</v>
      </c>
      <c r="S35" s="477">
        <f>(INDEX('Dermal Calcs'!$B$64:$H$70, MATCH($L35,'Dermal Calcs'!$A$64:$A$70, 0), MATCH(S$3, 'Dermal Calcs'!$B$63:$H$63, 0)))*$K35*$F35</f>
        <v>0</v>
      </c>
      <c r="T35" s="479">
        <f t="shared" si="83"/>
        <v>4.0012567324955131E-2</v>
      </c>
      <c r="U35" s="480">
        <f t="shared" si="84"/>
        <v>3.7442737430167614E-2</v>
      </c>
      <c r="V35" s="480">
        <f t="shared" si="85"/>
        <v>0</v>
      </c>
      <c r="W35" s="487">
        <f t="shared" si="86"/>
        <v>0</v>
      </c>
      <c r="X35" s="487">
        <f t="shared" si="87"/>
        <v>0</v>
      </c>
      <c r="Y35" s="487">
        <f t="shared" si="88"/>
        <v>0</v>
      </c>
      <c r="Z35" s="487">
        <f t="shared" si="89"/>
        <v>0</v>
      </c>
      <c r="AA35" s="508">
        <f t="shared" si="90"/>
        <v>4.0012567324955131E-2</v>
      </c>
      <c r="AB35" s="488">
        <f t="shared" si="91"/>
        <v>3.7442737430167614E-2</v>
      </c>
      <c r="AC35" s="488">
        <f t="shared" si="92"/>
        <v>0</v>
      </c>
      <c r="AD35" s="487">
        <f t="shared" si="93"/>
        <v>0</v>
      </c>
      <c r="AE35" s="487">
        <f t="shared" si="94"/>
        <v>0</v>
      </c>
      <c r="AF35" s="487">
        <f t="shared" si="95"/>
        <v>0</v>
      </c>
      <c r="AG35" s="487">
        <f t="shared" si="96"/>
        <v>0</v>
      </c>
      <c r="AH35" s="479">
        <f t="shared" si="97"/>
        <v>0.10962347212316474</v>
      </c>
      <c r="AI35" s="480">
        <f t="shared" si="98"/>
        <v>0.1025828422744318</v>
      </c>
      <c r="AJ35" s="480">
        <f t="shared" si="99"/>
        <v>0</v>
      </c>
      <c r="AK35" s="480">
        <f t="shared" si="100"/>
        <v>0</v>
      </c>
      <c r="AL35" s="480">
        <f t="shared" si="101"/>
        <v>0</v>
      </c>
      <c r="AM35" s="480">
        <f t="shared" si="102"/>
        <v>0</v>
      </c>
      <c r="AN35" s="481">
        <f t="shared" si="103"/>
        <v>0</v>
      </c>
      <c r="AO35" s="480">
        <f t="shared" si="104"/>
        <v>40.012567324955128</v>
      </c>
      <c r="AP35" s="480">
        <f t="shared" si="105"/>
        <v>37.442737430167611</v>
      </c>
      <c r="AQ35" s="480">
        <f t="shared" si="106"/>
        <v>0</v>
      </c>
      <c r="AR35" s="480">
        <f t="shared" si="107"/>
        <v>0</v>
      </c>
      <c r="AS35" s="480">
        <f t="shared" si="108"/>
        <v>0</v>
      </c>
      <c r="AT35" s="480">
        <f t="shared" si="109"/>
        <v>0</v>
      </c>
      <c r="AU35" s="481">
        <f t="shared" si="110"/>
        <v>0</v>
      </c>
      <c r="AV35" s="508">
        <f t="shared" si="75"/>
        <v>0.10962347212316474</v>
      </c>
      <c r="AW35" s="488">
        <f t="shared" si="76"/>
        <v>5.1291421137215902E-2</v>
      </c>
      <c r="AX35" s="487">
        <f t="shared" si="77"/>
        <v>0</v>
      </c>
      <c r="AY35" s="508">
        <f t="shared" si="78"/>
        <v>40.012567324955128</v>
      </c>
      <c r="AZ35" s="488">
        <f t="shared" si="79"/>
        <v>18.721368715083806</v>
      </c>
      <c r="BA35" s="487">
        <f t="shared" si="80"/>
        <v>0</v>
      </c>
      <c r="BB35" s="561">
        <f t="shared" si="40"/>
        <v>109465.6077533988</v>
      </c>
      <c r="BC35" s="482">
        <f t="shared" si="48"/>
        <v>116978.62658062587</v>
      </c>
      <c r="BD35" s="483" t="s">
        <v>56</v>
      </c>
      <c r="BE35" s="483" t="s">
        <v>56</v>
      </c>
      <c r="BF35" s="483" t="s">
        <v>56</v>
      </c>
      <c r="BG35" s="483" t="s">
        <v>56</v>
      </c>
      <c r="BH35" s="555" t="s">
        <v>56</v>
      </c>
      <c r="BI35" s="489">
        <f t="shared" si="41"/>
        <v>299.90577466684607</v>
      </c>
      <c r="BJ35" s="490">
        <f t="shared" si="42"/>
        <v>320.48938789212565</v>
      </c>
      <c r="BK35" s="483" t="s">
        <v>56</v>
      </c>
      <c r="BL35" s="483" t="s">
        <v>56</v>
      </c>
      <c r="BM35" s="483" t="s">
        <v>56</v>
      </c>
      <c r="BN35" s="483" t="s">
        <v>56</v>
      </c>
      <c r="BO35" s="555" t="s">
        <v>56</v>
      </c>
    </row>
    <row r="36" spans="1:67">
      <c r="A36" s="805"/>
      <c r="B36" s="400" t="s">
        <v>2745</v>
      </c>
      <c r="C36" s="805"/>
      <c r="D36" s="465">
        <v>1</v>
      </c>
      <c r="E36" s="466">
        <v>1</v>
      </c>
      <c r="F36" s="466">
        <v>0</v>
      </c>
      <c r="G36" s="502">
        <f>'Compiled Products'!E9</f>
        <v>30</v>
      </c>
      <c r="H36" s="573">
        <f>H34</f>
        <v>1</v>
      </c>
      <c r="I36" s="573">
        <f>I34</f>
        <v>1</v>
      </c>
      <c r="J36" s="512">
        <f t="shared" si="81"/>
        <v>3.2300000000000002E-2</v>
      </c>
      <c r="K36" s="507">
        <f t="shared" si="82"/>
        <v>1.6150000000000001E-2</v>
      </c>
      <c r="L36" s="509" t="s">
        <v>3132</v>
      </c>
      <c r="M36" s="474">
        <f>(INDEX('Dermal Calcs'!$B$64:$H$70, MATCH($L36,'Dermal Calcs'!$A$64:$A$70, 0), MATCH(M$3, 'Dermal Calcs'!$B$63:$H$63, 0)))*$K36*$D36</f>
        <v>2.0006283662477566E-2</v>
      </c>
      <c r="N36" s="474">
        <f>(INDEX('Dermal Calcs'!$B$64:$H$70, MATCH($L36,'Dermal Calcs'!$A$64:$A$70, 0), MATCH(N$3, 'Dermal Calcs'!$B$63:$H$63, 0)))*$K36*$E36</f>
        <v>1.8721368715083807E-2</v>
      </c>
      <c r="O36" s="474">
        <v>0</v>
      </c>
      <c r="P36" s="476">
        <f>(INDEX('Dermal Calcs'!$B$64:$H$70, MATCH($L36,'Dermal Calcs'!$A$64:$A$70, 0), MATCH(P$3, 'Dermal Calcs'!$B$63:$H$63, 0)))*$K36*$F36</f>
        <v>0</v>
      </c>
      <c r="Q36" s="476">
        <f>(INDEX('Dermal Calcs'!$B$64:$H$70, MATCH($L36,'Dermal Calcs'!$A$64:$A$70, 0), MATCH(Q$3, 'Dermal Calcs'!$B$63:$H$63, 0)))*$K36*$F36</f>
        <v>0</v>
      </c>
      <c r="R36" s="476">
        <f>(INDEX('Dermal Calcs'!$B$64:$H$70, MATCH($L36,'Dermal Calcs'!$A$64:$A$70, 0), MATCH(R$3, 'Dermal Calcs'!$B$63:$H$63, 0)))*$K36*$F36</f>
        <v>0</v>
      </c>
      <c r="S36" s="477">
        <f>(INDEX('Dermal Calcs'!$B$64:$H$70, MATCH($L36,'Dermal Calcs'!$A$64:$A$70, 0), MATCH(S$3, 'Dermal Calcs'!$B$63:$H$63, 0)))*$K36*$F36</f>
        <v>0</v>
      </c>
      <c r="T36" s="479">
        <f t="shared" si="83"/>
        <v>2.0006283662477566E-2</v>
      </c>
      <c r="U36" s="480">
        <f t="shared" si="84"/>
        <v>1.8721368715083807E-2</v>
      </c>
      <c r="V36" s="480">
        <f t="shared" si="85"/>
        <v>0</v>
      </c>
      <c r="W36" s="487">
        <f t="shared" si="86"/>
        <v>0</v>
      </c>
      <c r="X36" s="487">
        <f t="shared" si="87"/>
        <v>0</v>
      </c>
      <c r="Y36" s="487">
        <f t="shared" si="88"/>
        <v>0</v>
      </c>
      <c r="Z36" s="487">
        <f t="shared" si="89"/>
        <v>0</v>
      </c>
      <c r="AA36" s="508">
        <f t="shared" si="90"/>
        <v>2.0006283662477566E-2</v>
      </c>
      <c r="AB36" s="488">
        <f t="shared" si="91"/>
        <v>1.8721368715083807E-2</v>
      </c>
      <c r="AC36" s="488">
        <f t="shared" si="92"/>
        <v>0</v>
      </c>
      <c r="AD36" s="487">
        <f t="shared" si="93"/>
        <v>0</v>
      </c>
      <c r="AE36" s="487">
        <f t="shared" si="94"/>
        <v>0</v>
      </c>
      <c r="AF36" s="487">
        <f t="shared" si="95"/>
        <v>0</v>
      </c>
      <c r="AG36" s="487">
        <f t="shared" si="96"/>
        <v>0</v>
      </c>
      <c r="AH36" s="479">
        <f t="shared" si="97"/>
        <v>5.4811736061582371E-2</v>
      </c>
      <c r="AI36" s="480">
        <f t="shared" si="98"/>
        <v>5.1291421137215902E-2</v>
      </c>
      <c r="AJ36" s="480">
        <f t="shared" si="99"/>
        <v>0</v>
      </c>
      <c r="AK36" s="480">
        <f t="shared" si="100"/>
        <v>0</v>
      </c>
      <c r="AL36" s="480">
        <f t="shared" si="101"/>
        <v>0</v>
      </c>
      <c r="AM36" s="480">
        <f t="shared" si="102"/>
        <v>0</v>
      </c>
      <c r="AN36" s="481">
        <f t="shared" si="103"/>
        <v>0</v>
      </c>
      <c r="AO36" s="480">
        <f t="shared" si="104"/>
        <v>20.006283662477564</v>
      </c>
      <c r="AP36" s="480">
        <f t="shared" si="105"/>
        <v>18.721368715083806</v>
      </c>
      <c r="AQ36" s="480">
        <f t="shared" si="106"/>
        <v>0</v>
      </c>
      <c r="AR36" s="480">
        <f t="shared" si="107"/>
        <v>0</v>
      </c>
      <c r="AS36" s="480">
        <f t="shared" si="108"/>
        <v>0</v>
      </c>
      <c r="AT36" s="480">
        <f t="shared" si="109"/>
        <v>0</v>
      </c>
      <c r="AU36" s="481">
        <f t="shared" si="110"/>
        <v>0</v>
      </c>
      <c r="AV36" s="508">
        <f t="shared" si="75"/>
        <v>5.4811736061582371E-2</v>
      </c>
      <c r="AW36" s="488">
        <f t="shared" si="76"/>
        <v>2.5645710568607951E-2</v>
      </c>
      <c r="AX36" s="487">
        <f t="shared" si="77"/>
        <v>0</v>
      </c>
      <c r="AY36" s="508">
        <f t="shared" si="78"/>
        <v>20.006283662477564</v>
      </c>
      <c r="AZ36" s="488">
        <f t="shared" si="79"/>
        <v>9.3606843575419028</v>
      </c>
      <c r="BA36" s="487">
        <f t="shared" si="80"/>
        <v>0</v>
      </c>
      <c r="BB36" s="561">
        <f t="shared" si="40"/>
        <v>218931.2155067976</v>
      </c>
      <c r="BC36" s="482">
        <f t="shared" si="48"/>
        <v>233957.25316125175</v>
      </c>
      <c r="BD36" s="483" t="s">
        <v>56</v>
      </c>
      <c r="BE36" s="483" t="s">
        <v>56</v>
      </c>
      <c r="BF36" s="483" t="s">
        <v>56</v>
      </c>
      <c r="BG36" s="483" t="s">
        <v>56</v>
      </c>
      <c r="BH36" s="555" t="s">
        <v>56</v>
      </c>
      <c r="BI36" s="489">
        <f t="shared" si="41"/>
        <v>599.81154933369214</v>
      </c>
      <c r="BJ36" s="490">
        <f t="shared" si="42"/>
        <v>640.9787757842513</v>
      </c>
      <c r="BK36" s="483" t="s">
        <v>56</v>
      </c>
      <c r="BL36" s="483" t="s">
        <v>56</v>
      </c>
      <c r="BM36" s="483" t="s">
        <v>56</v>
      </c>
      <c r="BN36" s="483" t="s">
        <v>56</v>
      </c>
      <c r="BO36" s="555" t="s">
        <v>56</v>
      </c>
    </row>
    <row r="37" spans="1:67">
      <c r="A37" s="803" t="str">
        <f>'Compiled Products'!F1</f>
        <v>Caulking Products</v>
      </c>
      <c r="B37" s="400" t="s">
        <v>2741</v>
      </c>
      <c r="C37" s="803" t="str">
        <f>A37</f>
        <v>Caulking Products</v>
      </c>
      <c r="D37" s="462">
        <v>1</v>
      </c>
      <c r="E37" s="583">
        <v>1</v>
      </c>
      <c r="F37" s="583">
        <v>0</v>
      </c>
      <c r="G37" s="502">
        <f>'Compiled Products'!F7</f>
        <v>60</v>
      </c>
      <c r="H37" s="14">
        <f>'Compiled Products'!$F$5</f>
        <v>52</v>
      </c>
      <c r="I37" s="14">
        <f>'Compiled Products'!F6</f>
        <v>1</v>
      </c>
      <c r="J37" s="512">
        <f t="shared" si="81"/>
        <v>3.2300000000000002E-2</v>
      </c>
      <c r="K37" s="507">
        <f t="shared" ref="K37:K54" si="111">J37*G37/60</f>
        <v>3.2300000000000002E-2</v>
      </c>
      <c r="L37" s="497" t="s">
        <v>3131</v>
      </c>
      <c r="M37" s="473">
        <f>(INDEX('Dermal Calcs'!$B$64:$H$70, MATCH($L37,'Dermal Calcs'!$A$64:$A$70, 0), MATCH(M$3, 'Dermal Calcs'!$B$63:$H$63, 0)))*$K37*$D37</f>
        <v>0.20006283662477567</v>
      </c>
      <c r="N37" s="474">
        <f>(INDEX('Dermal Calcs'!$B$64:$H$70, MATCH($L37,'Dermal Calcs'!$A$64:$A$70, 0), MATCH(N$3, 'Dermal Calcs'!$B$63:$H$63, 0)))*$K37*$E37</f>
        <v>0.18721368715083803</v>
      </c>
      <c r="O37" s="474">
        <f>(INDEX('Dermal Calcs'!$B$64:$H$70, MATCH($L37,'Dermal Calcs'!$A$64:$A$70, 0), MATCH(O$3, 'Dermal Calcs'!$B$63:$H$63, 0)))*$K37*$E37</f>
        <v>0.20471830985915496</v>
      </c>
      <c r="P37" s="476">
        <f>(INDEX('Dermal Calcs'!$B$64:$H$70, MATCH($L37,'Dermal Calcs'!$A$64:$A$70, 0), MATCH(P$3, 'Dermal Calcs'!$B$63:$H$63, 0)))*$K37*$F37</f>
        <v>0</v>
      </c>
      <c r="Q37" s="476">
        <f>(INDEX('Dermal Calcs'!$B$64:$H$70, MATCH($L37,'Dermal Calcs'!$A$64:$A$70, 0), MATCH(Q$3, 'Dermal Calcs'!$B$63:$H$63, 0)))*$K37*$F37</f>
        <v>0</v>
      </c>
      <c r="R37" s="476">
        <f>(INDEX('Dermal Calcs'!$B$64:$H$70, MATCH($L37,'Dermal Calcs'!$A$64:$A$70, 0), MATCH(R$3, 'Dermal Calcs'!$B$63:$H$63, 0)))*$K37*$F37</f>
        <v>0</v>
      </c>
      <c r="S37" s="477">
        <f>(INDEX('Dermal Calcs'!$B$64:$H$70, MATCH($L37,'Dermal Calcs'!$A$64:$A$70, 0), MATCH(S$3, 'Dermal Calcs'!$B$63:$H$63, 0)))*$K37*$F37</f>
        <v>0</v>
      </c>
      <c r="T37" s="479">
        <f t="shared" ref="T37:T54" si="112">M37*$H37</f>
        <v>10.403267504488335</v>
      </c>
      <c r="U37" s="480">
        <f t="shared" si="84"/>
        <v>9.7351117318435776</v>
      </c>
      <c r="V37" s="480">
        <f t="shared" si="85"/>
        <v>10.645352112676058</v>
      </c>
      <c r="W37" s="487">
        <f t="shared" si="86"/>
        <v>0</v>
      </c>
      <c r="X37" s="487">
        <f t="shared" si="87"/>
        <v>0</v>
      </c>
      <c r="Y37" s="487">
        <f t="shared" si="88"/>
        <v>0</v>
      </c>
      <c r="Z37" s="487">
        <f t="shared" si="89"/>
        <v>0</v>
      </c>
      <c r="AA37" s="508">
        <f t="shared" ref="AA37:AA54" si="113">M37*$I37</f>
        <v>0.20006283662477567</v>
      </c>
      <c r="AB37" s="488">
        <f t="shared" si="91"/>
        <v>0.18721368715083803</v>
      </c>
      <c r="AC37" s="488">
        <f t="shared" si="92"/>
        <v>0.20471830985915496</v>
      </c>
      <c r="AD37" s="487">
        <f t="shared" si="93"/>
        <v>0</v>
      </c>
      <c r="AE37" s="487">
        <f t="shared" si="94"/>
        <v>0</v>
      </c>
      <c r="AF37" s="487">
        <f t="shared" si="95"/>
        <v>0</v>
      </c>
      <c r="AG37" s="487">
        <f t="shared" si="96"/>
        <v>0</v>
      </c>
      <c r="AH37" s="479">
        <f t="shared" ref="AH37:AH54" si="114">(T37*1000)/365</f>
        <v>28.502102752022836</v>
      </c>
      <c r="AI37" s="480">
        <f t="shared" si="98"/>
        <v>26.671538991352268</v>
      </c>
      <c r="AJ37" s="480">
        <f t="shared" si="99"/>
        <v>29.165348253907005</v>
      </c>
      <c r="AK37" s="480">
        <f t="shared" si="100"/>
        <v>0</v>
      </c>
      <c r="AL37" s="480">
        <f t="shared" si="101"/>
        <v>0</v>
      </c>
      <c r="AM37" s="480">
        <f t="shared" si="102"/>
        <v>0</v>
      </c>
      <c r="AN37" s="481">
        <f t="shared" si="103"/>
        <v>0</v>
      </c>
      <c r="AO37" s="480">
        <f t="shared" ref="AO37:AO54" si="115">AA37*1000</f>
        <v>200.06283662477566</v>
      </c>
      <c r="AP37" s="480">
        <f t="shared" si="105"/>
        <v>187.21368715083801</v>
      </c>
      <c r="AQ37" s="480">
        <f t="shared" si="106"/>
        <v>204.71830985915494</v>
      </c>
      <c r="AR37" s="480">
        <f t="shared" si="107"/>
        <v>0</v>
      </c>
      <c r="AS37" s="480">
        <f t="shared" si="108"/>
        <v>0</v>
      </c>
      <c r="AT37" s="480">
        <f t="shared" si="109"/>
        <v>0</v>
      </c>
      <c r="AU37" s="481">
        <f t="shared" si="110"/>
        <v>0</v>
      </c>
      <c r="AV37" s="508">
        <f t="shared" ref="AV37:AV54" si="116">(T37*1000)/365</f>
        <v>28.502102752022836</v>
      </c>
      <c r="AW37" s="488">
        <f t="shared" ref="AW37:AW54" si="117">(AVERAGE(U37:V37)*1000)/365</f>
        <v>27.918443622629638</v>
      </c>
      <c r="AX37" s="487">
        <f t="shared" ref="AX37:AX54" si="118">(AVERAGE(W37:Z37)*1000)/365</f>
        <v>0</v>
      </c>
      <c r="AY37" s="508">
        <f t="shared" ref="AY37:AY54" si="119">AA37*1000</f>
        <v>200.06283662477566</v>
      </c>
      <c r="AZ37" s="488">
        <f t="shared" ref="AZ37:AZ54" si="120">AVERAGE(AB37:AC37)*1000</f>
        <v>195.96599850499649</v>
      </c>
      <c r="BA37" s="487">
        <f t="shared" ref="BA37:BA54" si="121">AVERAGE(AD37:AG37)*1000</f>
        <v>0</v>
      </c>
      <c r="BB37" s="561">
        <f t="shared" si="40"/>
        <v>421.02156828230306</v>
      </c>
      <c r="BC37" s="482">
        <f t="shared" si="48"/>
        <v>449.91779454086878</v>
      </c>
      <c r="BD37" s="482">
        <f t="shared" si="49"/>
        <v>411.44716996110185</v>
      </c>
      <c r="BE37" s="483" t="s">
        <v>56</v>
      </c>
      <c r="BF37" s="483" t="s">
        <v>56</v>
      </c>
      <c r="BG37" s="483" t="s">
        <v>56</v>
      </c>
      <c r="BH37" s="555" t="s">
        <v>56</v>
      </c>
      <c r="BI37" s="489">
        <f t="shared" si="41"/>
        <v>59.981154933369204</v>
      </c>
      <c r="BJ37" s="490">
        <f t="shared" si="42"/>
        <v>64.097877578425141</v>
      </c>
      <c r="BK37" s="490">
        <f t="shared" si="43"/>
        <v>58.617131062951493</v>
      </c>
      <c r="BL37" s="483" t="s">
        <v>56</v>
      </c>
      <c r="BM37" s="483" t="s">
        <v>56</v>
      </c>
      <c r="BN37" s="483" t="s">
        <v>56</v>
      </c>
      <c r="BO37" s="555" t="s">
        <v>56</v>
      </c>
    </row>
    <row r="38" spans="1:67">
      <c r="A38" s="804"/>
      <c r="B38" s="400" t="s">
        <v>2790</v>
      </c>
      <c r="C38" s="804"/>
      <c r="D38" s="462">
        <v>1</v>
      </c>
      <c r="E38" s="583">
        <v>1</v>
      </c>
      <c r="F38" s="583">
        <v>0</v>
      </c>
      <c r="G38" s="502">
        <f>'Compiled Products'!F8</f>
        <v>30</v>
      </c>
      <c r="H38" s="573">
        <f>H37</f>
        <v>52</v>
      </c>
      <c r="I38" s="573">
        <f>I37</f>
        <v>1</v>
      </c>
      <c r="J38" s="512">
        <f t="shared" si="81"/>
        <v>3.2300000000000002E-2</v>
      </c>
      <c r="K38" s="507">
        <f t="shared" si="111"/>
        <v>1.6150000000000001E-2</v>
      </c>
      <c r="L38" s="497" t="s">
        <v>3136</v>
      </c>
      <c r="M38" s="473">
        <f>(INDEX('Dermal Calcs'!$B$64:$H$70, MATCH($L38,'Dermal Calcs'!$A$64:$A$70, 0), MATCH(M$3, 'Dermal Calcs'!$B$63:$H$63, 0)))*$K38*$D38</f>
        <v>5.0015709156193917E-2</v>
      </c>
      <c r="N38" s="474">
        <f>(INDEX('Dermal Calcs'!$B$64:$H$70, MATCH($L38,'Dermal Calcs'!$A$64:$A$70, 0), MATCH(N$3, 'Dermal Calcs'!$B$63:$H$63, 0)))*$K38*$E38</f>
        <v>4.6803421787709507E-2</v>
      </c>
      <c r="O38" s="474">
        <f>(INDEX('Dermal Calcs'!$B$64:$H$70, MATCH($L38,'Dermal Calcs'!$A$64:$A$70, 0), MATCH(O$3, 'Dermal Calcs'!$B$63:$H$63, 0)))*$K38*$E38</f>
        <v>5.1179577464788739E-2</v>
      </c>
      <c r="P38" s="476">
        <f>(INDEX('Dermal Calcs'!$B$64:$H$70, MATCH($L38,'Dermal Calcs'!$A$64:$A$70, 0), MATCH(P$3, 'Dermal Calcs'!$B$63:$H$63, 0)))*$K38*$F38</f>
        <v>0</v>
      </c>
      <c r="Q38" s="476">
        <f>(INDEX('Dermal Calcs'!$B$64:$H$70, MATCH($L38,'Dermal Calcs'!$A$64:$A$70, 0), MATCH(Q$3, 'Dermal Calcs'!$B$63:$H$63, 0)))*$K38*$F38</f>
        <v>0</v>
      </c>
      <c r="R38" s="476">
        <f>(INDEX('Dermal Calcs'!$B$64:$H$70, MATCH($L38,'Dermal Calcs'!$A$64:$A$70, 0), MATCH(R$3, 'Dermal Calcs'!$B$63:$H$63, 0)))*$K38*$F38</f>
        <v>0</v>
      </c>
      <c r="S38" s="477">
        <f>(INDEX('Dermal Calcs'!$B$64:$H$70, MATCH($L38,'Dermal Calcs'!$A$64:$A$70, 0), MATCH(S$3, 'Dermal Calcs'!$B$63:$H$63, 0)))*$K38*$F38</f>
        <v>0</v>
      </c>
      <c r="T38" s="479">
        <f t="shared" si="112"/>
        <v>2.6008168761220838</v>
      </c>
      <c r="U38" s="480">
        <f t="shared" si="84"/>
        <v>2.4337779329608944</v>
      </c>
      <c r="V38" s="480">
        <f t="shared" si="85"/>
        <v>2.6613380281690144</v>
      </c>
      <c r="W38" s="487">
        <f t="shared" si="86"/>
        <v>0</v>
      </c>
      <c r="X38" s="487">
        <f t="shared" si="87"/>
        <v>0</v>
      </c>
      <c r="Y38" s="487">
        <f t="shared" si="88"/>
        <v>0</v>
      </c>
      <c r="Z38" s="487">
        <f t="shared" si="89"/>
        <v>0</v>
      </c>
      <c r="AA38" s="508">
        <f t="shared" si="113"/>
        <v>5.0015709156193917E-2</v>
      </c>
      <c r="AB38" s="488">
        <f t="shared" si="91"/>
        <v>4.6803421787709507E-2</v>
      </c>
      <c r="AC38" s="488">
        <f t="shared" si="92"/>
        <v>5.1179577464788739E-2</v>
      </c>
      <c r="AD38" s="487">
        <f t="shared" si="93"/>
        <v>0</v>
      </c>
      <c r="AE38" s="487">
        <f t="shared" si="94"/>
        <v>0</v>
      </c>
      <c r="AF38" s="487">
        <f t="shared" si="95"/>
        <v>0</v>
      </c>
      <c r="AG38" s="487">
        <f t="shared" si="96"/>
        <v>0</v>
      </c>
      <c r="AH38" s="479">
        <f t="shared" si="114"/>
        <v>7.125525688005709</v>
      </c>
      <c r="AI38" s="480">
        <f t="shared" si="98"/>
        <v>6.667884747838067</v>
      </c>
      <c r="AJ38" s="480">
        <f t="shared" si="99"/>
        <v>7.2913370634767514</v>
      </c>
      <c r="AK38" s="480">
        <f t="shared" si="100"/>
        <v>0</v>
      </c>
      <c r="AL38" s="480">
        <f t="shared" si="101"/>
        <v>0</v>
      </c>
      <c r="AM38" s="480">
        <f t="shared" si="102"/>
        <v>0</v>
      </c>
      <c r="AN38" s="481">
        <f t="shared" si="103"/>
        <v>0</v>
      </c>
      <c r="AO38" s="480">
        <f t="shared" si="115"/>
        <v>50.015709156193914</v>
      </c>
      <c r="AP38" s="480">
        <f t="shared" si="105"/>
        <v>46.803421787709503</v>
      </c>
      <c r="AQ38" s="480">
        <f t="shared" si="106"/>
        <v>51.179577464788736</v>
      </c>
      <c r="AR38" s="480">
        <f t="shared" si="107"/>
        <v>0</v>
      </c>
      <c r="AS38" s="480">
        <f t="shared" si="108"/>
        <v>0</v>
      </c>
      <c r="AT38" s="480">
        <f t="shared" si="109"/>
        <v>0</v>
      </c>
      <c r="AU38" s="481">
        <f t="shared" si="110"/>
        <v>0</v>
      </c>
      <c r="AV38" s="508">
        <f t="shared" si="116"/>
        <v>7.125525688005709</v>
      </c>
      <c r="AW38" s="488">
        <f t="shared" si="117"/>
        <v>6.9796109056574096</v>
      </c>
      <c r="AX38" s="487">
        <f t="shared" si="118"/>
        <v>0</v>
      </c>
      <c r="AY38" s="508">
        <f t="shared" si="119"/>
        <v>50.015709156193914</v>
      </c>
      <c r="AZ38" s="488">
        <f t="shared" si="120"/>
        <v>48.991499626249123</v>
      </c>
      <c r="BA38" s="487">
        <f t="shared" si="121"/>
        <v>0</v>
      </c>
      <c r="BB38" s="561">
        <f t="shared" si="40"/>
        <v>1684.0862731292123</v>
      </c>
      <c r="BC38" s="482">
        <f t="shared" si="48"/>
        <v>1799.6711781634751</v>
      </c>
      <c r="BD38" s="482">
        <f t="shared" si="49"/>
        <v>1645.7886798444074</v>
      </c>
      <c r="BE38" s="483" t="s">
        <v>56</v>
      </c>
      <c r="BF38" s="483" t="s">
        <v>56</v>
      </c>
      <c r="BG38" s="483" t="s">
        <v>56</v>
      </c>
      <c r="BH38" s="555" t="s">
        <v>56</v>
      </c>
      <c r="BI38" s="489">
        <f t="shared" si="41"/>
        <v>239.92461973347682</v>
      </c>
      <c r="BJ38" s="490">
        <f t="shared" si="42"/>
        <v>256.39151031370056</v>
      </c>
      <c r="BK38" s="490">
        <f t="shared" si="43"/>
        <v>234.46852425180597</v>
      </c>
      <c r="BL38" s="483" t="s">
        <v>56</v>
      </c>
      <c r="BM38" s="483" t="s">
        <v>56</v>
      </c>
      <c r="BN38" s="483" t="s">
        <v>56</v>
      </c>
      <c r="BO38" s="555" t="s">
        <v>56</v>
      </c>
    </row>
    <row r="39" spans="1:67">
      <c r="A39" s="805"/>
      <c r="B39" s="400" t="s">
        <v>2745</v>
      </c>
      <c r="C39" s="805"/>
      <c r="D39" s="465">
        <v>1</v>
      </c>
      <c r="E39" s="466">
        <v>1</v>
      </c>
      <c r="F39" s="466">
        <v>0</v>
      </c>
      <c r="G39" s="502">
        <f>'Compiled Products'!F9</f>
        <v>15</v>
      </c>
      <c r="H39" s="573">
        <f>H37</f>
        <v>52</v>
      </c>
      <c r="I39" s="573">
        <f>I37</f>
        <v>1</v>
      </c>
      <c r="J39" s="512">
        <f t="shared" si="81"/>
        <v>3.2300000000000002E-2</v>
      </c>
      <c r="K39" s="507">
        <f t="shared" si="111"/>
        <v>8.0750000000000006E-3</v>
      </c>
      <c r="L39" s="509" t="s">
        <v>3132</v>
      </c>
      <c r="M39" s="474">
        <f>(INDEX('Dermal Calcs'!$B$64:$H$70, MATCH($L39,'Dermal Calcs'!$A$64:$A$70, 0), MATCH(M$3, 'Dermal Calcs'!$B$63:$H$63, 0)))*$K39*$D39</f>
        <v>1.0003141831238783E-2</v>
      </c>
      <c r="N39" s="474">
        <f>(INDEX('Dermal Calcs'!$B$64:$H$70, MATCH($L39,'Dermal Calcs'!$A$64:$A$70, 0), MATCH(N$3, 'Dermal Calcs'!$B$63:$H$63, 0)))*$K39*$E39</f>
        <v>9.3606843575419034E-3</v>
      </c>
      <c r="O39" s="474">
        <f>(INDEX('Dermal Calcs'!$B$64:$H$70, MATCH($L39,'Dermal Calcs'!$A$64:$A$70, 0), MATCH(O$3, 'Dermal Calcs'!$B$63:$H$63, 0)))*$K39*$E39</f>
        <v>1.0235915492957747E-2</v>
      </c>
      <c r="P39" s="476">
        <f>(INDEX('Dermal Calcs'!$B$64:$H$70, MATCH($L39,'Dermal Calcs'!$A$64:$A$70, 0), MATCH(P$3, 'Dermal Calcs'!$B$63:$H$63, 0)))*$K39*$F39</f>
        <v>0</v>
      </c>
      <c r="Q39" s="476">
        <f>(INDEX('Dermal Calcs'!$B$64:$H$70, MATCH($L39,'Dermal Calcs'!$A$64:$A$70, 0), MATCH(Q$3, 'Dermal Calcs'!$B$63:$H$63, 0)))*$K39*$F39</f>
        <v>0</v>
      </c>
      <c r="R39" s="476">
        <f>(INDEX('Dermal Calcs'!$B$64:$H$70, MATCH($L39,'Dermal Calcs'!$A$64:$A$70, 0), MATCH(R$3, 'Dermal Calcs'!$B$63:$H$63, 0)))*$K39*$F39</f>
        <v>0</v>
      </c>
      <c r="S39" s="477">
        <f>(INDEX('Dermal Calcs'!$B$64:$H$70, MATCH($L39,'Dermal Calcs'!$A$64:$A$70, 0), MATCH(S$3, 'Dermal Calcs'!$B$63:$H$63, 0)))*$K39*$F39</f>
        <v>0</v>
      </c>
      <c r="T39" s="479">
        <f t="shared" si="112"/>
        <v>0.52016337522441669</v>
      </c>
      <c r="U39" s="480">
        <f t="shared" si="84"/>
        <v>0.48675558659217899</v>
      </c>
      <c r="V39" s="480">
        <f t="shared" si="85"/>
        <v>0.53226760563380282</v>
      </c>
      <c r="W39" s="487">
        <f t="shared" si="86"/>
        <v>0</v>
      </c>
      <c r="X39" s="487">
        <f t="shared" si="87"/>
        <v>0</v>
      </c>
      <c r="Y39" s="487">
        <f t="shared" si="88"/>
        <v>0</v>
      </c>
      <c r="Z39" s="487">
        <f t="shared" si="89"/>
        <v>0</v>
      </c>
      <c r="AA39" s="508">
        <f t="shared" si="113"/>
        <v>1.0003141831238783E-2</v>
      </c>
      <c r="AB39" s="488">
        <f t="shared" si="91"/>
        <v>9.3606843575419034E-3</v>
      </c>
      <c r="AC39" s="488">
        <f t="shared" si="92"/>
        <v>1.0235915492957747E-2</v>
      </c>
      <c r="AD39" s="487">
        <f t="shared" si="93"/>
        <v>0</v>
      </c>
      <c r="AE39" s="487">
        <f t="shared" si="94"/>
        <v>0</v>
      </c>
      <c r="AF39" s="487">
        <f t="shared" si="95"/>
        <v>0</v>
      </c>
      <c r="AG39" s="487">
        <f t="shared" si="96"/>
        <v>0</v>
      </c>
      <c r="AH39" s="479">
        <f t="shared" si="114"/>
        <v>1.4251051376011414</v>
      </c>
      <c r="AI39" s="480">
        <f t="shared" si="98"/>
        <v>1.3335769495676137</v>
      </c>
      <c r="AJ39" s="480">
        <f t="shared" si="99"/>
        <v>1.4582674126953503</v>
      </c>
      <c r="AK39" s="480">
        <f t="shared" si="100"/>
        <v>0</v>
      </c>
      <c r="AL39" s="480">
        <f t="shared" si="101"/>
        <v>0</v>
      </c>
      <c r="AM39" s="480">
        <f t="shared" si="102"/>
        <v>0</v>
      </c>
      <c r="AN39" s="481">
        <f t="shared" si="103"/>
        <v>0</v>
      </c>
      <c r="AO39" s="480">
        <f t="shared" si="115"/>
        <v>10.003141831238782</v>
      </c>
      <c r="AP39" s="480">
        <f t="shared" si="105"/>
        <v>9.3606843575419028</v>
      </c>
      <c r="AQ39" s="480">
        <f t="shared" si="106"/>
        <v>10.235915492957748</v>
      </c>
      <c r="AR39" s="480">
        <f t="shared" si="107"/>
        <v>0</v>
      </c>
      <c r="AS39" s="480">
        <f t="shared" si="108"/>
        <v>0</v>
      </c>
      <c r="AT39" s="480">
        <f t="shared" si="109"/>
        <v>0</v>
      </c>
      <c r="AU39" s="481">
        <f t="shared" si="110"/>
        <v>0</v>
      </c>
      <c r="AV39" s="508">
        <f t="shared" si="116"/>
        <v>1.4251051376011414</v>
      </c>
      <c r="AW39" s="488">
        <f t="shared" si="117"/>
        <v>1.3959221811314819</v>
      </c>
      <c r="AX39" s="487">
        <f t="shared" si="118"/>
        <v>0</v>
      </c>
      <c r="AY39" s="508">
        <f t="shared" si="119"/>
        <v>10.003141831238782</v>
      </c>
      <c r="AZ39" s="488">
        <f t="shared" si="120"/>
        <v>9.7982999252498253</v>
      </c>
      <c r="BA39" s="487">
        <f t="shared" si="121"/>
        <v>0</v>
      </c>
      <c r="BB39" s="561">
        <f t="shared" si="40"/>
        <v>8420.4313656460636</v>
      </c>
      <c r="BC39" s="482">
        <f t="shared" si="48"/>
        <v>8998.3558908173727</v>
      </c>
      <c r="BD39" s="482">
        <f t="shared" si="49"/>
        <v>8228.9433992220365</v>
      </c>
      <c r="BE39" s="483" t="s">
        <v>56</v>
      </c>
      <c r="BF39" s="483" t="s">
        <v>56</v>
      </c>
      <c r="BG39" s="483" t="s">
        <v>56</v>
      </c>
      <c r="BH39" s="555" t="s">
        <v>56</v>
      </c>
      <c r="BI39" s="489">
        <f t="shared" si="41"/>
        <v>1199.6230986673843</v>
      </c>
      <c r="BJ39" s="490">
        <f t="shared" si="42"/>
        <v>1281.9575515685026</v>
      </c>
      <c r="BK39" s="490">
        <f t="shared" si="43"/>
        <v>1172.3426212590298</v>
      </c>
      <c r="BL39" s="483" t="s">
        <v>56</v>
      </c>
      <c r="BM39" s="483" t="s">
        <v>56</v>
      </c>
      <c r="BN39" s="483" t="s">
        <v>56</v>
      </c>
      <c r="BO39" s="555" t="s">
        <v>56</v>
      </c>
    </row>
    <row r="40" spans="1:67">
      <c r="A40" s="803" t="s">
        <v>3137</v>
      </c>
      <c r="B40" s="400" t="s">
        <v>2741</v>
      </c>
      <c r="C40" s="803" t="str">
        <f>A40</f>
        <v>Crafting Resin (Liquid)</v>
      </c>
      <c r="D40" s="462">
        <v>1</v>
      </c>
      <c r="E40" s="583">
        <v>1</v>
      </c>
      <c r="F40" s="583">
        <v>1</v>
      </c>
      <c r="G40" s="502">
        <v>20</v>
      </c>
      <c r="H40" s="14">
        <f>'Compiled Products'!$G$5</f>
        <v>52</v>
      </c>
      <c r="I40" s="14">
        <f>'Compiled Products'!G6</f>
        <v>1</v>
      </c>
      <c r="J40" s="512">
        <f t="shared" si="81"/>
        <v>3.2300000000000002E-2</v>
      </c>
      <c r="K40" s="507">
        <f t="shared" si="111"/>
        <v>1.0766666666666667E-2</v>
      </c>
      <c r="L40" s="497" t="s">
        <v>3132</v>
      </c>
      <c r="M40" s="473">
        <f>(INDEX('Dermal Calcs'!$B$64:$H$70, MATCH($L40,'Dermal Calcs'!$A$64:$A$70, 0), MATCH(M$3, 'Dermal Calcs'!$B$63:$H$63, 0)))*$K40*$D40</f>
        <v>1.3337522441651711E-2</v>
      </c>
      <c r="N40" s="474">
        <f>(INDEX('Dermal Calcs'!$B$64:$H$70, MATCH($L40,'Dermal Calcs'!$A$64:$A$70, 0), MATCH(N$3, 'Dermal Calcs'!$B$63:$H$63, 0)))*$K40*$E40</f>
        <v>1.2480912476722537E-2</v>
      </c>
      <c r="O40" s="474">
        <f>(INDEX('Dermal Calcs'!$B$64:$H$70, MATCH($L40,'Dermal Calcs'!$A$64:$A$70, 0), MATCH(O$3, 'Dermal Calcs'!$B$63:$H$63, 0)))*$K40*$E40</f>
        <v>1.3647887323943664E-2</v>
      </c>
      <c r="P40" s="476">
        <f>(INDEX('Dermal Calcs'!$B$64:$H$70, MATCH($L40,'Dermal Calcs'!$A$64:$A$70, 0), MATCH(P$3, 'Dermal Calcs'!$B$63:$H$63, 0)))*$K40*$F40</f>
        <v>1.7267295597484276E-2</v>
      </c>
      <c r="Q40" s="476">
        <f>(INDEX('Dermal Calcs'!$B$64:$H$70, MATCH($L40,'Dermal Calcs'!$A$64:$A$70, 0), MATCH(Q$3, 'Dermal Calcs'!$B$63:$H$63, 0)))*$K40*$F40</f>
        <v>2.1417562724014339E-2</v>
      </c>
      <c r="R40" s="476">
        <v>0</v>
      </c>
      <c r="S40" s="477">
        <v>0</v>
      </c>
      <c r="T40" s="479">
        <f t="shared" si="112"/>
        <v>0.69355116696588892</v>
      </c>
      <c r="U40" s="480">
        <f t="shared" si="84"/>
        <v>0.64900744878957195</v>
      </c>
      <c r="V40" s="480">
        <f t="shared" si="85"/>
        <v>0.70969014084507054</v>
      </c>
      <c r="W40" s="487">
        <f t="shared" si="86"/>
        <v>0.89789937106918238</v>
      </c>
      <c r="X40" s="487">
        <f t="shared" si="87"/>
        <v>1.1137132616487457</v>
      </c>
      <c r="Y40" s="487">
        <f t="shared" si="88"/>
        <v>0</v>
      </c>
      <c r="Z40" s="487">
        <f t="shared" si="89"/>
        <v>0</v>
      </c>
      <c r="AA40" s="508">
        <f t="shared" si="113"/>
        <v>1.3337522441651711E-2</v>
      </c>
      <c r="AB40" s="488">
        <f t="shared" si="91"/>
        <v>1.2480912476722537E-2</v>
      </c>
      <c r="AC40" s="488">
        <f t="shared" si="92"/>
        <v>1.3647887323943664E-2</v>
      </c>
      <c r="AD40" s="487">
        <f t="shared" si="93"/>
        <v>1.7267295597484276E-2</v>
      </c>
      <c r="AE40" s="487">
        <f t="shared" si="94"/>
        <v>2.1417562724014339E-2</v>
      </c>
      <c r="AF40" s="487">
        <f t="shared" si="95"/>
        <v>0</v>
      </c>
      <c r="AG40" s="487">
        <f t="shared" si="96"/>
        <v>0</v>
      </c>
      <c r="AH40" s="513">
        <f t="shared" si="114"/>
        <v>1.9001401834681888</v>
      </c>
      <c r="AI40" s="335">
        <f t="shared" si="98"/>
        <v>1.7781025994234849</v>
      </c>
      <c r="AJ40" s="335">
        <f t="shared" si="99"/>
        <v>1.9443565502604674</v>
      </c>
      <c r="AK40" s="335">
        <f t="shared" si="100"/>
        <v>2.4599982769018696</v>
      </c>
      <c r="AL40" s="335">
        <f t="shared" si="101"/>
        <v>3.0512692099965633</v>
      </c>
      <c r="AM40" s="480">
        <f t="shared" si="102"/>
        <v>0</v>
      </c>
      <c r="AN40" s="481">
        <f t="shared" si="103"/>
        <v>0</v>
      </c>
      <c r="AO40" s="335">
        <f t="shared" si="115"/>
        <v>13.337522441651711</v>
      </c>
      <c r="AP40" s="335">
        <f t="shared" si="105"/>
        <v>12.480912476722537</v>
      </c>
      <c r="AQ40" s="335">
        <f t="shared" si="106"/>
        <v>13.647887323943664</v>
      </c>
      <c r="AR40" s="335">
        <f t="shared" si="107"/>
        <v>17.267295597484274</v>
      </c>
      <c r="AS40" s="335">
        <f t="shared" si="108"/>
        <v>21.417562724014338</v>
      </c>
      <c r="AT40" s="480">
        <f t="shared" si="109"/>
        <v>0</v>
      </c>
      <c r="AU40" s="481">
        <f t="shared" si="110"/>
        <v>0</v>
      </c>
      <c r="AV40" s="508">
        <f t="shared" si="116"/>
        <v>1.9001401834681888</v>
      </c>
      <c r="AW40" s="488">
        <f t="shared" si="117"/>
        <v>1.861229574841976</v>
      </c>
      <c r="AX40" s="487">
        <f t="shared" si="118"/>
        <v>1.3778168717246082</v>
      </c>
      <c r="AY40" s="508">
        <f t="shared" si="119"/>
        <v>13.337522441651711</v>
      </c>
      <c r="AZ40" s="488">
        <f t="shared" si="120"/>
        <v>13.0643999003331</v>
      </c>
      <c r="BA40" s="487">
        <f t="shared" si="121"/>
        <v>9.6712145803746541</v>
      </c>
      <c r="BB40" s="561">
        <f t="shared" si="40"/>
        <v>6315.3235242345463</v>
      </c>
      <c r="BC40" s="482">
        <f t="shared" si="48"/>
        <v>6748.7669181130304</v>
      </c>
      <c r="BD40" s="482">
        <f t="shared" si="49"/>
        <v>6171.7075494165265</v>
      </c>
      <c r="BE40" s="482">
        <f t="shared" si="50"/>
        <v>4878.0521973018786</v>
      </c>
      <c r="BF40" s="482">
        <f t="shared" si="51"/>
        <v>3932.7896603438398</v>
      </c>
      <c r="BG40" s="483" t="s">
        <v>56</v>
      </c>
      <c r="BH40" s="555" t="s">
        <v>56</v>
      </c>
      <c r="BI40" s="489">
        <f t="shared" si="41"/>
        <v>899.71732400053804</v>
      </c>
      <c r="BJ40" s="490">
        <f t="shared" si="42"/>
        <v>961.468163676377</v>
      </c>
      <c r="BK40" s="490">
        <f t="shared" si="43"/>
        <v>879.25696594427234</v>
      </c>
      <c r="BL40" s="490">
        <f t="shared" si="44"/>
        <v>694.9553815334184</v>
      </c>
      <c r="BM40" s="490">
        <f t="shared" si="45"/>
        <v>560.28784202158806</v>
      </c>
      <c r="BN40" s="483" t="s">
        <v>56</v>
      </c>
      <c r="BO40" s="555" t="s">
        <v>56</v>
      </c>
    </row>
    <row r="41" spans="1:67">
      <c r="A41" s="804"/>
      <c r="B41" s="400" t="s">
        <v>2790</v>
      </c>
      <c r="C41" s="804"/>
      <c r="D41" s="462">
        <v>1</v>
      </c>
      <c r="E41" s="583">
        <v>1</v>
      </c>
      <c r="F41" s="583">
        <v>1</v>
      </c>
      <c r="G41" s="502">
        <v>15</v>
      </c>
      <c r="H41" s="573">
        <f>H40</f>
        <v>52</v>
      </c>
      <c r="I41" s="573">
        <f>I40</f>
        <v>1</v>
      </c>
      <c r="J41" s="512">
        <f t="shared" si="81"/>
        <v>3.2300000000000002E-2</v>
      </c>
      <c r="K41" s="507">
        <f t="shared" si="111"/>
        <v>8.0750000000000006E-3</v>
      </c>
      <c r="L41" s="497" t="s">
        <v>3132</v>
      </c>
      <c r="M41" s="473">
        <f>(INDEX('Dermal Calcs'!$B$64:$H$70, MATCH($L41,'Dermal Calcs'!$A$64:$A$70, 0), MATCH(M$3, 'Dermal Calcs'!$B$63:$H$63, 0)))*$K41*$D41</f>
        <v>1.0003141831238783E-2</v>
      </c>
      <c r="N41" s="474">
        <f>(INDEX('Dermal Calcs'!$B$64:$H$70, MATCH($L41,'Dermal Calcs'!$A$64:$A$70, 0), MATCH(N$3, 'Dermal Calcs'!$B$63:$H$63, 0)))*$K41*$E41</f>
        <v>9.3606843575419034E-3</v>
      </c>
      <c r="O41" s="474">
        <f>(INDEX('Dermal Calcs'!$B$64:$H$70, MATCH($L41,'Dermal Calcs'!$A$64:$A$70, 0), MATCH(O$3, 'Dermal Calcs'!$B$63:$H$63, 0)))*$K41*$E41</f>
        <v>1.0235915492957747E-2</v>
      </c>
      <c r="P41" s="476">
        <f>(INDEX('Dermal Calcs'!$B$64:$H$70, MATCH($L41,'Dermal Calcs'!$A$64:$A$70, 0), MATCH(P$3, 'Dermal Calcs'!$B$63:$H$63, 0)))*$K41*$F41</f>
        <v>1.2950471698113208E-2</v>
      </c>
      <c r="Q41" s="476">
        <f>(INDEX('Dermal Calcs'!$B$64:$H$70, MATCH($L41,'Dermal Calcs'!$A$64:$A$70, 0), MATCH(Q$3, 'Dermal Calcs'!$B$63:$H$63, 0)))*$K41*$F41</f>
        <v>1.6063172043010755E-2</v>
      </c>
      <c r="R41" s="476">
        <v>0</v>
      </c>
      <c r="S41" s="477">
        <v>0</v>
      </c>
      <c r="T41" s="479">
        <f t="shared" si="112"/>
        <v>0.52016337522441669</v>
      </c>
      <c r="U41" s="480">
        <f t="shared" si="84"/>
        <v>0.48675558659217899</v>
      </c>
      <c r="V41" s="480">
        <f t="shared" si="85"/>
        <v>0.53226760563380282</v>
      </c>
      <c r="W41" s="487">
        <f t="shared" si="86"/>
        <v>0.67342452830188682</v>
      </c>
      <c r="X41" s="487">
        <f t="shared" si="87"/>
        <v>0.83528494623655924</v>
      </c>
      <c r="Y41" s="487">
        <f t="shared" si="88"/>
        <v>0</v>
      </c>
      <c r="Z41" s="487">
        <f t="shared" si="89"/>
        <v>0</v>
      </c>
      <c r="AA41" s="508">
        <f t="shared" si="113"/>
        <v>1.0003141831238783E-2</v>
      </c>
      <c r="AB41" s="488">
        <f t="shared" si="91"/>
        <v>9.3606843575419034E-3</v>
      </c>
      <c r="AC41" s="488">
        <f t="shared" si="92"/>
        <v>1.0235915492957747E-2</v>
      </c>
      <c r="AD41" s="487">
        <f t="shared" si="93"/>
        <v>1.2950471698113208E-2</v>
      </c>
      <c r="AE41" s="487">
        <f t="shared" si="94"/>
        <v>1.6063172043010755E-2</v>
      </c>
      <c r="AF41" s="487">
        <f t="shared" si="95"/>
        <v>0</v>
      </c>
      <c r="AG41" s="487">
        <f t="shared" si="96"/>
        <v>0</v>
      </c>
      <c r="AH41" s="513">
        <f t="shared" si="114"/>
        <v>1.4251051376011414</v>
      </c>
      <c r="AI41" s="335">
        <f t="shared" si="98"/>
        <v>1.3335769495676137</v>
      </c>
      <c r="AJ41" s="335">
        <f t="shared" si="99"/>
        <v>1.4582674126953503</v>
      </c>
      <c r="AK41" s="335">
        <f t="shared" si="100"/>
        <v>1.8449987076764021</v>
      </c>
      <c r="AL41" s="335">
        <f t="shared" si="101"/>
        <v>2.2884519074974223</v>
      </c>
      <c r="AM41" s="480">
        <f t="shared" si="102"/>
        <v>0</v>
      </c>
      <c r="AN41" s="481">
        <f t="shared" si="103"/>
        <v>0</v>
      </c>
      <c r="AO41" s="335">
        <f t="shared" si="115"/>
        <v>10.003141831238782</v>
      </c>
      <c r="AP41" s="335">
        <f t="shared" si="105"/>
        <v>9.3606843575419028</v>
      </c>
      <c r="AQ41" s="335">
        <f t="shared" si="106"/>
        <v>10.235915492957748</v>
      </c>
      <c r="AR41" s="335">
        <f t="shared" si="107"/>
        <v>12.950471698113208</v>
      </c>
      <c r="AS41" s="335">
        <f t="shared" si="108"/>
        <v>16.063172043010756</v>
      </c>
      <c r="AT41" s="480">
        <f t="shared" si="109"/>
        <v>0</v>
      </c>
      <c r="AU41" s="481">
        <f t="shared" si="110"/>
        <v>0</v>
      </c>
      <c r="AV41" s="508">
        <f t="shared" si="116"/>
        <v>1.4251051376011414</v>
      </c>
      <c r="AW41" s="488">
        <f t="shared" si="117"/>
        <v>1.3959221811314819</v>
      </c>
      <c r="AX41" s="487">
        <f t="shared" si="118"/>
        <v>1.0333626537934562</v>
      </c>
      <c r="AY41" s="508">
        <f t="shared" si="119"/>
        <v>10.003141831238782</v>
      </c>
      <c r="AZ41" s="488">
        <f t="shared" si="120"/>
        <v>9.7982999252498253</v>
      </c>
      <c r="BA41" s="487">
        <f t="shared" si="121"/>
        <v>7.253410935280991</v>
      </c>
      <c r="BB41" s="561">
        <f t="shared" si="40"/>
        <v>8420.4313656460636</v>
      </c>
      <c r="BC41" s="482">
        <f t="shared" si="48"/>
        <v>8998.3558908173727</v>
      </c>
      <c r="BD41" s="482">
        <f t="shared" si="49"/>
        <v>8228.9433992220365</v>
      </c>
      <c r="BE41" s="482">
        <f t="shared" si="50"/>
        <v>6504.0695964025053</v>
      </c>
      <c r="BF41" s="482">
        <f t="shared" si="51"/>
        <v>5243.7195471251198</v>
      </c>
      <c r="BG41" s="483" t="s">
        <v>56</v>
      </c>
      <c r="BH41" s="555" t="s">
        <v>56</v>
      </c>
      <c r="BI41" s="489">
        <f t="shared" si="41"/>
        <v>1199.6230986673843</v>
      </c>
      <c r="BJ41" s="490">
        <f t="shared" si="42"/>
        <v>1281.9575515685026</v>
      </c>
      <c r="BK41" s="490">
        <f t="shared" si="43"/>
        <v>1172.3426212590298</v>
      </c>
      <c r="BL41" s="490">
        <f t="shared" si="44"/>
        <v>926.60717537789105</v>
      </c>
      <c r="BM41" s="490">
        <f t="shared" si="45"/>
        <v>747.05045602878408</v>
      </c>
      <c r="BN41" s="483" t="s">
        <v>56</v>
      </c>
      <c r="BO41" s="555" t="s">
        <v>56</v>
      </c>
    </row>
    <row r="42" spans="1:67">
      <c r="A42" s="805"/>
      <c r="B42" s="400" t="s">
        <v>2745</v>
      </c>
      <c r="C42" s="805"/>
      <c r="D42" s="465">
        <v>1</v>
      </c>
      <c r="E42" s="466">
        <v>1</v>
      </c>
      <c r="F42" s="466">
        <v>1</v>
      </c>
      <c r="G42" s="502">
        <v>10</v>
      </c>
      <c r="H42" s="573">
        <f>H40</f>
        <v>52</v>
      </c>
      <c r="I42" s="573">
        <f>I40</f>
        <v>1</v>
      </c>
      <c r="J42" s="512">
        <f t="shared" si="81"/>
        <v>3.2300000000000002E-2</v>
      </c>
      <c r="K42" s="507">
        <f t="shared" si="111"/>
        <v>5.3833333333333337E-3</v>
      </c>
      <c r="L42" s="509" t="s">
        <v>3132</v>
      </c>
      <c r="M42" s="474">
        <f>(INDEX('Dermal Calcs'!$B$64:$H$70, MATCH($L42,'Dermal Calcs'!$A$64:$A$70, 0), MATCH(M$3, 'Dermal Calcs'!$B$63:$H$63, 0)))*$K42*$D42</f>
        <v>6.6687612208258555E-3</v>
      </c>
      <c r="N42" s="474">
        <f>(INDEX('Dermal Calcs'!$B$64:$H$70, MATCH($L42,'Dermal Calcs'!$A$64:$A$70, 0), MATCH(N$3, 'Dermal Calcs'!$B$63:$H$63, 0)))*$K42*$E42</f>
        <v>6.2404562383612684E-3</v>
      </c>
      <c r="O42" s="474">
        <f>(INDEX('Dermal Calcs'!$B$64:$H$70, MATCH($L42,'Dermal Calcs'!$A$64:$A$70, 0), MATCH(O$3, 'Dermal Calcs'!$B$63:$H$63, 0)))*$K42*$E42</f>
        <v>6.8239436619718322E-3</v>
      </c>
      <c r="P42" s="476">
        <f>(INDEX('Dermal Calcs'!$B$64:$H$70, MATCH($L42,'Dermal Calcs'!$A$64:$A$70, 0), MATCH(P$3, 'Dermal Calcs'!$B$63:$H$63, 0)))*$K42*$F42</f>
        <v>8.6336477987421379E-3</v>
      </c>
      <c r="Q42" s="476">
        <f>(INDEX('Dermal Calcs'!$B$64:$H$70, MATCH($L42,'Dermal Calcs'!$A$64:$A$70, 0), MATCH(Q$3, 'Dermal Calcs'!$B$63:$H$63, 0)))*$K42*$F42</f>
        <v>1.070878136200717E-2</v>
      </c>
      <c r="R42" s="476">
        <v>0</v>
      </c>
      <c r="S42" s="477">
        <v>0</v>
      </c>
      <c r="T42" s="479">
        <f t="shared" si="112"/>
        <v>0.34677558348294446</v>
      </c>
      <c r="U42" s="480">
        <f t="shared" si="84"/>
        <v>0.32450372439478598</v>
      </c>
      <c r="V42" s="480">
        <f t="shared" si="85"/>
        <v>0.35484507042253527</v>
      </c>
      <c r="W42" s="487">
        <f t="shared" si="86"/>
        <v>0.44894968553459119</v>
      </c>
      <c r="X42" s="487">
        <f t="shared" si="87"/>
        <v>0.55685663082437287</v>
      </c>
      <c r="Y42" s="487">
        <f t="shared" si="88"/>
        <v>0</v>
      </c>
      <c r="Z42" s="487">
        <f t="shared" si="89"/>
        <v>0</v>
      </c>
      <c r="AA42" s="508">
        <f t="shared" si="113"/>
        <v>6.6687612208258555E-3</v>
      </c>
      <c r="AB42" s="488">
        <f t="shared" si="91"/>
        <v>6.2404562383612684E-3</v>
      </c>
      <c r="AC42" s="488">
        <f t="shared" si="92"/>
        <v>6.8239436619718322E-3</v>
      </c>
      <c r="AD42" s="487">
        <f t="shared" si="93"/>
        <v>8.6336477987421379E-3</v>
      </c>
      <c r="AE42" s="487">
        <f t="shared" si="94"/>
        <v>1.070878136200717E-2</v>
      </c>
      <c r="AF42" s="487">
        <f t="shared" si="95"/>
        <v>0</v>
      </c>
      <c r="AG42" s="487">
        <f t="shared" si="96"/>
        <v>0</v>
      </c>
      <c r="AH42" s="513">
        <f t="shared" si="114"/>
        <v>0.9500700917340944</v>
      </c>
      <c r="AI42" s="335">
        <f t="shared" si="98"/>
        <v>0.88905129971174246</v>
      </c>
      <c r="AJ42" s="335">
        <f t="shared" si="99"/>
        <v>0.97217827513023369</v>
      </c>
      <c r="AK42" s="335">
        <f t="shared" si="100"/>
        <v>1.2299991384509348</v>
      </c>
      <c r="AL42" s="335">
        <f t="shared" si="101"/>
        <v>1.5256346049982816</v>
      </c>
      <c r="AM42" s="480">
        <f t="shared" si="102"/>
        <v>0</v>
      </c>
      <c r="AN42" s="481">
        <f t="shared" si="103"/>
        <v>0</v>
      </c>
      <c r="AO42" s="335">
        <f t="shared" si="115"/>
        <v>6.6687612208258553</v>
      </c>
      <c r="AP42" s="335">
        <f t="shared" si="105"/>
        <v>6.2404562383612685</v>
      </c>
      <c r="AQ42" s="335">
        <f t="shared" si="106"/>
        <v>6.8239436619718319</v>
      </c>
      <c r="AR42" s="335">
        <f t="shared" si="107"/>
        <v>8.6336477987421372</v>
      </c>
      <c r="AS42" s="335">
        <f t="shared" si="108"/>
        <v>10.708781362007169</v>
      </c>
      <c r="AT42" s="480">
        <f t="shared" si="109"/>
        <v>0</v>
      </c>
      <c r="AU42" s="481">
        <f t="shared" si="110"/>
        <v>0</v>
      </c>
      <c r="AV42" s="508">
        <f t="shared" si="116"/>
        <v>0.9500700917340944</v>
      </c>
      <c r="AW42" s="488">
        <f t="shared" si="117"/>
        <v>0.93061478742098802</v>
      </c>
      <c r="AX42" s="487">
        <f t="shared" si="118"/>
        <v>0.6889084358623041</v>
      </c>
      <c r="AY42" s="508">
        <f t="shared" si="119"/>
        <v>6.6687612208258553</v>
      </c>
      <c r="AZ42" s="488">
        <f t="shared" si="120"/>
        <v>6.5321999501665502</v>
      </c>
      <c r="BA42" s="487">
        <f t="shared" si="121"/>
        <v>4.835607290187327</v>
      </c>
      <c r="BB42" s="561">
        <f t="shared" si="40"/>
        <v>12630.647048469093</v>
      </c>
      <c r="BC42" s="482">
        <f t="shared" si="48"/>
        <v>13497.533836226061</v>
      </c>
      <c r="BD42" s="482">
        <f t="shared" si="49"/>
        <v>12343.415098833053</v>
      </c>
      <c r="BE42" s="482">
        <f t="shared" si="50"/>
        <v>9756.1043946037571</v>
      </c>
      <c r="BF42" s="482">
        <f t="shared" si="51"/>
        <v>7865.5793206876797</v>
      </c>
      <c r="BG42" s="483" t="s">
        <v>56</v>
      </c>
      <c r="BH42" s="555" t="s">
        <v>56</v>
      </c>
      <c r="BI42" s="489">
        <f t="shared" si="41"/>
        <v>1799.4346480010761</v>
      </c>
      <c r="BJ42" s="490">
        <f t="shared" si="42"/>
        <v>1922.936327352754</v>
      </c>
      <c r="BK42" s="490">
        <f t="shared" si="43"/>
        <v>1758.5139318885447</v>
      </c>
      <c r="BL42" s="490">
        <f t="shared" si="44"/>
        <v>1389.9107630668368</v>
      </c>
      <c r="BM42" s="490">
        <f t="shared" si="45"/>
        <v>1120.5756840431761</v>
      </c>
      <c r="BN42" s="483" t="s">
        <v>56</v>
      </c>
      <c r="BO42" s="555" t="s">
        <v>56</v>
      </c>
    </row>
    <row r="43" spans="1:67">
      <c r="A43" s="803" t="str">
        <f>'Compiled Products'!H1</f>
        <v>Inks and Dyes</v>
      </c>
      <c r="B43" s="400" t="s">
        <v>2741</v>
      </c>
      <c r="C43" s="803" t="str">
        <f>A43</f>
        <v>Inks and Dyes</v>
      </c>
      <c r="D43" s="462">
        <v>1</v>
      </c>
      <c r="E43" s="583">
        <v>1</v>
      </c>
      <c r="F43" s="583">
        <v>0</v>
      </c>
      <c r="G43" s="502">
        <f>'Compiled Products'!H7</f>
        <v>15</v>
      </c>
      <c r="H43" s="14">
        <f>'Compiled Products'!$H$5</f>
        <v>52</v>
      </c>
      <c r="I43" s="14">
        <f>'Compiled Products'!H6</f>
        <v>1</v>
      </c>
      <c r="J43" s="512">
        <f t="shared" si="81"/>
        <v>3.2300000000000002E-2</v>
      </c>
      <c r="K43" s="507">
        <f t="shared" si="111"/>
        <v>8.0750000000000006E-3</v>
      </c>
      <c r="L43" s="497" t="s">
        <v>3131</v>
      </c>
      <c r="M43" s="473">
        <f>(INDEX('Dermal Calcs'!$B$64:$H$70, MATCH($L43,'Dermal Calcs'!$A$64:$A$70, 0), MATCH(M$3, 'Dermal Calcs'!$B$63:$H$63, 0)))*$K43*$D43</f>
        <v>5.0015709156193917E-2</v>
      </c>
      <c r="N43" s="474">
        <f>(INDEX('Dermal Calcs'!$B$64:$H$70, MATCH($L43,'Dermal Calcs'!$A$64:$A$70, 0), MATCH(N$3, 'Dermal Calcs'!$B$63:$H$63, 0)))*$K43*$E43</f>
        <v>4.6803421787709507E-2</v>
      </c>
      <c r="O43" s="474">
        <f>(INDEX('Dermal Calcs'!$B$64:$H$70, MATCH($L43,'Dermal Calcs'!$A$64:$A$70, 0), MATCH(O$3, 'Dermal Calcs'!$B$63:$H$63, 0)))*$K43*$E43</f>
        <v>5.1179577464788739E-2</v>
      </c>
      <c r="P43" s="476">
        <f>(INDEX('Dermal Calcs'!$B$64:$H$70, MATCH($L43,'Dermal Calcs'!$A$64:$A$70, 0), MATCH(P$3, 'Dermal Calcs'!$B$63:$H$63, 0)))*$K43*$F43</f>
        <v>0</v>
      </c>
      <c r="Q43" s="476">
        <f>(INDEX('Dermal Calcs'!$B$64:$H$70, MATCH($L43,'Dermal Calcs'!$A$64:$A$70, 0), MATCH(Q$3, 'Dermal Calcs'!$B$63:$H$63, 0)))*$K43*$F43</f>
        <v>0</v>
      </c>
      <c r="R43" s="476">
        <f>(INDEX('Dermal Calcs'!$B$64:$H$70, MATCH($L43,'Dermal Calcs'!$A$64:$A$70, 0), MATCH(R$3, 'Dermal Calcs'!$B$63:$H$63, 0)))*$K43*$F43</f>
        <v>0</v>
      </c>
      <c r="S43" s="477">
        <f>(INDEX('Dermal Calcs'!$B$64:$H$70, MATCH($L43,'Dermal Calcs'!$A$64:$A$70, 0), MATCH(S$3, 'Dermal Calcs'!$B$63:$H$63, 0)))*$K43*$F43</f>
        <v>0</v>
      </c>
      <c r="T43" s="479">
        <f t="shared" si="112"/>
        <v>2.6008168761220838</v>
      </c>
      <c r="U43" s="480">
        <f t="shared" si="84"/>
        <v>2.4337779329608944</v>
      </c>
      <c r="V43" s="480">
        <f t="shared" si="85"/>
        <v>2.6613380281690144</v>
      </c>
      <c r="W43" s="487">
        <f t="shared" si="86"/>
        <v>0</v>
      </c>
      <c r="X43" s="487">
        <f t="shared" si="87"/>
        <v>0</v>
      </c>
      <c r="Y43" s="487">
        <f t="shared" si="88"/>
        <v>0</v>
      </c>
      <c r="Z43" s="487">
        <f t="shared" si="89"/>
        <v>0</v>
      </c>
      <c r="AA43" s="508">
        <f t="shared" si="113"/>
        <v>5.0015709156193917E-2</v>
      </c>
      <c r="AB43" s="488">
        <f t="shared" si="91"/>
        <v>4.6803421787709507E-2</v>
      </c>
      <c r="AC43" s="488">
        <f t="shared" si="92"/>
        <v>5.1179577464788739E-2</v>
      </c>
      <c r="AD43" s="487">
        <f t="shared" si="93"/>
        <v>0</v>
      </c>
      <c r="AE43" s="487">
        <f t="shared" si="94"/>
        <v>0</v>
      </c>
      <c r="AF43" s="487">
        <f t="shared" si="95"/>
        <v>0</v>
      </c>
      <c r="AG43" s="487">
        <f t="shared" si="96"/>
        <v>0</v>
      </c>
      <c r="AH43" s="479">
        <f t="shared" si="114"/>
        <v>7.125525688005709</v>
      </c>
      <c r="AI43" s="480">
        <f t="shared" si="98"/>
        <v>6.667884747838067</v>
      </c>
      <c r="AJ43" s="480">
        <f t="shared" si="99"/>
        <v>7.2913370634767514</v>
      </c>
      <c r="AK43" s="480">
        <f t="shared" si="100"/>
        <v>0</v>
      </c>
      <c r="AL43" s="480">
        <f t="shared" si="101"/>
        <v>0</v>
      </c>
      <c r="AM43" s="480">
        <f t="shared" si="102"/>
        <v>0</v>
      </c>
      <c r="AN43" s="481">
        <f t="shared" si="103"/>
        <v>0</v>
      </c>
      <c r="AO43" s="480">
        <f t="shared" si="115"/>
        <v>50.015709156193914</v>
      </c>
      <c r="AP43" s="480">
        <f t="shared" si="105"/>
        <v>46.803421787709503</v>
      </c>
      <c r="AQ43" s="480">
        <f t="shared" si="106"/>
        <v>51.179577464788736</v>
      </c>
      <c r="AR43" s="480">
        <f t="shared" si="107"/>
        <v>0</v>
      </c>
      <c r="AS43" s="480">
        <f t="shared" si="108"/>
        <v>0</v>
      </c>
      <c r="AT43" s="480">
        <f t="shared" si="109"/>
        <v>0</v>
      </c>
      <c r="AU43" s="481">
        <f t="shared" si="110"/>
        <v>0</v>
      </c>
      <c r="AV43" s="508">
        <f t="shared" si="116"/>
        <v>7.125525688005709</v>
      </c>
      <c r="AW43" s="488">
        <f t="shared" si="117"/>
        <v>6.9796109056574096</v>
      </c>
      <c r="AX43" s="487">
        <f t="shared" si="118"/>
        <v>0</v>
      </c>
      <c r="AY43" s="508">
        <f t="shared" si="119"/>
        <v>50.015709156193914</v>
      </c>
      <c r="AZ43" s="488">
        <f t="shared" si="120"/>
        <v>48.991499626249123</v>
      </c>
      <c r="BA43" s="487">
        <f t="shared" si="121"/>
        <v>0</v>
      </c>
      <c r="BB43" s="561">
        <f t="shared" si="40"/>
        <v>1684.0862731292123</v>
      </c>
      <c r="BC43" s="482">
        <f t="shared" si="48"/>
        <v>1799.6711781634751</v>
      </c>
      <c r="BD43" s="482">
        <f t="shared" si="49"/>
        <v>1645.7886798444074</v>
      </c>
      <c r="BE43" s="483" t="s">
        <v>56</v>
      </c>
      <c r="BF43" s="483" t="s">
        <v>56</v>
      </c>
      <c r="BG43" s="483" t="s">
        <v>56</v>
      </c>
      <c r="BH43" s="555" t="s">
        <v>56</v>
      </c>
      <c r="BI43" s="489">
        <f t="shared" si="41"/>
        <v>239.92461973347682</v>
      </c>
      <c r="BJ43" s="490">
        <f t="shared" si="42"/>
        <v>256.39151031370056</v>
      </c>
      <c r="BK43" s="490">
        <f t="shared" si="43"/>
        <v>234.46852425180597</v>
      </c>
      <c r="BL43" s="483" t="s">
        <v>56</v>
      </c>
      <c r="BM43" s="483" t="s">
        <v>56</v>
      </c>
      <c r="BN43" s="483" t="s">
        <v>56</v>
      </c>
      <c r="BO43" s="555" t="s">
        <v>56</v>
      </c>
    </row>
    <row r="44" spans="1:67">
      <c r="A44" s="804"/>
      <c r="B44" s="400" t="s">
        <v>2790</v>
      </c>
      <c r="C44" s="804"/>
      <c r="D44" s="462">
        <v>1</v>
      </c>
      <c r="E44" s="583">
        <v>1</v>
      </c>
      <c r="F44" s="583">
        <v>0</v>
      </c>
      <c r="G44" s="502">
        <f>'Compiled Products'!H8</f>
        <v>10</v>
      </c>
      <c r="H44" s="573">
        <f>H43</f>
        <v>52</v>
      </c>
      <c r="I44" s="573">
        <f>I43</f>
        <v>1</v>
      </c>
      <c r="J44" s="512">
        <f t="shared" si="81"/>
        <v>3.2300000000000002E-2</v>
      </c>
      <c r="K44" s="507">
        <f t="shared" si="111"/>
        <v>5.3833333333333337E-3</v>
      </c>
      <c r="L44" s="497" t="s">
        <v>3136</v>
      </c>
      <c r="M44" s="473">
        <f>(INDEX('Dermal Calcs'!$B$64:$H$70, MATCH($L44,'Dermal Calcs'!$A$64:$A$70, 0), MATCH(M$3, 'Dermal Calcs'!$B$63:$H$63, 0)))*$K44*$D44</f>
        <v>1.6671903052064639E-2</v>
      </c>
      <c r="N44" s="474">
        <f>(INDEX('Dermal Calcs'!$B$64:$H$70, MATCH($L44,'Dermal Calcs'!$A$64:$A$70, 0), MATCH(N$3, 'Dermal Calcs'!$B$63:$H$63, 0)))*$K44*$E44</f>
        <v>1.560114059590317E-2</v>
      </c>
      <c r="O44" s="474">
        <f>(INDEX('Dermal Calcs'!$B$64:$H$70, MATCH($L44,'Dermal Calcs'!$A$64:$A$70, 0), MATCH(O$3, 'Dermal Calcs'!$B$63:$H$63, 0)))*$K44*$E44</f>
        <v>1.705985915492958E-2</v>
      </c>
      <c r="P44" s="476">
        <f>(INDEX('Dermal Calcs'!$B$64:$H$70, MATCH($L44,'Dermal Calcs'!$A$64:$A$70, 0), MATCH(P$3, 'Dermal Calcs'!$B$63:$H$63, 0)))*$K44*$F44</f>
        <v>0</v>
      </c>
      <c r="Q44" s="476">
        <f>(INDEX('Dermal Calcs'!$B$64:$H$70, MATCH($L44,'Dermal Calcs'!$A$64:$A$70, 0), MATCH(Q$3, 'Dermal Calcs'!$B$63:$H$63, 0)))*$K44*$F44</f>
        <v>0</v>
      </c>
      <c r="R44" s="476">
        <f>(INDEX('Dermal Calcs'!$B$64:$H$70, MATCH($L44,'Dermal Calcs'!$A$64:$A$70, 0), MATCH(R$3, 'Dermal Calcs'!$B$63:$H$63, 0)))*$K44*$F44</f>
        <v>0</v>
      </c>
      <c r="S44" s="477">
        <f>(INDEX('Dermal Calcs'!$B$64:$H$70, MATCH($L44,'Dermal Calcs'!$A$64:$A$70, 0), MATCH(S$3, 'Dermal Calcs'!$B$63:$H$63, 0)))*$K44*$F44</f>
        <v>0</v>
      </c>
      <c r="T44" s="479">
        <f t="shared" si="112"/>
        <v>0.86693895870736126</v>
      </c>
      <c r="U44" s="480">
        <f t="shared" si="84"/>
        <v>0.8112593109869648</v>
      </c>
      <c r="V44" s="480">
        <f t="shared" si="85"/>
        <v>0.88711267605633815</v>
      </c>
      <c r="W44" s="487">
        <f t="shared" si="86"/>
        <v>0</v>
      </c>
      <c r="X44" s="487">
        <f t="shared" si="87"/>
        <v>0</v>
      </c>
      <c r="Y44" s="487">
        <f t="shared" si="88"/>
        <v>0</v>
      </c>
      <c r="Z44" s="487">
        <f t="shared" si="89"/>
        <v>0</v>
      </c>
      <c r="AA44" s="508">
        <f t="shared" si="113"/>
        <v>1.6671903052064639E-2</v>
      </c>
      <c r="AB44" s="488">
        <f t="shared" si="91"/>
        <v>1.560114059590317E-2</v>
      </c>
      <c r="AC44" s="488">
        <f t="shared" si="92"/>
        <v>1.705985915492958E-2</v>
      </c>
      <c r="AD44" s="487">
        <f t="shared" si="93"/>
        <v>0</v>
      </c>
      <c r="AE44" s="487">
        <f t="shared" si="94"/>
        <v>0</v>
      </c>
      <c r="AF44" s="487">
        <f t="shared" si="95"/>
        <v>0</v>
      </c>
      <c r="AG44" s="487">
        <f t="shared" si="96"/>
        <v>0</v>
      </c>
      <c r="AH44" s="479">
        <f t="shared" si="114"/>
        <v>2.3751752293352362</v>
      </c>
      <c r="AI44" s="480">
        <f t="shared" si="98"/>
        <v>2.2226282492793557</v>
      </c>
      <c r="AJ44" s="480">
        <f t="shared" si="99"/>
        <v>2.4304456878255838</v>
      </c>
      <c r="AK44" s="480">
        <f t="shared" si="100"/>
        <v>0</v>
      </c>
      <c r="AL44" s="480">
        <f t="shared" si="101"/>
        <v>0</v>
      </c>
      <c r="AM44" s="480">
        <f t="shared" si="102"/>
        <v>0</v>
      </c>
      <c r="AN44" s="481">
        <f t="shared" si="103"/>
        <v>0</v>
      </c>
      <c r="AO44" s="480">
        <f t="shared" si="115"/>
        <v>16.671903052064639</v>
      </c>
      <c r="AP44" s="480">
        <f t="shared" si="105"/>
        <v>15.601140595903169</v>
      </c>
      <c r="AQ44" s="480">
        <f t="shared" si="106"/>
        <v>17.05985915492958</v>
      </c>
      <c r="AR44" s="480">
        <f t="shared" si="107"/>
        <v>0</v>
      </c>
      <c r="AS44" s="480">
        <f t="shared" si="108"/>
        <v>0</v>
      </c>
      <c r="AT44" s="480">
        <f t="shared" si="109"/>
        <v>0</v>
      </c>
      <c r="AU44" s="481">
        <f t="shared" si="110"/>
        <v>0</v>
      </c>
      <c r="AV44" s="508">
        <f t="shared" si="116"/>
        <v>2.3751752293352362</v>
      </c>
      <c r="AW44" s="488">
        <f t="shared" si="117"/>
        <v>2.3265369685524697</v>
      </c>
      <c r="AX44" s="487">
        <f t="shared" si="118"/>
        <v>0</v>
      </c>
      <c r="AY44" s="508">
        <f t="shared" si="119"/>
        <v>16.671903052064639</v>
      </c>
      <c r="AZ44" s="488">
        <f t="shared" si="120"/>
        <v>16.330499875416375</v>
      </c>
      <c r="BA44" s="487">
        <f t="shared" si="121"/>
        <v>0</v>
      </c>
      <c r="BB44" s="561">
        <f t="shared" si="40"/>
        <v>5052.2588193876372</v>
      </c>
      <c r="BC44" s="482">
        <f t="shared" si="48"/>
        <v>5399.0135344904256</v>
      </c>
      <c r="BD44" s="482">
        <f t="shared" si="49"/>
        <v>4937.3660395332217</v>
      </c>
      <c r="BE44" s="483" t="s">
        <v>56</v>
      </c>
      <c r="BF44" s="483" t="s">
        <v>56</v>
      </c>
      <c r="BG44" s="483" t="s">
        <v>56</v>
      </c>
      <c r="BH44" s="555" t="s">
        <v>56</v>
      </c>
      <c r="BI44" s="489">
        <f t="shared" si="41"/>
        <v>719.77385920043048</v>
      </c>
      <c r="BJ44" s="490">
        <f t="shared" si="42"/>
        <v>769.17453094110169</v>
      </c>
      <c r="BK44" s="490">
        <f t="shared" si="43"/>
        <v>703.40557275541789</v>
      </c>
      <c r="BL44" s="483" t="s">
        <v>56</v>
      </c>
      <c r="BM44" s="483" t="s">
        <v>56</v>
      </c>
      <c r="BN44" s="483" t="s">
        <v>56</v>
      </c>
      <c r="BO44" s="555" t="s">
        <v>56</v>
      </c>
    </row>
    <row r="45" spans="1:67">
      <c r="A45" s="805"/>
      <c r="B45" s="400" t="s">
        <v>2745</v>
      </c>
      <c r="C45" s="805"/>
      <c r="D45" s="465">
        <v>1</v>
      </c>
      <c r="E45" s="466">
        <v>1</v>
      </c>
      <c r="F45" s="466">
        <v>0</v>
      </c>
      <c r="G45" s="502">
        <f>'Compiled Products'!H9</f>
        <v>5</v>
      </c>
      <c r="H45" s="573">
        <f>H43</f>
        <v>52</v>
      </c>
      <c r="I45" s="573">
        <f>I43</f>
        <v>1</v>
      </c>
      <c r="J45" s="512">
        <f t="shared" si="81"/>
        <v>3.2300000000000002E-2</v>
      </c>
      <c r="K45" s="507">
        <f t="shared" si="111"/>
        <v>2.6916666666666669E-3</v>
      </c>
      <c r="L45" s="509" t="s">
        <v>3132</v>
      </c>
      <c r="M45" s="474">
        <f>(INDEX('Dermal Calcs'!$B$64:$H$70, MATCH($L45,'Dermal Calcs'!$A$64:$A$70, 0), MATCH(M$3, 'Dermal Calcs'!$B$63:$H$63, 0)))*$K45*$D45</f>
        <v>3.3343806104129277E-3</v>
      </c>
      <c r="N45" s="474">
        <f>(INDEX('Dermal Calcs'!$B$64:$H$70, MATCH($L45,'Dermal Calcs'!$A$64:$A$70, 0), MATCH(N$3, 'Dermal Calcs'!$B$63:$H$63, 0)))*$K45*$E45</f>
        <v>3.1202281191806342E-3</v>
      </c>
      <c r="O45" s="474">
        <f>(INDEX('Dermal Calcs'!$B$64:$H$70, MATCH($L45,'Dermal Calcs'!$A$64:$A$70, 0), MATCH(O$3, 'Dermal Calcs'!$B$63:$H$63, 0)))*$K45*$E45</f>
        <v>3.4119718309859161E-3</v>
      </c>
      <c r="P45" s="476">
        <f>(INDEX('Dermal Calcs'!$B$64:$H$70, MATCH($L45,'Dermal Calcs'!$A$64:$A$70, 0), MATCH(P$3, 'Dermal Calcs'!$B$63:$H$63, 0)))*$K45*$F45</f>
        <v>0</v>
      </c>
      <c r="Q45" s="476">
        <f>(INDEX('Dermal Calcs'!$B$64:$H$70, MATCH($L45,'Dermal Calcs'!$A$64:$A$70, 0), MATCH(Q$3, 'Dermal Calcs'!$B$63:$H$63, 0)))*$K45*$F45</f>
        <v>0</v>
      </c>
      <c r="R45" s="476">
        <f>(INDEX('Dermal Calcs'!$B$64:$H$70, MATCH($L45,'Dermal Calcs'!$A$64:$A$70, 0), MATCH(R$3, 'Dermal Calcs'!$B$63:$H$63, 0)))*$K45*$F45</f>
        <v>0</v>
      </c>
      <c r="S45" s="477">
        <f>(INDEX('Dermal Calcs'!$B$64:$H$70, MATCH($L45,'Dermal Calcs'!$A$64:$A$70, 0), MATCH(S$3, 'Dermal Calcs'!$B$63:$H$63, 0)))*$K45*$F45</f>
        <v>0</v>
      </c>
      <c r="T45" s="479">
        <f t="shared" si="112"/>
        <v>0.17338779174147223</v>
      </c>
      <c r="U45" s="480">
        <f t="shared" si="84"/>
        <v>0.16225186219739299</v>
      </c>
      <c r="V45" s="480">
        <f t="shared" si="85"/>
        <v>0.17742253521126763</v>
      </c>
      <c r="W45" s="487">
        <f t="shared" si="86"/>
        <v>0</v>
      </c>
      <c r="X45" s="487">
        <f t="shared" si="87"/>
        <v>0</v>
      </c>
      <c r="Y45" s="487">
        <f t="shared" si="88"/>
        <v>0</v>
      </c>
      <c r="Z45" s="487">
        <f t="shared" si="89"/>
        <v>0</v>
      </c>
      <c r="AA45" s="508">
        <f t="shared" si="113"/>
        <v>3.3343806104129277E-3</v>
      </c>
      <c r="AB45" s="488">
        <f t="shared" si="91"/>
        <v>3.1202281191806342E-3</v>
      </c>
      <c r="AC45" s="488">
        <f t="shared" si="92"/>
        <v>3.4119718309859161E-3</v>
      </c>
      <c r="AD45" s="487">
        <f t="shared" si="93"/>
        <v>0</v>
      </c>
      <c r="AE45" s="487">
        <f t="shared" si="94"/>
        <v>0</v>
      </c>
      <c r="AF45" s="487">
        <f t="shared" si="95"/>
        <v>0</v>
      </c>
      <c r="AG45" s="487">
        <f t="shared" si="96"/>
        <v>0</v>
      </c>
      <c r="AH45" s="479">
        <f t="shared" si="114"/>
        <v>0.4750350458670472</v>
      </c>
      <c r="AI45" s="480">
        <f t="shared" si="98"/>
        <v>0.44452564985587123</v>
      </c>
      <c r="AJ45" s="480">
        <f t="shared" si="99"/>
        <v>0.48608913756511685</v>
      </c>
      <c r="AK45" s="480">
        <f t="shared" si="100"/>
        <v>0</v>
      </c>
      <c r="AL45" s="480">
        <f t="shared" si="101"/>
        <v>0</v>
      </c>
      <c r="AM45" s="480">
        <f t="shared" si="102"/>
        <v>0</v>
      </c>
      <c r="AN45" s="481">
        <f t="shared" si="103"/>
        <v>0</v>
      </c>
      <c r="AO45" s="480">
        <f t="shared" si="115"/>
        <v>3.3343806104129277</v>
      </c>
      <c r="AP45" s="480">
        <f t="shared" si="105"/>
        <v>3.1202281191806343</v>
      </c>
      <c r="AQ45" s="480">
        <f t="shared" si="106"/>
        <v>3.4119718309859159</v>
      </c>
      <c r="AR45" s="480">
        <f t="shared" si="107"/>
        <v>0</v>
      </c>
      <c r="AS45" s="480">
        <f t="shared" si="108"/>
        <v>0</v>
      </c>
      <c r="AT45" s="480">
        <f t="shared" si="109"/>
        <v>0</v>
      </c>
      <c r="AU45" s="481">
        <f t="shared" si="110"/>
        <v>0</v>
      </c>
      <c r="AV45" s="508">
        <f t="shared" si="116"/>
        <v>0.4750350458670472</v>
      </c>
      <c r="AW45" s="488">
        <f t="shared" si="117"/>
        <v>0.46530739371049401</v>
      </c>
      <c r="AX45" s="487">
        <f t="shared" si="118"/>
        <v>0</v>
      </c>
      <c r="AY45" s="508">
        <f t="shared" si="119"/>
        <v>3.3343806104129277</v>
      </c>
      <c r="AZ45" s="488">
        <f t="shared" si="120"/>
        <v>3.2660999750832751</v>
      </c>
      <c r="BA45" s="487">
        <f t="shared" si="121"/>
        <v>0</v>
      </c>
      <c r="BB45" s="561">
        <f t="shared" si="40"/>
        <v>25261.294096938185</v>
      </c>
      <c r="BC45" s="482">
        <f t="shared" si="48"/>
        <v>26995.067672452122</v>
      </c>
      <c r="BD45" s="482">
        <f t="shared" si="49"/>
        <v>24686.830197666106</v>
      </c>
      <c r="BE45" s="483" t="s">
        <v>56</v>
      </c>
      <c r="BF45" s="483" t="s">
        <v>56</v>
      </c>
      <c r="BG45" s="483" t="s">
        <v>56</v>
      </c>
      <c r="BH45" s="555" t="s">
        <v>56</v>
      </c>
      <c r="BI45" s="489">
        <f t="shared" si="41"/>
        <v>3598.8692960021522</v>
      </c>
      <c r="BJ45" s="490">
        <f t="shared" si="42"/>
        <v>3845.872654705508</v>
      </c>
      <c r="BK45" s="490">
        <f t="shared" si="43"/>
        <v>3517.0278637770894</v>
      </c>
      <c r="BL45" s="483" t="s">
        <v>56</v>
      </c>
      <c r="BM45" s="483" t="s">
        <v>56</v>
      </c>
      <c r="BN45" s="483" t="s">
        <v>56</v>
      </c>
      <c r="BO45" s="555" t="s">
        <v>56</v>
      </c>
    </row>
    <row r="46" spans="1:67">
      <c r="A46" s="803" t="str">
        <f>'Compiled Products'!I1</f>
        <v>Interior car care</v>
      </c>
      <c r="B46" s="400" t="s">
        <v>2741</v>
      </c>
      <c r="C46" s="803" t="str">
        <f>A46</f>
        <v>Interior car care</v>
      </c>
      <c r="D46" s="462">
        <v>1</v>
      </c>
      <c r="E46" s="583">
        <v>1</v>
      </c>
      <c r="F46" s="583">
        <v>0</v>
      </c>
      <c r="G46" s="502">
        <f>'Compiled Products'!I7</f>
        <v>45</v>
      </c>
      <c r="H46" s="14">
        <f>'Compiled Products'!$I$5</f>
        <v>52</v>
      </c>
      <c r="I46" s="14">
        <f>'Compiled Products'!I6</f>
        <v>1</v>
      </c>
      <c r="J46" s="512">
        <f t="shared" si="81"/>
        <v>3.2300000000000002E-2</v>
      </c>
      <c r="K46" s="507">
        <f t="shared" si="111"/>
        <v>2.4225E-2</v>
      </c>
      <c r="L46" s="497" t="s">
        <v>3131</v>
      </c>
      <c r="M46" s="473">
        <f>(INDEX('Dermal Calcs'!$B$64:$H$70, MATCH($L46,'Dermal Calcs'!$A$64:$A$70, 0), MATCH(M$3, 'Dermal Calcs'!$B$63:$H$63, 0)))*$K46*$D46</f>
        <v>0.15004712746858173</v>
      </c>
      <c r="N46" s="474">
        <f>(INDEX('Dermal Calcs'!$B$64:$H$70, MATCH($L46,'Dermal Calcs'!$A$64:$A$70, 0), MATCH(N$3, 'Dermal Calcs'!$B$63:$H$63, 0)))*$K46*$E46</f>
        <v>0.14041026536312851</v>
      </c>
      <c r="O46" s="474">
        <v>0</v>
      </c>
      <c r="P46" s="476">
        <f>(INDEX('Dermal Calcs'!$B$64:$H$70, MATCH($L46,'Dermal Calcs'!$A$64:$A$70, 0), MATCH(P$3, 'Dermal Calcs'!$B$63:$H$63, 0)))*$K46*$F46</f>
        <v>0</v>
      </c>
      <c r="Q46" s="476">
        <f>(INDEX('Dermal Calcs'!$B$64:$H$70, MATCH($L46,'Dermal Calcs'!$A$64:$A$70, 0), MATCH(Q$3, 'Dermal Calcs'!$B$63:$H$63, 0)))*$K46*$F46</f>
        <v>0</v>
      </c>
      <c r="R46" s="476">
        <f>(INDEX('Dermal Calcs'!$B$64:$H$70, MATCH($L46,'Dermal Calcs'!$A$64:$A$70, 0), MATCH(R$3, 'Dermal Calcs'!$B$63:$H$63, 0)))*$K46*$F46</f>
        <v>0</v>
      </c>
      <c r="S46" s="477">
        <f>(INDEX('Dermal Calcs'!$B$64:$H$70, MATCH($L46,'Dermal Calcs'!$A$64:$A$70, 0), MATCH(S$3, 'Dermal Calcs'!$B$63:$H$63, 0)))*$K46*$F46</f>
        <v>0</v>
      </c>
      <c r="T46" s="479">
        <f t="shared" si="112"/>
        <v>7.80245062836625</v>
      </c>
      <c r="U46" s="480">
        <f t="shared" si="84"/>
        <v>7.3013337988826823</v>
      </c>
      <c r="V46" s="480">
        <f t="shared" si="85"/>
        <v>0</v>
      </c>
      <c r="W46" s="487">
        <f t="shared" si="86"/>
        <v>0</v>
      </c>
      <c r="X46" s="487">
        <f t="shared" si="87"/>
        <v>0</v>
      </c>
      <c r="Y46" s="487">
        <f t="shared" si="88"/>
        <v>0</v>
      </c>
      <c r="Z46" s="487">
        <f t="shared" si="89"/>
        <v>0</v>
      </c>
      <c r="AA46" s="508">
        <f t="shared" si="113"/>
        <v>0.15004712746858173</v>
      </c>
      <c r="AB46" s="488">
        <f t="shared" si="91"/>
        <v>0.14041026536312851</v>
      </c>
      <c r="AC46" s="488">
        <f t="shared" si="92"/>
        <v>0</v>
      </c>
      <c r="AD46" s="487">
        <f t="shared" si="93"/>
        <v>0</v>
      </c>
      <c r="AE46" s="487">
        <f t="shared" si="94"/>
        <v>0</v>
      </c>
      <c r="AF46" s="487">
        <f t="shared" si="95"/>
        <v>0</v>
      </c>
      <c r="AG46" s="487">
        <f t="shared" si="96"/>
        <v>0</v>
      </c>
      <c r="AH46" s="479">
        <f t="shared" si="114"/>
        <v>21.376577064017123</v>
      </c>
      <c r="AI46" s="480">
        <f t="shared" si="98"/>
        <v>20.003654243514198</v>
      </c>
      <c r="AJ46" s="480">
        <f t="shared" si="99"/>
        <v>0</v>
      </c>
      <c r="AK46" s="480">
        <f t="shared" si="100"/>
        <v>0</v>
      </c>
      <c r="AL46" s="480">
        <f t="shared" si="101"/>
        <v>0</v>
      </c>
      <c r="AM46" s="480">
        <f t="shared" si="102"/>
        <v>0</v>
      </c>
      <c r="AN46" s="481">
        <f t="shared" si="103"/>
        <v>0</v>
      </c>
      <c r="AO46" s="480">
        <f t="shared" si="115"/>
        <v>150.04712746858172</v>
      </c>
      <c r="AP46" s="480">
        <f t="shared" si="105"/>
        <v>140.4102653631285</v>
      </c>
      <c r="AQ46" s="480">
        <f t="shared" si="106"/>
        <v>0</v>
      </c>
      <c r="AR46" s="480">
        <f t="shared" si="107"/>
        <v>0</v>
      </c>
      <c r="AS46" s="480">
        <f t="shared" si="108"/>
        <v>0</v>
      </c>
      <c r="AT46" s="480">
        <f t="shared" si="109"/>
        <v>0</v>
      </c>
      <c r="AU46" s="481">
        <f t="shared" si="110"/>
        <v>0</v>
      </c>
      <c r="AV46" s="508">
        <f t="shared" si="116"/>
        <v>21.376577064017123</v>
      </c>
      <c r="AW46" s="488">
        <f t="shared" si="117"/>
        <v>10.001827121757099</v>
      </c>
      <c r="AX46" s="487">
        <f t="shared" si="118"/>
        <v>0</v>
      </c>
      <c r="AY46" s="508">
        <f t="shared" si="119"/>
        <v>150.04712746858172</v>
      </c>
      <c r="AZ46" s="488">
        <f t="shared" si="120"/>
        <v>70.205132681564251</v>
      </c>
      <c r="BA46" s="487">
        <f t="shared" si="121"/>
        <v>0</v>
      </c>
      <c r="BB46" s="561">
        <f t="shared" si="40"/>
        <v>561.36209104307079</v>
      </c>
      <c r="BC46" s="482">
        <f t="shared" si="48"/>
        <v>599.89039272115849</v>
      </c>
      <c r="BD46" s="483" t="s">
        <v>56</v>
      </c>
      <c r="BE46" s="483" t="s">
        <v>56</v>
      </c>
      <c r="BF46" s="483" t="s">
        <v>56</v>
      </c>
      <c r="BG46" s="483" t="s">
        <v>56</v>
      </c>
      <c r="BH46" s="555" t="s">
        <v>56</v>
      </c>
      <c r="BI46" s="489">
        <f t="shared" si="41"/>
        <v>79.974873244492287</v>
      </c>
      <c r="BJ46" s="490">
        <f t="shared" si="42"/>
        <v>85.463836771233531</v>
      </c>
      <c r="BK46" s="483" t="s">
        <v>56</v>
      </c>
      <c r="BL46" s="483" t="s">
        <v>56</v>
      </c>
      <c r="BM46" s="483" t="s">
        <v>56</v>
      </c>
      <c r="BN46" s="483" t="s">
        <v>56</v>
      </c>
      <c r="BO46" s="555" t="s">
        <v>56</v>
      </c>
    </row>
    <row r="47" spans="1:67">
      <c r="A47" s="804"/>
      <c r="B47" s="400" t="s">
        <v>2790</v>
      </c>
      <c r="C47" s="804"/>
      <c r="D47" s="462">
        <v>1</v>
      </c>
      <c r="E47" s="583">
        <v>1</v>
      </c>
      <c r="F47" s="583">
        <v>0</v>
      </c>
      <c r="G47" s="502">
        <f>'Compiled Products'!I8</f>
        <v>30</v>
      </c>
      <c r="H47" s="573">
        <f>H46</f>
        <v>52</v>
      </c>
      <c r="I47" s="573">
        <f>I46</f>
        <v>1</v>
      </c>
      <c r="J47" s="512">
        <f t="shared" si="81"/>
        <v>3.2300000000000002E-2</v>
      </c>
      <c r="K47" s="507">
        <f t="shared" si="111"/>
        <v>1.6150000000000001E-2</v>
      </c>
      <c r="L47" s="497" t="s">
        <v>3136</v>
      </c>
      <c r="M47" s="473">
        <f>(INDEX('Dermal Calcs'!$B$64:$H$70, MATCH($L47,'Dermal Calcs'!$A$64:$A$70, 0), MATCH(M$3, 'Dermal Calcs'!$B$63:$H$63, 0)))*$K47*$D47</f>
        <v>5.0015709156193917E-2</v>
      </c>
      <c r="N47" s="474">
        <f>(INDEX('Dermal Calcs'!$B$64:$H$70, MATCH($L47,'Dermal Calcs'!$A$64:$A$70, 0), MATCH(N$3, 'Dermal Calcs'!$B$63:$H$63, 0)))*$K47*$E47</f>
        <v>4.6803421787709507E-2</v>
      </c>
      <c r="O47" s="474">
        <v>0</v>
      </c>
      <c r="P47" s="476">
        <f>(INDEX('Dermal Calcs'!$B$64:$H$70, MATCH($L47,'Dermal Calcs'!$A$64:$A$70, 0), MATCH(P$3, 'Dermal Calcs'!$B$63:$H$63, 0)))*$K47*$F47</f>
        <v>0</v>
      </c>
      <c r="Q47" s="476">
        <f>(INDEX('Dermal Calcs'!$B$64:$H$70, MATCH($L47,'Dermal Calcs'!$A$64:$A$70, 0), MATCH(Q$3, 'Dermal Calcs'!$B$63:$H$63, 0)))*$K47*$F47</f>
        <v>0</v>
      </c>
      <c r="R47" s="476">
        <f>(INDEX('Dermal Calcs'!$B$64:$H$70, MATCH($L47,'Dermal Calcs'!$A$64:$A$70, 0), MATCH(R$3, 'Dermal Calcs'!$B$63:$H$63, 0)))*$K47*$F47</f>
        <v>0</v>
      </c>
      <c r="S47" s="477">
        <f>(INDEX('Dermal Calcs'!$B$64:$H$70, MATCH($L47,'Dermal Calcs'!$A$64:$A$70, 0), MATCH(S$3, 'Dermal Calcs'!$B$63:$H$63, 0)))*$K47*$F47</f>
        <v>0</v>
      </c>
      <c r="T47" s="479">
        <f t="shared" si="112"/>
        <v>2.6008168761220838</v>
      </c>
      <c r="U47" s="480">
        <f t="shared" si="84"/>
        <v>2.4337779329608944</v>
      </c>
      <c r="V47" s="480">
        <f t="shared" si="85"/>
        <v>0</v>
      </c>
      <c r="W47" s="487">
        <f t="shared" si="86"/>
        <v>0</v>
      </c>
      <c r="X47" s="487">
        <f t="shared" si="87"/>
        <v>0</v>
      </c>
      <c r="Y47" s="487">
        <f t="shared" si="88"/>
        <v>0</v>
      </c>
      <c r="Z47" s="487">
        <f t="shared" si="89"/>
        <v>0</v>
      </c>
      <c r="AA47" s="508">
        <f t="shared" si="113"/>
        <v>5.0015709156193917E-2</v>
      </c>
      <c r="AB47" s="488">
        <f t="shared" si="91"/>
        <v>4.6803421787709507E-2</v>
      </c>
      <c r="AC47" s="488">
        <f t="shared" si="92"/>
        <v>0</v>
      </c>
      <c r="AD47" s="487">
        <f t="shared" si="93"/>
        <v>0</v>
      </c>
      <c r="AE47" s="487">
        <f t="shared" si="94"/>
        <v>0</v>
      </c>
      <c r="AF47" s="487">
        <f t="shared" si="95"/>
        <v>0</v>
      </c>
      <c r="AG47" s="487">
        <f t="shared" si="96"/>
        <v>0</v>
      </c>
      <c r="AH47" s="479">
        <f t="shared" si="114"/>
        <v>7.125525688005709</v>
      </c>
      <c r="AI47" s="480">
        <f t="shared" si="98"/>
        <v>6.667884747838067</v>
      </c>
      <c r="AJ47" s="480">
        <f t="shared" si="99"/>
        <v>0</v>
      </c>
      <c r="AK47" s="480">
        <f t="shared" si="100"/>
        <v>0</v>
      </c>
      <c r="AL47" s="480">
        <f t="shared" si="101"/>
        <v>0</v>
      </c>
      <c r="AM47" s="480">
        <f t="shared" si="102"/>
        <v>0</v>
      </c>
      <c r="AN47" s="481">
        <f t="shared" si="103"/>
        <v>0</v>
      </c>
      <c r="AO47" s="480">
        <f t="shared" si="115"/>
        <v>50.015709156193914</v>
      </c>
      <c r="AP47" s="480">
        <f t="shared" si="105"/>
        <v>46.803421787709503</v>
      </c>
      <c r="AQ47" s="480">
        <f t="shared" si="106"/>
        <v>0</v>
      </c>
      <c r="AR47" s="480">
        <f t="shared" si="107"/>
        <v>0</v>
      </c>
      <c r="AS47" s="480">
        <f t="shared" si="108"/>
        <v>0</v>
      </c>
      <c r="AT47" s="480">
        <f t="shared" si="109"/>
        <v>0</v>
      </c>
      <c r="AU47" s="481">
        <f t="shared" si="110"/>
        <v>0</v>
      </c>
      <c r="AV47" s="508">
        <f t="shared" si="116"/>
        <v>7.125525688005709</v>
      </c>
      <c r="AW47" s="488">
        <f t="shared" si="117"/>
        <v>3.3339423739190335</v>
      </c>
      <c r="AX47" s="487">
        <f t="shared" si="118"/>
        <v>0</v>
      </c>
      <c r="AY47" s="508">
        <f t="shared" si="119"/>
        <v>50.015709156193914</v>
      </c>
      <c r="AZ47" s="488">
        <f t="shared" si="120"/>
        <v>23.401710893854752</v>
      </c>
      <c r="BA47" s="487">
        <f t="shared" si="121"/>
        <v>0</v>
      </c>
      <c r="BB47" s="561">
        <f t="shared" si="40"/>
        <v>1684.0862731292123</v>
      </c>
      <c r="BC47" s="482">
        <f t="shared" si="48"/>
        <v>1799.6711781634751</v>
      </c>
      <c r="BD47" s="483" t="s">
        <v>56</v>
      </c>
      <c r="BE47" s="483" t="s">
        <v>56</v>
      </c>
      <c r="BF47" s="483" t="s">
        <v>56</v>
      </c>
      <c r="BG47" s="483" t="s">
        <v>56</v>
      </c>
      <c r="BH47" s="555" t="s">
        <v>56</v>
      </c>
      <c r="BI47" s="489">
        <f t="shared" si="41"/>
        <v>239.92461973347682</v>
      </c>
      <c r="BJ47" s="490">
        <f t="shared" si="42"/>
        <v>256.39151031370056</v>
      </c>
      <c r="BK47" s="483" t="s">
        <v>56</v>
      </c>
      <c r="BL47" s="483" t="s">
        <v>56</v>
      </c>
      <c r="BM47" s="483" t="s">
        <v>56</v>
      </c>
      <c r="BN47" s="483" t="s">
        <v>56</v>
      </c>
      <c r="BO47" s="555" t="s">
        <v>56</v>
      </c>
    </row>
    <row r="48" spans="1:67">
      <c r="A48" s="805"/>
      <c r="B48" s="400" t="s">
        <v>2745</v>
      </c>
      <c r="C48" s="805"/>
      <c r="D48" s="465">
        <v>1</v>
      </c>
      <c r="E48" s="466">
        <v>1</v>
      </c>
      <c r="F48" s="466">
        <v>0</v>
      </c>
      <c r="G48" s="502">
        <f>'Compiled Products'!I9</f>
        <v>15</v>
      </c>
      <c r="H48" s="573">
        <f>H46</f>
        <v>52</v>
      </c>
      <c r="I48" s="573">
        <f>I46</f>
        <v>1</v>
      </c>
      <c r="J48" s="512">
        <f t="shared" si="81"/>
        <v>3.2300000000000002E-2</v>
      </c>
      <c r="K48" s="507">
        <f t="shared" si="111"/>
        <v>8.0750000000000006E-3</v>
      </c>
      <c r="L48" s="509" t="s">
        <v>3132</v>
      </c>
      <c r="M48" s="474">
        <f>(INDEX('Dermal Calcs'!$B$64:$H$70, MATCH($L48,'Dermal Calcs'!$A$64:$A$70, 0), MATCH(M$3, 'Dermal Calcs'!$B$63:$H$63, 0)))*$K48*$D48</f>
        <v>1.0003141831238783E-2</v>
      </c>
      <c r="N48" s="474">
        <f>(INDEX('Dermal Calcs'!$B$64:$H$70, MATCH($L48,'Dermal Calcs'!$A$64:$A$70, 0), MATCH(N$3, 'Dermal Calcs'!$B$63:$H$63, 0)))*$K48*$E48</f>
        <v>9.3606843575419034E-3</v>
      </c>
      <c r="O48" s="474">
        <v>0</v>
      </c>
      <c r="P48" s="476">
        <f>(INDEX('Dermal Calcs'!$B$64:$H$70, MATCH($L48,'Dermal Calcs'!$A$64:$A$70, 0), MATCH(P$3, 'Dermal Calcs'!$B$63:$H$63, 0)))*$K48*$F48</f>
        <v>0</v>
      </c>
      <c r="Q48" s="476">
        <f>(INDEX('Dermal Calcs'!$B$64:$H$70, MATCH($L48,'Dermal Calcs'!$A$64:$A$70, 0), MATCH(Q$3, 'Dermal Calcs'!$B$63:$H$63, 0)))*$K48*$F48</f>
        <v>0</v>
      </c>
      <c r="R48" s="476">
        <f>(INDEX('Dermal Calcs'!$B$64:$H$70, MATCH($L48,'Dermal Calcs'!$A$64:$A$70, 0), MATCH(R$3, 'Dermal Calcs'!$B$63:$H$63, 0)))*$K48*$F48</f>
        <v>0</v>
      </c>
      <c r="S48" s="477">
        <f>(INDEX('Dermal Calcs'!$B$64:$H$70, MATCH($L48,'Dermal Calcs'!$A$64:$A$70, 0), MATCH(S$3, 'Dermal Calcs'!$B$63:$H$63, 0)))*$K48*$F48</f>
        <v>0</v>
      </c>
      <c r="T48" s="479">
        <f t="shared" si="112"/>
        <v>0.52016337522441669</v>
      </c>
      <c r="U48" s="480">
        <f t="shared" si="84"/>
        <v>0.48675558659217899</v>
      </c>
      <c r="V48" s="480">
        <f t="shared" si="85"/>
        <v>0</v>
      </c>
      <c r="W48" s="487">
        <f t="shared" si="86"/>
        <v>0</v>
      </c>
      <c r="X48" s="487">
        <f t="shared" si="87"/>
        <v>0</v>
      </c>
      <c r="Y48" s="487">
        <f t="shared" si="88"/>
        <v>0</v>
      </c>
      <c r="Z48" s="487">
        <f t="shared" si="89"/>
        <v>0</v>
      </c>
      <c r="AA48" s="508">
        <f t="shared" si="113"/>
        <v>1.0003141831238783E-2</v>
      </c>
      <c r="AB48" s="488">
        <f t="shared" si="91"/>
        <v>9.3606843575419034E-3</v>
      </c>
      <c r="AC48" s="488">
        <f t="shared" si="92"/>
        <v>0</v>
      </c>
      <c r="AD48" s="487">
        <f t="shared" si="93"/>
        <v>0</v>
      </c>
      <c r="AE48" s="487">
        <f t="shared" si="94"/>
        <v>0</v>
      </c>
      <c r="AF48" s="487">
        <f t="shared" si="95"/>
        <v>0</v>
      </c>
      <c r="AG48" s="487">
        <f t="shared" si="96"/>
        <v>0</v>
      </c>
      <c r="AH48" s="479">
        <f t="shared" si="114"/>
        <v>1.4251051376011414</v>
      </c>
      <c r="AI48" s="480">
        <f t="shared" si="98"/>
        <v>1.3335769495676137</v>
      </c>
      <c r="AJ48" s="480">
        <f t="shared" si="99"/>
        <v>0</v>
      </c>
      <c r="AK48" s="480">
        <f t="shared" si="100"/>
        <v>0</v>
      </c>
      <c r="AL48" s="480">
        <f t="shared" si="101"/>
        <v>0</v>
      </c>
      <c r="AM48" s="480">
        <f t="shared" si="102"/>
        <v>0</v>
      </c>
      <c r="AN48" s="481">
        <f t="shared" si="103"/>
        <v>0</v>
      </c>
      <c r="AO48" s="480">
        <f t="shared" si="115"/>
        <v>10.003141831238782</v>
      </c>
      <c r="AP48" s="480">
        <f t="shared" si="105"/>
        <v>9.3606843575419028</v>
      </c>
      <c r="AQ48" s="480">
        <f t="shared" si="106"/>
        <v>0</v>
      </c>
      <c r="AR48" s="480">
        <f t="shared" si="107"/>
        <v>0</v>
      </c>
      <c r="AS48" s="480">
        <f t="shared" si="108"/>
        <v>0</v>
      </c>
      <c r="AT48" s="480">
        <f t="shared" si="109"/>
        <v>0</v>
      </c>
      <c r="AU48" s="481">
        <f t="shared" si="110"/>
        <v>0</v>
      </c>
      <c r="AV48" s="508">
        <f t="shared" si="116"/>
        <v>1.4251051376011414</v>
      </c>
      <c r="AW48" s="488">
        <f t="shared" si="117"/>
        <v>0.66678847478380687</v>
      </c>
      <c r="AX48" s="487">
        <f t="shared" si="118"/>
        <v>0</v>
      </c>
      <c r="AY48" s="508">
        <f t="shared" si="119"/>
        <v>10.003141831238782</v>
      </c>
      <c r="AZ48" s="488">
        <f t="shared" si="120"/>
        <v>4.6803421787709514</v>
      </c>
      <c r="BA48" s="487">
        <f t="shared" si="121"/>
        <v>0</v>
      </c>
      <c r="BB48" s="561">
        <f t="shared" si="40"/>
        <v>8420.4313656460636</v>
      </c>
      <c r="BC48" s="482">
        <f t="shared" si="48"/>
        <v>8998.3558908173727</v>
      </c>
      <c r="BD48" s="483" t="s">
        <v>56</v>
      </c>
      <c r="BE48" s="483" t="s">
        <v>56</v>
      </c>
      <c r="BF48" s="483" t="s">
        <v>56</v>
      </c>
      <c r="BG48" s="483" t="s">
        <v>56</v>
      </c>
      <c r="BH48" s="555" t="s">
        <v>56</v>
      </c>
      <c r="BI48" s="489">
        <f t="shared" si="41"/>
        <v>1199.6230986673843</v>
      </c>
      <c r="BJ48" s="490">
        <f t="shared" si="42"/>
        <v>1281.9575515685026</v>
      </c>
      <c r="BK48" s="483" t="s">
        <v>56</v>
      </c>
      <c r="BL48" s="483" t="s">
        <v>56</v>
      </c>
      <c r="BM48" s="483" t="s">
        <v>56</v>
      </c>
      <c r="BN48" s="483" t="s">
        <v>56</v>
      </c>
      <c r="BO48" s="555" t="s">
        <v>56</v>
      </c>
    </row>
    <row r="49" spans="1:67">
      <c r="A49" s="803" t="str">
        <f>'Compiled Products'!J1</f>
        <v>Patching and Repair Products for Exterior Surfaces</v>
      </c>
      <c r="B49" s="400" t="s">
        <v>2741</v>
      </c>
      <c r="C49" s="803" t="str">
        <f>A49</f>
        <v>Patching and Repair Products for Exterior Surfaces</v>
      </c>
      <c r="D49" s="462">
        <v>1</v>
      </c>
      <c r="E49" s="583">
        <v>1</v>
      </c>
      <c r="F49" s="583">
        <v>0</v>
      </c>
      <c r="G49" s="502">
        <f>'Compiled Products'!J7</f>
        <v>120</v>
      </c>
      <c r="H49" s="14">
        <f>'Compiled Products'!$J$5</f>
        <v>2</v>
      </c>
      <c r="I49" s="14">
        <f>'Compiled Products'!J6</f>
        <v>1</v>
      </c>
      <c r="J49" s="512">
        <f t="shared" si="81"/>
        <v>3.2300000000000002E-2</v>
      </c>
      <c r="K49" s="507">
        <f t="shared" si="111"/>
        <v>6.4600000000000005E-2</v>
      </c>
      <c r="L49" s="497" t="s">
        <v>3131</v>
      </c>
      <c r="M49" s="473">
        <f>(INDEX('Dermal Calcs'!$B$64:$H$70, MATCH($L49,'Dermal Calcs'!$A$64:$A$70, 0), MATCH(M$3, 'Dermal Calcs'!$B$63:$H$63, 0)))*$K49*$D49</f>
        <v>0.40012567324955134</v>
      </c>
      <c r="N49" s="474">
        <f>(INDEX('Dermal Calcs'!$B$64:$H$70, MATCH($L49,'Dermal Calcs'!$A$64:$A$70, 0), MATCH(N$3, 'Dermal Calcs'!$B$63:$H$63, 0)))*$K49*$E49</f>
        <v>0.37442737430167605</v>
      </c>
      <c r="O49" s="474">
        <v>0</v>
      </c>
      <c r="P49" s="476">
        <f>(INDEX('Dermal Calcs'!$B$64:$H$70, MATCH($L49,'Dermal Calcs'!$A$64:$A$70, 0), MATCH(P$3, 'Dermal Calcs'!$B$63:$H$63, 0)))*$K49*$F49</f>
        <v>0</v>
      </c>
      <c r="Q49" s="476">
        <f>(INDEX('Dermal Calcs'!$B$64:$H$70, MATCH($L49,'Dermal Calcs'!$A$64:$A$70, 0), MATCH(Q$3, 'Dermal Calcs'!$B$63:$H$63, 0)))*$K49*$F49</f>
        <v>0</v>
      </c>
      <c r="R49" s="476">
        <f>(INDEX('Dermal Calcs'!$B$64:$H$70, MATCH($L49,'Dermal Calcs'!$A$64:$A$70, 0), MATCH(R$3, 'Dermal Calcs'!$B$63:$H$63, 0)))*$K49*$F49</f>
        <v>0</v>
      </c>
      <c r="S49" s="477">
        <f>(INDEX('Dermal Calcs'!$B$64:$H$70, MATCH($L49,'Dermal Calcs'!$A$64:$A$70, 0), MATCH(S$3, 'Dermal Calcs'!$B$63:$H$63, 0)))*$K49*$F49</f>
        <v>0</v>
      </c>
      <c r="T49" s="479">
        <f t="shared" si="112"/>
        <v>0.80025134649910268</v>
      </c>
      <c r="U49" s="480">
        <f t="shared" si="84"/>
        <v>0.74885474860335211</v>
      </c>
      <c r="V49" s="480">
        <f t="shared" si="85"/>
        <v>0</v>
      </c>
      <c r="W49" s="487">
        <f t="shared" si="86"/>
        <v>0</v>
      </c>
      <c r="X49" s="487">
        <f t="shared" si="87"/>
        <v>0</v>
      </c>
      <c r="Y49" s="487">
        <f t="shared" si="88"/>
        <v>0</v>
      </c>
      <c r="Z49" s="487">
        <f t="shared" si="89"/>
        <v>0</v>
      </c>
      <c r="AA49" s="508">
        <f t="shared" si="113"/>
        <v>0.40012567324955134</v>
      </c>
      <c r="AB49" s="488">
        <f t="shared" si="91"/>
        <v>0.37442737430167605</v>
      </c>
      <c r="AC49" s="488">
        <f t="shared" si="92"/>
        <v>0</v>
      </c>
      <c r="AD49" s="487">
        <f t="shared" si="93"/>
        <v>0</v>
      </c>
      <c r="AE49" s="487">
        <f t="shared" si="94"/>
        <v>0</v>
      </c>
      <c r="AF49" s="487">
        <f t="shared" si="95"/>
        <v>0</v>
      </c>
      <c r="AG49" s="487">
        <f t="shared" si="96"/>
        <v>0</v>
      </c>
      <c r="AH49" s="479">
        <f t="shared" si="114"/>
        <v>2.1924694424632949</v>
      </c>
      <c r="AI49" s="480">
        <f t="shared" si="98"/>
        <v>2.0516568454886359</v>
      </c>
      <c r="AJ49" s="480">
        <f t="shared" si="99"/>
        <v>0</v>
      </c>
      <c r="AK49" s="480">
        <f t="shared" si="100"/>
        <v>0</v>
      </c>
      <c r="AL49" s="480">
        <f t="shared" si="101"/>
        <v>0</v>
      </c>
      <c r="AM49" s="480">
        <f t="shared" si="102"/>
        <v>0</v>
      </c>
      <c r="AN49" s="481">
        <f t="shared" si="103"/>
        <v>0</v>
      </c>
      <c r="AO49" s="480">
        <f t="shared" si="115"/>
        <v>400.12567324955131</v>
      </c>
      <c r="AP49" s="480">
        <f t="shared" si="105"/>
        <v>374.42737430167602</v>
      </c>
      <c r="AQ49" s="480">
        <f t="shared" si="106"/>
        <v>0</v>
      </c>
      <c r="AR49" s="480">
        <f t="shared" si="107"/>
        <v>0</v>
      </c>
      <c r="AS49" s="480">
        <f t="shared" si="108"/>
        <v>0</v>
      </c>
      <c r="AT49" s="480">
        <f t="shared" si="109"/>
        <v>0</v>
      </c>
      <c r="AU49" s="481">
        <f t="shared" si="110"/>
        <v>0</v>
      </c>
      <c r="AV49" s="508">
        <f t="shared" si="116"/>
        <v>2.1924694424632949</v>
      </c>
      <c r="AW49" s="488">
        <f t="shared" si="117"/>
        <v>1.025828422744318</v>
      </c>
      <c r="AX49" s="487">
        <f t="shared" si="118"/>
        <v>0</v>
      </c>
      <c r="AY49" s="508">
        <f t="shared" si="119"/>
        <v>400.12567324955131</v>
      </c>
      <c r="AZ49" s="488">
        <f t="shared" si="120"/>
        <v>187.21368715083801</v>
      </c>
      <c r="BA49" s="487">
        <f t="shared" si="121"/>
        <v>0</v>
      </c>
      <c r="BB49" s="561">
        <f t="shared" si="40"/>
        <v>5473.28038766994</v>
      </c>
      <c r="BC49" s="482">
        <f t="shared" si="48"/>
        <v>5848.9313290312939</v>
      </c>
      <c r="BD49" s="483" t="s">
        <v>56</v>
      </c>
      <c r="BE49" s="483" t="s">
        <v>56</v>
      </c>
      <c r="BF49" s="483" t="s">
        <v>56</v>
      </c>
      <c r="BG49" s="483" t="s">
        <v>56</v>
      </c>
      <c r="BH49" s="555" t="s">
        <v>56</v>
      </c>
      <c r="BI49" s="489">
        <f t="shared" si="41"/>
        <v>29.990577466684602</v>
      </c>
      <c r="BJ49" s="490">
        <f t="shared" si="42"/>
        <v>32.048938789212571</v>
      </c>
      <c r="BK49" s="483" t="s">
        <v>56</v>
      </c>
      <c r="BL49" s="483" t="s">
        <v>56</v>
      </c>
      <c r="BM49" s="483" t="s">
        <v>56</v>
      </c>
      <c r="BN49" s="483" t="s">
        <v>56</v>
      </c>
      <c r="BO49" s="555" t="s">
        <v>56</v>
      </c>
    </row>
    <row r="50" spans="1:67">
      <c r="A50" s="804"/>
      <c r="B50" s="400" t="s">
        <v>2790</v>
      </c>
      <c r="C50" s="804"/>
      <c r="D50" s="462">
        <v>1</v>
      </c>
      <c r="E50" s="583">
        <v>1</v>
      </c>
      <c r="F50" s="583">
        <v>0</v>
      </c>
      <c r="G50" s="502">
        <f>'Compiled Products'!J8</f>
        <v>60</v>
      </c>
      <c r="H50" s="573">
        <f>H49</f>
        <v>2</v>
      </c>
      <c r="I50" s="573">
        <f>I49</f>
        <v>1</v>
      </c>
      <c r="J50" s="512">
        <f t="shared" si="81"/>
        <v>3.2300000000000002E-2</v>
      </c>
      <c r="K50" s="507">
        <f t="shared" si="111"/>
        <v>3.2300000000000002E-2</v>
      </c>
      <c r="L50" s="497" t="s">
        <v>3136</v>
      </c>
      <c r="M50" s="473">
        <f>(INDEX('Dermal Calcs'!$B$64:$H$70, MATCH($L50,'Dermal Calcs'!$A$64:$A$70, 0), MATCH(M$3, 'Dermal Calcs'!$B$63:$H$63, 0)))*$K50*$D50</f>
        <v>0.10003141831238783</v>
      </c>
      <c r="N50" s="474">
        <f>(INDEX('Dermal Calcs'!$B$64:$H$70, MATCH($L50,'Dermal Calcs'!$A$64:$A$70, 0), MATCH(N$3, 'Dermal Calcs'!$B$63:$H$63, 0)))*$K50*$E50</f>
        <v>9.3606843575419013E-2</v>
      </c>
      <c r="O50" s="474">
        <v>0</v>
      </c>
      <c r="P50" s="476">
        <f>(INDEX('Dermal Calcs'!$B$64:$H$70, MATCH($L50,'Dermal Calcs'!$A$64:$A$70, 0), MATCH(P$3, 'Dermal Calcs'!$B$63:$H$63, 0)))*$K50*$F50</f>
        <v>0</v>
      </c>
      <c r="Q50" s="476">
        <f>(INDEX('Dermal Calcs'!$B$64:$H$70, MATCH($L50,'Dermal Calcs'!$A$64:$A$70, 0), MATCH(Q$3, 'Dermal Calcs'!$B$63:$H$63, 0)))*$K50*$F50</f>
        <v>0</v>
      </c>
      <c r="R50" s="476">
        <f>(INDEX('Dermal Calcs'!$B$64:$H$70, MATCH($L50,'Dermal Calcs'!$A$64:$A$70, 0), MATCH(R$3, 'Dermal Calcs'!$B$63:$H$63, 0)))*$K50*$F50</f>
        <v>0</v>
      </c>
      <c r="S50" s="477">
        <f>(INDEX('Dermal Calcs'!$B$64:$H$70, MATCH($L50,'Dermal Calcs'!$A$64:$A$70, 0), MATCH(S$3, 'Dermal Calcs'!$B$63:$H$63, 0)))*$K50*$F50</f>
        <v>0</v>
      </c>
      <c r="T50" s="479">
        <f t="shared" si="112"/>
        <v>0.20006283662477567</v>
      </c>
      <c r="U50" s="480">
        <f t="shared" si="84"/>
        <v>0.18721368715083803</v>
      </c>
      <c r="V50" s="480">
        <f t="shared" si="85"/>
        <v>0</v>
      </c>
      <c r="W50" s="487">
        <f t="shared" si="86"/>
        <v>0</v>
      </c>
      <c r="X50" s="487">
        <f t="shared" si="87"/>
        <v>0</v>
      </c>
      <c r="Y50" s="487">
        <f t="shared" si="88"/>
        <v>0</v>
      </c>
      <c r="Z50" s="487">
        <f t="shared" si="89"/>
        <v>0</v>
      </c>
      <c r="AA50" s="508">
        <f t="shared" si="113"/>
        <v>0.10003141831238783</v>
      </c>
      <c r="AB50" s="488">
        <f t="shared" si="91"/>
        <v>9.3606843575419013E-2</v>
      </c>
      <c r="AC50" s="488">
        <f t="shared" si="92"/>
        <v>0</v>
      </c>
      <c r="AD50" s="487">
        <f t="shared" si="93"/>
        <v>0</v>
      </c>
      <c r="AE50" s="487">
        <f t="shared" si="94"/>
        <v>0</v>
      </c>
      <c r="AF50" s="487">
        <f t="shared" si="95"/>
        <v>0</v>
      </c>
      <c r="AG50" s="487">
        <f t="shared" si="96"/>
        <v>0</v>
      </c>
      <c r="AH50" s="479">
        <f t="shared" si="114"/>
        <v>0.54811736061582372</v>
      </c>
      <c r="AI50" s="480">
        <f t="shared" si="98"/>
        <v>0.51291421137215898</v>
      </c>
      <c r="AJ50" s="480">
        <f t="shared" si="99"/>
        <v>0</v>
      </c>
      <c r="AK50" s="480">
        <f t="shared" si="100"/>
        <v>0</v>
      </c>
      <c r="AL50" s="480">
        <f t="shared" si="101"/>
        <v>0</v>
      </c>
      <c r="AM50" s="480">
        <f t="shared" si="102"/>
        <v>0</v>
      </c>
      <c r="AN50" s="481">
        <f t="shared" si="103"/>
        <v>0</v>
      </c>
      <c r="AO50" s="480">
        <f t="shared" si="115"/>
        <v>100.03141831238783</v>
      </c>
      <c r="AP50" s="480">
        <f t="shared" si="105"/>
        <v>93.606843575419006</v>
      </c>
      <c r="AQ50" s="480">
        <f t="shared" si="106"/>
        <v>0</v>
      </c>
      <c r="AR50" s="480">
        <f t="shared" si="107"/>
        <v>0</v>
      </c>
      <c r="AS50" s="480">
        <f t="shared" si="108"/>
        <v>0</v>
      </c>
      <c r="AT50" s="480">
        <f t="shared" si="109"/>
        <v>0</v>
      </c>
      <c r="AU50" s="481">
        <f t="shared" si="110"/>
        <v>0</v>
      </c>
      <c r="AV50" s="508">
        <f t="shared" si="116"/>
        <v>0.54811736061582372</v>
      </c>
      <c r="AW50" s="488">
        <f t="shared" si="117"/>
        <v>0.25645710568607949</v>
      </c>
      <c r="AX50" s="487">
        <f t="shared" si="118"/>
        <v>0</v>
      </c>
      <c r="AY50" s="508">
        <f t="shared" si="119"/>
        <v>100.03141831238783</v>
      </c>
      <c r="AZ50" s="488">
        <f t="shared" si="120"/>
        <v>46.803421787709503</v>
      </c>
      <c r="BA50" s="487">
        <f t="shared" si="121"/>
        <v>0</v>
      </c>
      <c r="BB50" s="561">
        <f t="shared" si="40"/>
        <v>21893.12155067976</v>
      </c>
      <c r="BC50" s="482">
        <f t="shared" si="48"/>
        <v>23395.725316125176</v>
      </c>
      <c r="BD50" s="483" t="s">
        <v>56</v>
      </c>
      <c r="BE50" s="483" t="s">
        <v>56</v>
      </c>
      <c r="BF50" s="483" t="s">
        <v>56</v>
      </c>
      <c r="BG50" s="483" t="s">
        <v>56</v>
      </c>
      <c r="BH50" s="555" t="s">
        <v>56</v>
      </c>
      <c r="BI50" s="489">
        <f t="shared" si="41"/>
        <v>119.96230986673841</v>
      </c>
      <c r="BJ50" s="490">
        <f t="shared" si="42"/>
        <v>128.19575515685028</v>
      </c>
      <c r="BK50" s="483" t="s">
        <v>56</v>
      </c>
      <c r="BL50" s="483" t="s">
        <v>56</v>
      </c>
      <c r="BM50" s="483" t="s">
        <v>56</v>
      </c>
      <c r="BN50" s="483" t="s">
        <v>56</v>
      </c>
      <c r="BO50" s="555" t="s">
        <v>56</v>
      </c>
    </row>
    <row r="51" spans="1:67">
      <c r="A51" s="805"/>
      <c r="B51" s="400" t="s">
        <v>2745</v>
      </c>
      <c r="C51" s="805"/>
      <c r="D51" s="465">
        <v>1</v>
      </c>
      <c r="E51" s="466">
        <v>1</v>
      </c>
      <c r="F51" s="466">
        <v>0</v>
      </c>
      <c r="G51" s="502">
        <f>'Compiled Products'!J9</f>
        <v>30</v>
      </c>
      <c r="H51" s="573">
        <f>H49</f>
        <v>2</v>
      </c>
      <c r="I51" s="573">
        <f>I49</f>
        <v>1</v>
      </c>
      <c r="J51" s="512">
        <f t="shared" si="81"/>
        <v>3.2300000000000002E-2</v>
      </c>
      <c r="K51" s="507">
        <f t="shared" si="111"/>
        <v>1.6150000000000001E-2</v>
      </c>
      <c r="L51" s="509" t="s">
        <v>3132</v>
      </c>
      <c r="M51" s="474">
        <f>(INDEX('Dermal Calcs'!$B$64:$H$70, MATCH($L51,'Dermal Calcs'!$A$64:$A$70, 0), MATCH(M$3, 'Dermal Calcs'!$B$63:$H$63, 0)))*$K51*$D51</f>
        <v>2.0006283662477566E-2</v>
      </c>
      <c r="N51" s="474">
        <f>(INDEX('Dermal Calcs'!$B$64:$H$70, MATCH($L51,'Dermal Calcs'!$A$64:$A$70, 0), MATCH(N$3, 'Dermal Calcs'!$B$63:$H$63, 0)))*$K51*$E51</f>
        <v>1.8721368715083807E-2</v>
      </c>
      <c r="O51" s="474">
        <v>0</v>
      </c>
      <c r="P51" s="476">
        <f>(INDEX('Dermal Calcs'!$B$64:$H$70, MATCH($L51,'Dermal Calcs'!$A$64:$A$70, 0), MATCH(P$3, 'Dermal Calcs'!$B$63:$H$63, 0)))*$K51*$F51</f>
        <v>0</v>
      </c>
      <c r="Q51" s="476">
        <f>(INDEX('Dermal Calcs'!$B$64:$H$70, MATCH($L51,'Dermal Calcs'!$A$64:$A$70, 0), MATCH(Q$3, 'Dermal Calcs'!$B$63:$H$63, 0)))*$K51*$F51</f>
        <v>0</v>
      </c>
      <c r="R51" s="476">
        <f>(INDEX('Dermal Calcs'!$B$64:$H$70, MATCH($L51,'Dermal Calcs'!$A$64:$A$70, 0), MATCH(R$3, 'Dermal Calcs'!$B$63:$H$63, 0)))*$K51*$F51</f>
        <v>0</v>
      </c>
      <c r="S51" s="477">
        <f>(INDEX('Dermal Calcs'!$B$64:$H$70, MATCH($L51,'Dermal Calcs'!$A$64:$A$70, 0), MATCH(S$3, 'Dermal Calcs'!$B$63:$H$63, 0)))*$K51*$F51</f>
        <v>0</v>
      </c>
      <c r="T51" s="479">
        <f t="shared" si="112"/>
        <v>4.0012567324955131E-2</v>
      </c>
      <c r="U51" s="480">
        <f t="shared" si="84"/>
        <v>3.7442737430167614E-2</v>
      </c>
      <c r="V51" s="480">
        <f t="shared" si="85"/>
        <v>0</v>
      </c>
      <c r="W51" s="487">
        <f t="shared" si="86"/>
        <v>0</v>
      </c>
      <c r="X51" s="487">
        <f t="shared" si="87"/>
        <v>0</v>
      </c>
      <c r="Y51" s="487">
        <f t="shared" si="88"/>
        <v>0</v>
      </c>
      <c r="Z51" s="487">
        <f t="shared" si="89"/>
        <v>0</v>
      </c>
      <c r="AA51" s="508">
        <f t="shared" si="113"/>
        <v>2.0006283662477566E-2</v>
      </c>
      <c r="AB51" s="488">
        <f t="shared" si="91"/>
        <v>1.8721368715083807E-2</v>
      </c>
      <c r="AC51" s="488">
        <f t="shared" si="92"/>
        <v>0</v>
      </c>
      <c r="AD51" s="487">
        <f t="shared" si="93"/>
        <v>0</v>
      </c>
      <c r="AE51" s="487">
        <f t="shared" si="94"/>
        <v>0</v>
      </c>
      <c r="AF51" s="487">
        <f t="shared" si="95"/>
        <v>0</v>
      </c>
      <c r="AG51" s="487">
        <f t="shared" si="96"/>
        <v>0</v>
      </c>
      <c r="AH51" s="479">
        <f t="shared" si="114"/>
        <v>0.10962347212316474</v>
      </c>
      <c r="AI51" s="480">
        <f t="shared" si="98"/>
        <v>0.1025828422744318</v>
      </c>
      <c r="AJ51" s="480">
        <f t="shared" si="99"/>
        <v>0</v>
      </c>
      <c r="AK51" s="480">
        <f t="shared" si="100"/>
        <v>0</v>
      </c>
      <c r="AL51" s="480">
        <f t="shared" si="101"/>
        <v>0</v>
      </c>
      <c r="AM51" s="480">
        <f t="shared" si="102"/>
        <v>0</v>
      </c>
      <c r="AN51" s="481">
        <f t="shared" si="103"/>
        <v>0</v>
      </c>
      <c r="AO51" s="480">
        <f t="shared" si="115"/>
        <v>20.006283662477564</v>
      </c>
      <c r="AP51" s="480">
        <f t="shared" si="105"/>
        <v>18.721368715083806</v>
      </c>
      <c r="AQ51" s="480">
        <f t="shared" si="106"/>
        <v>0</v>
      </c>
      <c r="AR51" s="480">
        <f t="shared" si="107"/>
        <v>0</v>
      </c>
      <c r="AS51" s="480">
        <f t="shared" si="108"/>
        <v>0</v>
      </c>
      <c r="AT51" s="480">
        <f t="shared" si="109"/>
        <v>0</v>
      </c>
      <c r="AU51" s="481">
        <f t="shared" si="110"/>
        <v>0</v>
      </c>
      <c r="AV51" s="508">
        <f t="shared" si="116"/>
        <v>0.10962347212316474</v>
      </c>
      <c r="AW51" s="488">
        <f t="shared" si="117"/>
        <v>5.1291421137215902E-2</v>
      </c>
      <c r="AX51" s="487">
        <f t="shared" si="118"/>
        <v>0</v>
      </c>
      <c r="AY51" s="508">
        <f t="shared" si="119"/>
        <v>20.006283662477564</v>
      </c>
      <c r="AZ51" s="488">
        <f t="shared" si="120"/>
        <v>9.3606843575419028</v>
      </c>
      <c r="BA51" s="487">
        <f t="shared" si="121"/>
        <v>0</v>
      </c>
      <c r="BB51" s="561">
        <f t="shared" si="40"/>
        <v>109465.6077533988</v>
      </c>
      <c r="BC51" s="482">
        <f t="shared" si="48"/>
        <v>116978.62658062587</v>
      </c>
      <c r="BD51" s="483" t="s">
        <v>56</v>
      </c>
      <c r="BE51" s="483" t="s">
        <v>56</v>
      </c>
      <c r="BF51" s="483" t="s">
        <v>56</v>
      </c>
      <c r="BG51" s="483" t="s">
        <v>56</v>
      </c>
      <c r="BH51" s="555" t="s">
        <v>56</v>
      </c>
      <c r="BI51" s="489">
        <f t="shared" si="41"/>
        <v>599.81154933369214</v>
      </c>
      <c r="BJ51" s="490">
        <f t="shared" si="42"/>
        <v>640.9787757842513</v>
      </c>
      <c r="BK51" s="483" t="s">
        <v>56</v>
      </c>
      <c r="BL51" s="483" t="s">
        <v>56</v>
      </c>
      <c r="BM51" s="483" t="s">
        <v>56</v>
      </c>
      <c r="BN51" s="483" t="s">
        <v>56</v>
      </c>
      <c r="BO51" s="555" t="s">
        <v>56</v>
      </c>
    </row>
    <row r="52" spans="1:67">
      <c r="A52" s="803" t="str">
        <f>'Compiled Products'!M1</f>
        <v>Sealing and Refinishing Sprays (Indoor Use)</v>
      </c>
      <c r="B52" s="400" t="s">
        <v>2741</v>
      </c>
      <c r="C52" s="803" t="str">
        <f>A52</f>
        <v>Sealing and Refinishing Sprays (Indoor Use)</v>
      </c>
      <c r="D52" s="514">
        <v>1</v>
      </c>
      <c r="E52" s="515">
        <v>1</v>
      </c>
      <c r="F52" s="515">
        <v>0</v>
      </c>
      <c r="G52" s="502">
        <f>'Compiled Products'!M7</f>
        <v>480</v>
      </c>
      <c r="H52" s="14">
        <f>'Compiled Products'!$M$5</f>
        <v>2</v>
      </c>
      <c r="I52" s="14">
        <f>'Compiled Products'!M6</f>
        <v>1</v>
      </c>
      <c r="J52" s="512">
        <f t="shared" si="81"/>
        <v>3.2300000000000002E-2</v>
      </c>
      <c r="K52" s="507">
        <f t="shared" si="111"/>
        <v>0.25840000000000002</v>
      </c>
      <c r="L52" s="497" t="s">
        <v>3132</v>
      </c>
      <c r="M52" s="473">
        <f>(INDEX('Dermal Calcs'!$B$64:$H$70, MATCH($L52,'Dermal Calcs'!$A$64:$A$70, 0), MATCH(M$3, 'Dermal Calcs'!$B$63:$H$63, 0)))*$K52*$D52</f>
        <v>0.32010053859964105</v>
      </c>
      <c r="N52" s="474">
        <f>(INDEX('Dermal Calcs'!$B$64:$H$70, MATCH($L52,'Dermal Calcs'!$A$64:$A$70, 0), MATCH(N$3, 'Dermal Calcs'!$B$63:$H$63, 0)))*$K52*$E52</f>
        <v>0.29954189944134091</v>
      </c>
      <c r="O52" s="474">
        <v>0</v>
      </c>
      <c r="P52" s="476">
        <f>(INDEX('Dermal Calcs'!$B$64:$H$70, MATCH($L52,'Dermal Calcs'!$A$64:$A$70, 0), MATCH(P$3, 'Dermal Calcs'!$B$63:$H$63, 0)))*$K52*$F52</f>
        <v>0</v>
      </c>
      <c r="Q52" s="476">
        <f>(INDEX('Dermal Calcs'!$B$64:$H$70, MATCH($L52,'Dermal Calcs'!$A$64:$A$70, 0), MATCH(Q$3, 'Dermal Calcs'!$B$63:$H$63, 0)))*$K52*$F52</f>
        <v>0</v>
      </c>
      <c r="R52" s="476">
        <f>(INDEX('Dermal Calcs'!$B$64:$H$70, MATCH($L52,'Dermal Calcs'!$A$64:$A$70, 0), MATCH(R$3, 'Dermal Calcs'!$B$63:$H$63, 0)))*$K52*$F52</f>
        <v>0</v>
      </c>
      <c r="S52" s="477">
        <f>(INDEX('Dermal Calcs'!$B$64:$H$70, MATCH($L52,'Dermal Calcs'!$A$64:$A$70, 0), MATCH(S$3, 'Dermal Calcs'!$B$63:$H$63, 0)))*$K52*$F52</f>
        <v>0</v>
      </c>
      <c r="T52" s="479">
        <f t="shared" si="112"/>
        <v>0.6402010771992821</v>
      </c>
      <c r="U52" s="480">
        <f t="shared" si="84"/>
        <v>0.59908379888268182</v>
      </c>
      <c r="V52" s="480">
        <f t="shared" si="85"/>
        <v>0</v>
      </c>
      <c r="W52" s="487">
        <f t="shared" si="86"/>
        <v>0</v>
      </c>
      <c r="X52" s="487">
        <f t="shared" si="87"/>
        <v>0</v>
      </c>
      <c r="Y52" s="487">
        <f t="shared" si="88"/>
        <v>0</v>
      </c>
      <c r="Z52" s="487">
        <f t="shared" si="89"/>
        <v>0</v>
      </c>
      <c r="AA52" s="508">
        <f t="shared" si="113"/>
        <v>0.32010053859964105</v>
      </c>
      <c r="AB52" s="488">
        <f t="shared" si="91"/>
        <v>0.29954189944134091</v>
      </c>
      <c r="AC52" s="488">
        <f t="shared" si="92"/>
        <v>0</v>
      </c>
      <c r="AD52" s="487">
        <f t="shared" si="93"/>
        <v>0</v>
      </c>
      <c r="AE52" s="487">
        <f t="shared" si="94"/>
        <v>0</v>
      </c>
      <c r="AF52" s="487">
        <f t="shared" si="95"/>
        <v>0</v>
      </c>
      <c r="AG52" s="487">
        <f t="shared" si="96"/>
        <v>0</v>
      </c>
      <c r="AH52" s="479">
        <f t="shared" si="114"/>
        <v>1.7539755539706359</v>
      </c>
      <c r="AI52" s="480">
        <f t="shared" si="98"/>
        <v>1.6413254763909089</v>
      </c>
      <c r="AJ52" s="480">
        <f t="shared" si="99"/>
        <v>0</v>
      </c>
      <c r="AK52" s="480">
        <f t="shared" si="100"/>
        <v>0</v>
      </c>
      <c r="AL52" s="480">
        <f t="shared" si="101"/>
        <v>0</v>
      </c>
      <c r="AM52" s="480">
        <f t="shared" si="102"/>
        <v>0</v>
      </c>
      <c r="AN52" s="481">
        <f t="shared" si="103"/>
        <v>0</v>
      </c>
      <c r="AO52" s="480">
        <f t="shared" si="115"/>
        <v>320.10053859964103</v>
      </c>
      <c r="AP52" s="480">
        <f t="shared" si="105"/>
        <v>299.54189944134089</v>
      </c>
      <c r="AQ52" s="480">
        <f t="shared" si="106"/>
        <v>0</v>
      </c>
      <c r="AR52" s="480">
        <f t="shared" si="107"/>
        <v>0</v>
      </c>
      <c r="AS52" s="480">
        <f t="shared" si="108"/>
        <v>0</v>
      </c>
      <c r="AT52" s="480">
        <f t="shared" si="109"/>
        <v>0</v>
      </c>
      <c r="AU52" s="481">
        <f t="shared" si="110"/>
        <v>0</v>
      </c>
      <c r="AV52" s="508">
        <f t="shared" si="116"/>
        <v>1.7539755539706359</v>
      </c>
      <c r="AW52" s="488">
        <f t="shared" si="117"/>
        <v>0.82066273819545443</v>
      </c>
      <c r="AX52" s="487">
        <f t="shared" si="118"/>
        <v>0</v>
      </c>
      <c r="AY52" s="508">
        <f t="shared" si="119"/>
        <v>320.10053859964103</v>
      </c>
      <c r="AZ52" s="488">
        <f t="shared" si="120"/>
        <v>149.77094972067044</v>
      </c>
      <c r="BA52" s="487">
        <f t="shared" si="121"/>
        <v>0</v>
      </c>
      <c r="BB52" s="561">
        <f t="shared" si="40"/>
        <v>6841.6004845874249</v>
      </c>
      <c r="BC52" s="482">
        <f t="shared" si="48"/>
        <v>7311.1641612891171</v>
      </c>
      <c r="BD52" s="483" t="s">
        <v>56</v>
      </c>
      <c r="BE52" s="483" t="s">
        <v>56</v>
      </c>
      <c r="BF52" s="483" t="s">
        <v>56</v>
      </c>
      <c r="BG52" s="483" t="s">
        <v>56</v>
      </c>
      <c r="BH52" s="555" t="s">
        <v>56</v>
      </c>
      <c r="BI52" s="489">
        <f t="shared" si="41"/>
        <v>37.488221833355759</v>
      </c>
      <c r="BJ52" s="490">
        <f t="shared" si="42"/>
        <v>40.061173486515706</v>
      </c>
      <c r="BK52" s="483" t="s">
        <v>56</v>
      </c>
      <c r="BL52" s="483" t="s">
        <v>56</v>
      </c>
      <c r="BM52" s="483" t="s">
        <v>56</v>
      </c>
      <c r="BN52" s="483" t="s">
        <v>56</v>
      </c>
      <c r="BO52" s="555" t="s">
        <v>56</v>
      </c>
    </row>
    <row r="53" spans="1:67">
      <c r="A53" s="804"/>
      <c r="B53" s="400" t="s">
        <v>2790</v>
      </c>
      <c r="C53" s="804"/>
      <c r="D53" s="462">
        <v>1</v>
      </c>
      <c r="E53" s="583">
        <v>1</v>
      </c>
      <c r="F53" s="583">
        <v>0</v>
      </c>
      <c r="G53" s="502">
        <f>'Compiled Products'!M8</f>
        <v>240</v>
      </c>
      <c r="H53" s="573">
        <f>H52</f>
        <v>2</v>
      </c>
      <c r="I53" s="573">
        <f>I52</f>
        <v>1</v>
      </c>
      <c r="J53" s="512">
        <f t="shared" si="81"/>
        <v>3.2300000000000002E-2</v>
      </c>
      <c r="K53" s="507">
        <f t="shared" si="111"/>
        <v>0.12920000000000001</v>
      </c>
      <c r="L53" s="497" t="s">
        <v>3132</v>
      </c>
      <c r="M53" s="473">
        <f>(INDEX('Dermal Calcs'!$B$64:$H$70, MATCH($L53,'Dermal Calcs'!$A$64:$A$70, 0), MATCH(M$3, 'Dermal Calcs'!$B$63:$H$63, 0)))*$K53*$D53</f>
        <v>0.16005026929982052</v>
      </c>
      <c r="N53" s="474">
        <f>(INDEX('Dermal Calcs'!$B$64:$H$70, MATCH($L53,'Dermal Calcs'!$A$64:$A$70, 0), MATCH(N$3, 'Dermal Calcs'!$B$63:$H$63, 0)))*$K53*$E53</f>
        <v>0.14977094972067045</v>
      </c>
      <c r="O53" s="474">
        <v>0</v>
      </c>
      <c r="P53" s="476">
        <f>(INDEX('Dermal Calcs'!$B$64:$H$70, MATCH($L53,'Dermal Calcs'!$A$64:$A$70, 0), MATCH(P$3, 'Dermal Calcs'!$B$63:$H$63, 0)))*$K53*$F53</f>
        <v>0</v>
      </c>
      <c r="Q53" s="476">
        <f>(INDEX('Dermal Calcs'!$B$64:$H$70, MATCH($L53,'Dermal Calcs'!$A$64:$A$70, 0), MATCH(Q$3, 'Dermal Calcs'!$B$63:$H$63, 0)))*$K53*$F53</f>
        <v>0</v>
      </c>
      <c r="R53" s="476">
        <f>(INDEX('Dermal Calcs'!$B$64:$H$70, MATCH($L53,'Dermal Calcs'!$A$64:$A$70, 0), MATCH(R$3, 'Dermal Calcs'!$B$63:$H$63, 0)))*$K53*$F53</f>
        <v>0</v>
      </c>
      <c r="S53" s="477">
        <f>(INDEX('Dermal Calcs'!$B$64:$H$70, MATCH($L53,'Dermal Calcs'!$A$64:$A$70, 0), MATCH(S$3, 'Dermal Calcs'!$B$63:$H$63, 0)))*$K53*$F53</f>
        <v>0</v>
      </c>
      <c r="T53" s="479">
        <f t="shared" si="112"/>
        <v>0.32010053859964105</v>
      </c>
      <c r="U53" s="480">
        <f t="shared" si="84"/>
        <v>0.29954189944134091</v>
      </c>
      <c r="V53" s="480">
        <f t="shared" si="85"/>
        <v>0</v>
      </c>
      <c r="W53" s="487">
        <f t="shared" si="86"/>
        <v>0</v>
      </c>
      <c r="X53" s="487">
        <f t="shared" si="87"/>
        <v>0</v>
      </c>
      <c r="Y53" s="487">
        <f t="shared" si="88"/>
        <v>0</v>
      </c>
      <c r="Z53" s="487">
        <f t="shared" si="89"/>
        <v>0</v>
      </c>
      <c r="AA53" s="508">
        <f t="shared" si="113"/>
        <v>0.16005026929982052</v>
      </c>
      <c r="AB53" s="488">
        <f t="shared" si="91"/>
        <v>0.14977094972067045</v>
      </c>
      <c r="AC53" s="488">
        <f t="shared" si="92"/>
        <v>0</v>
      </c>
      <c r="AD53" s="487">
        <f t="shared" si="93"/>
        <v>0</v>
      </c>
      <c r="AE53" s="487">
        <f t="shared" si="94"/>
        <v>0</v>
      </c>
      <c r="AF53" s="487">
        <f t="shared" si="95"/>
        <v>0</v>
      </c>
      <c r="AG53" s="487">
        <f t="shared" si="96"/>
        <v>0</v>
      </c>
      <c r="AH53" s="479">
        <f t="shared" si="114"/>
        <v>0.87698777698531794</v>
      </c>
      <c r="AI53" s="480">
        <f t="shared" si="98"/>
        <v>0.82066273819545443</v>
      </c>
      <c r="AJ53" s="480">
        <f t="shared" si="99"/>
        <v>0</v>
      </c>
      <c r="AK53" s="480">
        <f t="shared" si="100"/>
        <v>0</v>
      </c>
      <c r="AL53" s="480">
        <f t="shared" si="101"/>
        <v>0</v>
      </c>
      <c r="AM53" s="480">
        <f t="shared" si="102"/>
        <v>0</v>
      </c>
      <c r="AN53" s="481">
        <f t="shared" si="103"/>
        <v>0</v>
      </c>
      <c r="AO53" s="480">
        <f t="shared" si="115"/>
        <v>160.05026929982051</v>
      </c>
      <c r="AP53" s="480">
        <f t="shared" si="105"/>
        <v>149.77094972067044</v>
      </c>
      <c r="AQ53" s="480">
        <f t="shared" si="106"/>
        <v>0</v>
      </c>
      <c r="AR53" s="480">
        <f t="shared" si="107"/>
        <v>0</v>
      </c>
      <c r="AS53" s="480">
        <f t="shared" si="108"/>
        <v>0</v>
      </c>
      <c r="AT53" s="480">
        <f t="shared" si="109"/>
        <v>0</v>
      </c>
      <c r="AU53" s="481">
        <f t="shared" si="110"/>
        <v>0</v>
      </c>
      <c r="AV53" s="508">
        <f t="shared" si="116"/>
        <v>0.87698777698531794</v>
      </c>
      <c r="AW53" s="488">
        <f t="shared" si="117"/>
        <v>0.41033136909772722</v>
      </c>
      <c r="AX53" s="487">
        <f t="shared" si="118"/>
        <v>0</v>
      </c>
      <c r="AY53" s="508">
        <f t="shared" si="119"/>
        <v>160.05026929982051</v>
      </c>
      <c r="AZ53" s="488">
        <f t="shared" si="120"/>
        <v>74.885474860335222</v>
      </c>
      <c r="BA53" s="487">
        <f t="shared" si="121"/>
        <v>0</v>
      </c>
      <c r="BB53" s="561">
        <f t="shared" si="40"/>
        <v>13683.20096917485</v>
      </c>
      <c r="BC53" s="482">
        <f t="shared" si="48"/>
        <v>14622.328322578234</v>
      </c>
      <c r="BD53" s="483" t="s">
        <v>56</v>
      </c>
      <c r="BE53" s="483" t="s">
        <v>56</v>
      </c>
      <c r="BF53" s="483" t="s">
        <v>56</v>
      </c>
      <c r="BG53" s="483" t="s">
        <v>56</v>
      </c>
      <c r="BH53" s="555" t="s">
        <v>56</v>
      </c>
      <c r="BI53" s="489">
        <f t="shared" si="41"/>
        <v>74.976443666711518</v>
      </c>
      <c r="BJ53" s="490">
        <f t="shared" si="42"/>
        <v>80.122346973031412</v>
      </c>
      <c r="BK53" s="483" t="s">
        <v>56</v>
      </c>
      <c r="BL53" s="483" t="s">
        <v>56</v>
      </c>
      <c r="BM53" s="483" t="s">
        <v>56</v>
      </c>
      <c r="BN53" s="483" t="s">
        <v>56</v>
      </c>
      <c r="BO53" s="555" t="s">
        <v>56</v>
      </c>
    </row>
    <row r="54" spans="1:67">
      <c r="A54" s="805"/>
      <c r="B54" s="400" t="s">
        <v>2745</v>
      </c>
      <c r="C54" s="805"/>
      <c r="D54" s="465">
        <v>1</v>
      </c>
      <c r="E54" s="466">
        <v>1</v>
      </c>
      <c r="F54" s="466">
        <v>0</v>
      </c>
      <c r="G54" s="502">
        <f>'Compiled Products'!M9</f>
        <v>120</v>
      </c>
      <c r="H54" s="573">
        <f>H52</f>
        <v>2</v>
      </c>
      <c r="I54" s="573">
        <f>I52</f>
        <v>1</v>
      </c>
      <c r="J54" s="512">
        <f t="shared" si="81"/>
        <v>3.2300000000000002E-2</v>
      </c>
      <c r="K54" s="507">
        <f t="shared" si="111"/>
        <v>6.4600000000000005E-2</v>
      </c>
      <c r="L54" s="509" t="s">
        <v>3132</v>
      </c>
      <c r="M54" s="474">
        <f>(INDEX('Dermal Calcs'!$B$64:$H$70, MATCH($L54,'Dermal Calcs'!$A$64:$A$70, 0), MATCH(M$3, 'Dermal Calcs'!$B$63:$H$63, 0)))*$K54*$D54</f>
        <v>8.0025134649910262E-2</v>
      </c>
      <c r="N54" s="474">
        <f>(INDEX('Dermal Calcs'!$B$64:$H$70, MATCH($L54,'Dermal Calcs'!$A$64:$A$70, 0), MATCH(N$3, 'Dermal Calcs'!$B$63:$H$63, 0)))*$K54*$E54</f>
        <v>7.4885474860335227E-2</v>
      </c>
      <c r="O54" s="474">
        <v>0</v>
      </c>
      <c r="P54" s="476">
        <f>(INDEX('Dermal Calcs'!$B$64:$H$70, MATCH($L54,'Dermal Calcs'!$A$64:$A$70, 0), MATCH(P$3, 'Dermal Calcs'!$B$63:$H$63, 0)))*$K54*$F54</f>
        <v>0</v>
      </c>
      <c r="Q54" s="476">
        <f>(INDEX('Dermal Calcs'!$B$64:$H$70, MATCH($L54,'Dermal Calcs'!$A$64:$A$70, 0), MATCH(Q$3, 'Dermal Calcs'!$B$63:$H$63, 0)))*$K54*$F54</f>
        <v>0</v>
      </c>
      <c r="R54" s="476">
        <f>(INDEX('Dermal Calcs'!$B$64:$H$70, MATCH($L54,'Dermal Calcs'!$A$64:$A$70, 0), MATCH(R$3, 'Dermal Calcs'!$B$63:$H$63, 0)))*$K54*$F54</f>
        <v>0</v>
      </c>
      <c r="S54" s="477">
        <f>(INDEX('Dermal Calcs'!$B$64:$H$70, MATCH($L54,'Dermal Calcs'!$A$64:$A$70, 0), MATCH(S$3, 'Dermal Calcs'!$B$63:$H$63, 0)))*$K54*$F54</f>
        <v>0</v>
      </c>
      <c r="T54" s="479">
        <f t="shared" si="112"/>
        <v>0.16005026929982052</v>
      </c>
      <c r="U54" s="480">
        <f t="shared" si="84"/>
        <v>0.14977094972067045</v>
      </c>
      <c r="V54" s="480">
        <f t="shared" si="85"/>
        <v>0</v>
      </c>
      <c r="W54" s="487">
        <f t="shared" si="86"/>
        <v>0</v>
      </c>
      <c r="X54" s="487">
        <f t="shared" si="87"/>
        <v>0</v>
      </c>
      <c r="Y54" s="487">
        <f t="shared" si="88"/>
        <v>0</v>
      </c>
      <c r="Z54" s="487">
        <f t="shared" si="89"/>
        <v>0</v>
      </c>
      <c r="AA54" s="508">
        <f t="shared" si="113"/>
        <v>8.0025134649910262E-2</v>
      </c>
      <c r="AB54" s="488">
        <f t="shared" si="91"/>
        <v>7.4885474860335227E-2</v>
      </c>
      <c r="AC54" s="488">
        <f t="shared" si="92"/>
        <v>0</v>
      </c>
      <c r="AD54" s="487">
        <f t="shared" si="93"/>
        <v>0</v>
      </c>
      <c r="AE54" s="487">
        <f t="shared" si="94"/>
        <v>0</v>
      </c>
      <c r="AF54" s="487">
        <f t="shared" si="95"/>
        <v>0</v>
      </c>
      <c r="AG54" s="487">
        <f t="shared" si="96"/>
        <v>0</v>
      </c>
      <c r="AH54" s="479">
        <f t="shared" si="114"/>
        <v>0.43849388849265897</v>
      </c>
      <c r="AI54" s="480">
        <f t="shared" si="98"/>
        <v>0.41033136909772722</v>
      </c>
      <c r="AJ54" s="480">
        <f t="shared" si="99"/>
        <v>0</v>
      </c>
      <c r="AK54" s="480">
        <f t="shared" si="100"/>
        <v>0</v>
      </c>
      <c r="AL54" s="480">
        <f t="shared" si="101"/>
        <v>0</v>
      </c>
      <c r="AM54" s="480">
        <f t="shared" si="102"/>
        <v>0</v>
      </c>
      <c r="AN54" s="481">
        <f t="shared" si="103"/>
        <v>0</v>
      </c>
      <c r="AO54" s="480">
        <f t="shared" si="115"/>
        <v>80.025134649910257</v>
      </c>
      <c r="AP54" s="480">
        <f t="shared" si="105"/>
        <v>74.885474860335222</v>
      </c>
      <c r="AQ54" s="480">
        <f t="shared" si="106"/>
        <v>0</v>
      </c>
      <c r="AR54" s="480">
        <f t="shared" si="107"/>
        <v>0</v>
      </c>
      <c r="AS54" s="480">
        <f t="shared" si="108"/>
        <v>0</v>
      </c>
      <c r="AT54" s="480">
        <f t="shared" si="109"/>
        <v>0</v>
      </c>
      <c r="AU54" s="481">
        <f t="shared" si="110"/>
        <v>0</v>
      </c>
      <c r="AV54" s="508">
        <f t="shared" si="116"/>
        <v>0.43849388849265897</v>
      </c>
      <c r="AW54" s="488">
        <f t="shared" si="117"/>
        <v>0.20516568454886361</v>
      </c>
      <c r="AX54" s="487">
        <f t="shared" si="118"/>
        <v>0</v>
      </c>
      <c r="AY54" s="508">
        <f t="shared" si="119"/>
        <v>80.025134649910257</v>
      </c>
      <c r="AZ54" s="488">
        <f t="shared" si="120"/>
        <v>37.442737430167611</v>
      </c>
      <c r="BA54" s="487">
        <f t="shared" si="121"/>
        <v>0</v>
      </c>
      <c r="BB54" s="561">
        <f t="shared" si="40"/>
        <v>27366.4019383497</v>
      </c>
      <c r="BC54" s="482">
        <f t="shared" si="48"/>
        <v>29244.656645156469</v>
      </c>
      <c r="BD54" s="483" t="s">
        <v>56</v>
      </c>
      <c r="BE54" s="483" t="s">
        <v>56</v>
      </c>
      <c r="BF54" s="483" t="s">
        <v>56</v>
      </c>
      <c r="BG54" s="483" t="s">
        <v>56</v>
      </c>
      <c r="BH54" s="555" t="s">
        <v>56</v>
      </c>
      <c r="BI54" s="489">
        <f t="shared" si="41"/>
        <v>149.95288733342304</v>
      </c>
      <c r="BJ54" s="490">
        <f t="shared" si="42"/>
        <v>160.24469394606282</v>
      </c>
      <c r="BK54" s="483" t="s">
        <v>56</v>
      </c>
      <c r="BL54" s="483" t="s">
        <v>56</v>
      </c>
      <c r="BM54" s="483" t="s">
        <v>56</v>
      </c>
      <c r="BN54" s="483" t="s">
        <v>56</v>
      </c>
      <c r="BO54" s="555" t="s">
        <v>56</v>
      </c>
    </row>
    <row r="55" spans="1:67" ht="14.65" customHeight="1">
      <c r="A55" s="803" t="str">
        <f>'Compiled Products'!N1</f>
        <v>Sealing and Refinishing Sprays (Outdoor Use)</v>
      </c>
      <c r="B55" s="501" t="s">
        <v>2741</v>
      </c>
      <c r="C55" s="803" t="str">
        <f>A55</f>
        <v>Sealing and Refinishing Sprays (Outdoor Use)</v>
      </c>
      <c r="D55" s="462">
        <v>1</v>
      </c>
      <c r="E55" s="583">
        <v>1</v>
      </c>
      <c r="F55" s="583">
        <v>0</v>
      </c>
      <c r="G55" s="502">
        <f>'Compiled Products'!N7</f>
        <v>480</v>
      </c>
      <c r="H55" s="14">
        <f>'Compiled Products'!$N$5</f>
        <v>2</v>
      </c>
      <c r="I55" s="14">
        <f>'Compiled Products'!N6</f>
        <v>1</v>
      </c>
      <c r="J55" s="512">
        <f t="shared" si="81"/>
        <v>3.2300000000000002E-2</v>
      </c>
      <c r="K55" s="507">
        <f t="shared" si="82"/>
        <v>0.25840000000000002</v>
      </c>
      <c r="L55" s="497" t="s">
        <v>3132</v>
      </c>
      <c r="M55" s="473">
        <f>(INDEX('Dermal Calcs'!$B$64:$H$70, MATCH($L55,'Dermal Calcs'!$A$64:$A$70, 0), MATCH(M$3, 'Dermal Calcs'!$B$63:$H$63, 0)))*$K55*$D55</f>
        <v>0.32010053859964105</v>
      </c>
      <c r="N55" s="474">
        <f>(INDEX('Dermal Calcs'!$B$64:$H$70, MATCH($L55,'Dermal Calcs'!$A$64:$A$70, 0), MATCH(N$3, 'Dermal Calcs'!$B$63:$H$63, 0)))*$K55*$E55</f>
        <v>0.29954189944134091</v>
      </c>
      <c r="O55" s="474">
        <v>0</v>
      </c>
      <c r="P55" s="476">
        <f>(INDEX('Dermal Calcs'!$B$64:$H$70, MATCH($L55,'Dermal Calcs'!$A$64:$A$70, 0), MATCH(P$3, 'Dermal Calcs'!$B$63:$H$63, 0)))*$K55*$F55</f>
        <v>0</v>
      </c>
      <c r="Q55" s="476">
        <f>(INDEX('Dermal Calcs'!$B$64:$H$70, MATCH($L55,'Dermal Calcs'!$A$64:$A$70, 0), MATCH(Q$3, 'Dermal Calcs'!$B$63:$H$63, 0)))*$K55*$F55</f>
        <v>0</v>
      </c>
      <c r="R55" s="476">
        <f>(INDEX('Dermal Calcs'!$B$64:$H$70, MATCH($L55,'Dermal Calcs'!$A$64:$A$70, 0), MATCH(R$3, 'Dermal Calcs'!$B$63:$H$63, 0)))*$K55*$F55</f>
        <v>0</v>
      </c>
      <c r="S55" s="477">
        <f>(INDEX('Dermal Calcs'!$B$64:$H$70, MATCH($L55,'Dermal Calcs'!$A$64:$A$70, 0), MATCH(S$3, 'Dermal Calcs'!$B$63:$H$63, 0)))*$K55*$F55</f>
        <v>0</v>
      </c>
      <c r="T55" s="473">
        <f t="shared" si="83"/>
        <v>0.6402010771992821</v>
      </c>
      <c r="U55" s="474">
        <f t="shared" si="84"/>
        <v>0.59908379888268182</v>
      </c>
      <c r="V55" s="474">
        <f t="shared" si="85"/>
        <v>0</v>
      </c>
      <c r="W55" s="478">
        <f t="shared" si="86"/>
        <v>0</v>
      </c>
      <c r="X55" s="478">
        <f t="shared" si="87"/>
        <v>0</v>
      </c>
      <c r="Y55" s="478">
        <f t="shared" si="88"/>
        <v>0</v>
      </c>
      <c r="Z55" s="478">
        <f t="shared" si="89"/>
        <v>0</v>
      </c>
      <c r="AA55" s="473">
        <f t="shared" si="90"/>
        <v>0.32010053859964105</v>
      </c>
      <c r="AB55" s="474">
        <f t="shared" si="91"/>
        <v>0.29954189944134091</v>
      </c>
      <c r="AC55" s="474">
        <f t="shared" si="92"/>
        <v>0</v>
      </c>
      <c r="AD55" s="478">
        <f t="shared" si="93"/>
        <v>0</v>
      </c>
      <c r="AE55" s="478">
        <f t="shared" si="94"/>
        <v>0</v>
      </c>
      <c r="AF55" s="478">
        <f t="shared" si="95"/>
        <v>0</v>
      </c>
      <c r="AG55" s="478">
        <f t="shared" si="96"/>
        <v>0</v>
      </c>
      <c r="AH55" s="479">
        <f t="shared" si="97"/>
        <v>1.7539755539706359</v>
      </c>
      <c r="AI55" s="480">
        <f t="shared" si="98"/>
        <v>1.6413254763909089</v>
      </c>
      <c r="AJ55" s="480">
        <f t="shared" si="99"/>
        <v>0</v>
      </c>
      <c r="AK55" s="480">
        <f t="shared" si="100"/>
        <v>0</v>
      </c>
      <c r="AL55" s="480">
        <f t="shared" si="101"/>
        <v>0</v>
      </c>
      <c r="AM55" s="480">
        <f t="shared" si="102"/>
        <v>0</v>
      </c>
      <c r="AN55" s="481">
        <f t="shared" si="103"/>
        <v>0</v>
      </c>
      <c r="AO55" s="480">
        <f t="shared" si="104"/>
        <v>320.10053859964103</v>
      </c>
      <c r="AP55" s="480">
        <f t="shared" si="105"/>
        <v>299.54189944134089</v>
      </c>
      <c r="AQ55" s="480">
        <f t="shared" si="106"/>
        <v>0</v>
      </c>
      <c r="AR55" s="480">
        <f t="shared" si="107"/>
        <v>0</v>
      </c>
      <c r="AS55" s="480">
        <f t="shared" si="108"/>
        <v>0</v>
      </c>
      <c r="AT55" s="480">
        <f t="shared" si="109"/>
        <v>0</v>
      </c>
      <c r="AU55" s="481">
        <f t="shared" si="110"/>
        <v>0</v>
      </c>
      <c r="AV55" s="473">
        <f t="shared" ref="AV55:AV57" si="122">(T55*1000)/365</f>
        <v>1.7539755539706359</v>
      </c>
      <c r="AW55" s="474">
        <f t="shared" ref="AW55:AW57" si="123">(AVERAGE(U55:V55)*1000)/365</f>
        <v>0.82066273819545443</v>
      </c>
      <c r="AX55" s="478">
        <f t="shared" ref="AX55:AX57" si="124">(AVERAGE(W55:Z55)*1000)/365</f>
        <v>0</v>
      </c>
      <c r="AY55" s="473">
        <f t="shared" ref="AY55:AY57" si="125">AA55*1000</f>
        <v>320.10053859964103</v>
      </c>
      <c r="AZ55" s="474">
        <f t="shared" ref="AZ55:AZ57" si="126">AVERAGE(AB55:AC55)*1000</f>
        <v>149.77094972067044</v>
      </c>
      <c r="BA55" s="478">
        <f t="shared" ref="BA55:BA57" si="127">AVERAGE(AD55:AG55)*1000</f>
        <v>0</v>
      </c>
      <c r="BB55" s="561">
        <f t="shared" si="40"/>
        <v>6841.6004845874249</v>
      </c>
      <c r="BC55" s="482">
        <f t="shared" si="48"/>
        <v>7311.1641612891171</v>
      </c>
      <c r="BD55" s="483" t="s">
        <v>56</v>
      </c>
      <c r="BE55" s="483" t="s">
        <v>56</v>
      </c>
      <c r="BF55" s="483" t="s">
        <v>56</v>
      </c>
      <c r="BG55" s="483" t="s">
        <v>56</v>
      </c>
      <c r="BH55" s="555" t="s">
        <v>56</v>
      </c>
      <c r="BI55" s="489">
        <f t="shared" si="41"/>
        <v>37.488221833355759</v>
      </c>
      <c r="BJ55" s="490">
        <f t="shared" si="42"/>
        <v>40.061173486515706</v>
      </c>
      <c r="BK55" s="483" t="s">
        <v>56</v>
      </c>
      <c r="BL55" s="483" t="s">
        <v>56</v>
      </c>
      <c r="BM55" s="483" t="s">
        <v>56</v>
      </c>
      <c r="BN55" s="483" t="s">
        <v>56</v>
      </c>
      <c r="BO55" s="555" t="s">
        <v>56</v>
      </c>
    </row>
    <row r="56" spans="1:67">
      <c r="A56" s="804"/>
      <c r="B56" s="400" t="s">
        <v>2790</v>
      </c>
      <c r="C56" s="804"/>
      <c r="D56" s="462">
        <v>1</v>
      </c>
      <c r="E56" s="583">
        <v>1</v>
      </c>
      <c r="F56" s="583">
        <v>0</v>
      </c>
      <c r="G56" s="502">
        <f>'Compiled Products'!N8</f>
        <v>240</v>
      </c>
      <c r="H56" s="573">
        <f>H55</f>
        <v>2</v>
      </c>
      <c r="I56" s="573">
        <f>I55</f>
        <v>1</v>
      </c>
      <c r="J56" s="512">
        <f t="shared" si="81"/>
        <v>3.2300000000000002E-2</v>
      </c>
      <c r="K56" s="507">
        <f t="shared" si="82"/>
        <v>0.12920000000000001</v>
      </c>
      <c r="L56" s="497" t="s">
        <v>3132</v>
      </c>
      <c r="M56" s="473">
        <f>(INDEX('Dermal Calcs'!$B$64:$H$70, MATCH($L56,'Dermal Calcs'!$A$64:$A$70, 0), MATCH(M$3, 'Dermal Calcs'!$B$63:$H$63, 0)))*$K56*$D56</f>
        <v>0.16005026929982052</v>
      </c>
      <c r="N56" s="474">
        <f>(INDEX('Dermal Calcs'!$B$64:$H$70, MATCH($L56,'Dermal Calcs'!$A$64:$A$70, 0), MATCH(N$3, 'Dermal Calcs'!$B$63:$H$63, 0)))*$K56*$E56</f>
        <v>0.14977094972067045</v>
      </c>
      <c r="O56" s="474">
        <v>0</v>
      </c>
      <c r="P56" s="476">
        <f>(INDEX('Dermal Calcs'!$B$64:$H$70, MATCH($L56,'Dermal Calcs'!$A$64:$A$70, 0), MATCH(P$3, 'Dermal Calcs'!$B$63:$H$63, 0)))*$K56*$F56</f>
        <v>0</v>
      </c>
      <c r="Q56" s="476">
        <f>(INDEX('Dermal Calcs'!$B$64:$H$70, MATCH($L56,'Dermal Calcs'!$A$64:$A$70, 0), MATCH(Q$3, 'Dermal Calcs'!$B$63:$H$63, 0)))*$K56*$F56</f>
        <v>0</v>
      </c>
      <c r="R56" s="476">
        <f>(INDEX('Dermal Calcs'!$B$64:$H$70, MATCH($L56,'Dermal Calcs'!$A$64:$A$70, 0), MATCH(R$3, 'Dermal Calcs'!$B$63:$H$63, 0)))*$K56*$F56</f>
        <v>0</v>
      </c>
      <c r="S56" s="477">
        <f>(INDEX('Dermal Calcs'!$B$64:$H$70, MATCH($L56,'Dermal Calcs'!$A$64:$A$70, 0), MATCH(S$3, 'Dermal Calcs'!$B$63:$H$63, 0)))*$K56*$F56</f>
        <v>0</v>
      </c>
      <c r="T56" s="486">
        <f t="shared" si="83"/>
        <v>0.32010053859964105</v>
      </c>
      <c r="U56" s="487">
        <f t="shared" si="84"/>
        <v>0.29954189944134091</v>
      </c>
      <c r="V56" s="487">
        <f t="shared" si="85"/>
        <v>0</v>
      </c>
      <c r="W56" s="488">
        <f t="shared" si="86"/>
        <v>0</v>
      </c>
      <c r="X56" s="488">
        <f t="shared" si="87"/>
        <v>0</v>
      </c>
      <c r="Y56" s="488">
        <f t="shared" si="88"/>
        <v>0</v>
      </c>
      <c r="Z56" s="488">
        <f t="shared" si="89"/>
        <v>0</v>
      </c>
      <c r="AA56" s="486">
        <f t="shared" si="90"/>
        <v>0.16005026929982052</v>
      </c>
      <c r="AB56" s="487">
        <f t="shared" si="91"/>
        <v>0.14977094972067045</v>
      </c>
      <c r="AC56" s="487">
        <f t="shared" si="92"/>
        <v>0</v>
      </c>
      <c r="AD56" s="488">
        <f t="shared" si="93"/>
        <v>0</v>
      </c>
      <c r="AE56" s="488">
        <f t="shared" si="94"/>
        <v>0</v>
      </c>
      <c r="AF56" s="488">
        <f t="shared" si="95"/>
        <v>0</v>
      </c>
      <c r="AG56" s="488">
        <f t="shared" si="96"/>
        <v>0</v>
      </c>
      <c r="AH56" s="479">
        <f t="shared" si="97"/>
        <v>0.87698777698531794</v>
      </c>
      <c r="AI56" s="480">
        <f t="shared" si="98"/>
        <v>0.82066273819545443</v>
      </c>
      <c r="AJ56" s="480">
        <f t="shared" si="99"/>
        <v>0</v>
      </c>
      <c r="AK56" s="480">
        <f t="shared" si="100"/>
        <v>0</v>
      </c>
      <c r="AL56" s="480">
        <f t="shared" si="101"/>
        <v>0</v>
      </c>
      <c r="AM56" s="480">
        <f t="shared" si="102"/>
        <v>0</v>
      </c>
      <c r="AN56" s="481">
        <f t="shared" si="103"/>
        <v>0</v>
      </c>
      <c r="AO56" s="480">
        <f t="shared" si="104"/>
        <v>160.05026929982051</v>
      </c>
      <c r="AP56" s="480">
        <f t="shared" si="105"/>
        <v>149.77094972067044</v>
      </c>
      <c r="AQ56" s="480">
        <f t="shared" si="106"/>
        <v>0</v>
      </c>
      <c r="AR56" s="480">
        <f t="shared" si="107"/>
        <v>0</v>
      </c>
      <c r="AS56" s="480">
        <f t="shared" si="108"/>
        <v>0</v>
      </c>
      <c r="AT56" s="480">
        <f t="shared" si="109"/>
        <v>0</v>
      </c>
      <c r="AU56" s="481">
        <f t="shared" si="110"/>
        <v>0</v>
      </c>
      <c r="AV56" s="486">
        <f t="shared" si="122"/>
        <v>0.87698777698531794</v>
      </c>
      <c r="AW56" s="487">
        <f t="shared" si="123"/>
        <v>0.41033136909772722</v>
      </c>
      <c r="AX56" s="488">
        <f t="shared" si="124"/>
        <v>0</v>
      </c>
      <c r="AY56" s="486">
        <f t="shared" si="125"/>
        <v>160.05026929982051</v>
      </c>
      <c r="AZ56" s="487">
        <f t="shared" si="126"/>
        <v>74.885474860335222</v>
      </c>
      <c r="BA56" s="488">
        <f t="shared" si="127"/>
        <v>0</v>
      </c>
      <c r="BB56" s="561">
        <f t="shared" si="40"/>
        <v>13683.20096917485</v>
      </c>
      <c r="BC56" s="482">
        <f t="shared" si="48"/>
        <v>14622.328322578234</v>
      </c>
      <c r="BD56" s="483" t="s">
        <v>56</v>
      </c>
      <c r="BE56" s="483" t="s">
        <v>56</v>
      </c>
      <c r="BF56" s="483" t="s">
        <v>56</v>
      </c>
      <c r="BG56" s="483" t="s">
        <v>56</v>
      </c>
      <c r="BH56" s="555" t="s">
        <v>56</v>
      </c>
      <c r="BI56" s="489">
        <f t="shared" si="41"/>
        <v>74.976443666711518</v>
      </c>
      <c r="BJ56" s="490">
        <f t="shared" si="42"/>
        <v>80.122346973031412</v>
      </c>
      <c r="BK56" s="483" t="s">
        <v>56</v>
      </c>
      <c r="BL56" s="483" t="s">
        <v>56</v>
      </c>
      <c r="BM56" s="483" t="s">
        <v>56</v>
      </c>
      <c r="BN56" s="483" t="s">
        <v>56</v>
      </c>
      <c r="BO56" s="555" t="s">
        <v>56</v>
      </c>
    </row>
    <row r="57" spans="1:67" ht="15.75" thickBot="1">
      <c r="A57" s="805"/>
      <c r="B57" s="492" t="s">
        <v>2745</v>
      </c>
      <c r="C57" s="805"/>
      <c r="D57" s="465">
        <v>1</v>
      </c>
      <c r="E57" s="466">
        <v>1</v>
      </c>
      <c r="F57" s="466">
        <v>0</v>
      </c>
      <c r="G57" s="502">
        <f>'Compiled Products'!N9</f>
        <v>120</v>
      </c>
      <c r="H57" s="573">
        <f>H55</f>
        <v>2</v>
      </c>
      <c r="I57" s="573">
        <f>I55</f>
        <v>1</v>
      </c>
      <c r="J57" s="512">
        <f t="shared" si="81"/>
        <v>3.2300000000000002E-2</v>
      </c>
      <c r="K57" s="507">
        <f t="shared" si="82"/>
        <v>6.4600000000000005E-2</v>
      </c>
      <c r="L57" s="509" t="s">
        <v>3132</v>
      </c>
      <c r="M57" s="473">
        <f>(INDEX('Dermal Calcs'!$B$64:$H$70, MATCH($L57,'Dermal Calcs'!$A$64:$A$70, 0), MATCH(M$3, 'Dermal Calcs'!$B$63:$H$63, 0)))*$K57*$D57</f>
        <v>8.0025134649910262E-2</v>
      </c>
      <c r="N57" s="474">
        <f>(INDEX('Dermal Calcs'!$B$64:$H$70, MATCH($L57,'Dermal Calcs'!$A$64:$A$70, 0), MATCH(N$3, 'Dermal Calcs'!$B$63:$H$63, 0)))*$K57*$E57</f>
        <v>7.4885474860335227E-2</v>
      </c>
      <c r="O57" s="474">
        <v>0</v>
      </c>
      <c r="P57" s="476">
        <f>(INDEX('Dermal Calcs'!$B$64:$H$70, MATCH($L57,'Dermal Calcs'!$A$64:$A$70, 0), MATCH(P$3, 'Dermal Calcs'!$B$63:$H$63, 0)))*$K57*$F57</f>
        <v>0</v>
      </c>
      <c r="Q57" s="476">
        <f>(INDEX('Dermal Calcs'!$B$64:$H$70, MATCH($L57,'Dermal Calcs'!$A$64:$A$70, 0), MATCH(Q$3, 'Dermal Calcs'!$B$63:$H$63, 0)))*$K57*$F57</f>
        <v>0</v>
      </c>
      <c r="R57" s="476">
        <f>(INDEX('Dermal Calcs'!$B$64:$H$70, MATCH($L57,'Dermal Calcs'!$A$64:$A$70, 0), MATCH(R$3, 'Dermal Calcs'!$B$63:$H$63, 0)))*$K57*$F57</f>
        <v>0</v>
      </c>
      <c r="S57" s="477">
        <f>(INDEX('Dermal Calcs'!$B$64:$H$70, MATCH($L57,'Dermal Calcs'!$A$64:$A$70, 0), MATCH(S$3, 'Dermal Calcs'!$B$63:$H$63, 0)))*$K57*$F57</f>
        <v>0</v>
      </c>
      <c r="T57" s="493">
        <f t="shared" si="83"/>
        <v>0.16005026929982052</v>
      </c>
      <c r="U57" s="494">
        <f t="shared" si="84"/>
        <v>0.14977094972067045</v>
      </c>
      <c r="V57" s="494">
        <f t="shared" si="85"/>
        <v>0</v>
      </c>
      <c r="W57" s="495">
        <f t="shared" si="86"/>
        <v>0</v>
      </c>
      <c r="X57" s="495">
        <f t="shared" si="87"/>
        <v>0</v>
      </c>
      <c r="Y57" s="495">
        <f t="shared" si="88"/>
        <v>0</v>
      </c>
      <c r="Z57" s="495">
        <f t="shared" si="89"/>
        <v>0</v>
      </c>
      <c r="AA57" s="493">
        <f t="shared" si="90"/>
        <v>8.0025134649910262E-2</v>
      </c>
      <c r="AB57" s="494">
        <f t="shared" si="91"/>
        <v>7.4885474860335227E-2</v>
      </c>
      <c r="AC57" s="494">
        <f t="shared" si="92"/>
        <v>0</v>
      </c>
      <c r="AD57" s="495">
        <f t="shared" si="93"/>
        <v>0</v>
      </c>
      <c r="AE57" s="495">
        <f t="shared" si="94"/>
        <v>0</v>
      </c>
      <c r="AF57" s="495">
        <f t="shared" si="95"/>
        <v>0</v>
      </c>
      <c r="AG57" s="495">
        <f t="shared" si="96"/>
        <v>0</v>
      </c>
      <c r="AH57" s="479">
        <f t="shared" si="97"/>
        <v>0.43849388849265897</v>
      </c>
      <c r="AI57" s="480">
        <f t="shared" si="98"/>
        <v>0.41033136909772722</v>
      </c>
      <c r="AJ57" s="480">
        <f t="shared" si="99"/>
        <v>0</v>
      </c>
      <c r="AK57" s="480">
        <f t="shared" si="100"/>
        <v>0</v>
      </c>
      <c r="AL57" s="480">
        <f t="shared" si="101"/>
        <v>0</v>
      </c>
      <c r="AM57" s="480">
        <f t="shared" si="102"/>
        <v>0</v>
      </c>
      <c r="AN57" s="481">
        <f t="shared" si="103"/>
        <v>0</v>
      </c>
      <c r="AO57" s="480">
        <f t="shared" si="104"/>
        <v>80.025134649910257</v>
      </c>
      <c r="AP57" s="480">
        <f t="shared" si="105"/>
        <v>74.885474860335222</v>
      </c>
      <c r="AQ57" s="480">
        <f t="shared" si="106"/>
        <v>0</v>
      </c>
      <c r="AR57" s="480">
        <f t="shared" si="107"/>
        <v>0</v>
      </c>
      <c r="AS57" s="480">
        <f t="shared" si="108"/>
        <v>0</v>
      </c>
      <c r="AT57" s="480">
        <f t="shared" si="109"/>
        <v>0</v>
      </c>
      <c r="AU57" s="481">
        <f t="shared" si="110"/>
        <v>0</v>
      </c>
      <c r="AV57" s="493">
        <f t="shared" si="122"/>
        <v>0.43849388849265897</v>
      </c>
      <c r="AW57" s="494">
        <f t="shared" si="123"/>
        <v>0.20516568454886361</v>
      </c>
      <c r="AX57" s="495">
        <f t="shared" si="124"/>
        <v>0</v>
      </c>
      <c r="AY57" s="493">
        <f t="shared" si="125"/>
        <v>80.025134649910257</v>
      </c>
      <c r="AZ57" s="494">
        <f t="shared" si="126"/>
        <v>37.442737430167611</v>
      </c>
      <c r="BA57" s="495">
        <f t="shared" si="127"/>
        <v>0</v>
      </c>
      <c r="BB57" s="563">
        <f t="shared" si="40"/>
        <v>27366.4019383497</v>
      </c>
      <c r="BC57" s="564">
        <f t="shared" si="48"/>
        <v>29244.656645156469</v>
      </c>
      <c r="BD57" s="557" t="s">
        <v>56</v>
      </c>
      <c r="BE57" s="557" t="s">
        <v>56</v>
      </c>
      <c r="BF57" s="557" t="s">
        <v>56</v>
      </c>
      <c r="BG57" s="557" t="s">
        <v>56</v>
      </c>
      <c r="BH57" s="558" t="s">
        <v>56</v>
      </c>
      <c r="BI57" s="516">
        <f t="shared" si="41"/>
        <v>149.95288733342304</v>
      </c>
      <c r="BJ57" s="517">
        <f t="shared" si="42"/>
        <v>160.24469394606282</v>
      </c>
      <c r="BK57" s="557" t="s">
        <v>56</v>
      </c>
      <c r="BL57" s="557" t="s">
        <v>56</v>
      </c>
      <c r="BM57" s="557" t="s">
        <v>56</v>
      </c>
      <c r="BN57" s="557" t="s">
        <v>56</v>
      </c>
      <c r="BO57" s="558" t="s">
        <v>56</v>
      </c>
    </row>
    <row r="59" spans="1:67" ht="18.75">
      <c r="A59" s="458" t="s">
        <v>3138</v>
      </c>
      <c r="B59" s="610"/>
      <c r="C59" s="570"/>
      <c r="D59" s="610"/>
      <c r="E59" s="610"/>
      <c r="F59" s="610"/>
      <c r="G59" s="610"/>
      <c r="H59" s="610"/>
      <c r="I59" s="594"/>
      <c r="J59" s="594"/>
      <c r="K59" s="594"/>
      <c r="L59" s="594"/>
    </row>
    <row r="60" spans="1:67">
      <c r="A60" s="610"/>
      <c r="B60" s="610"/>
      <c r="C60" s="570"/>
      <c r="D60" s="610"/>
      <c r="E60" s="610"/>
      <c r="F60" s="610"/>
      <c r="G60" s="610"/>
      <c r="H60" s="610"/>
      <c r="I60" s="594"/>
      <c r="J60" s="594"/>
      <c r="K60" s="594"/>
      <c r="L60" s="594"/>
    </row>
    <row r="61" spans="1:67">
      <c r="A61" s="811" t="s">
        <v>3139</v>
      </c>
      <c r="B61" s="811"/>
      <c r="C61" s="811"/>
      <c r="D61" s="811"/>
      <c r="E61" s="811"/>
      <c r="F61" s="811"/>
      <c r="G61" s="811"/>
      <c r="H61" s="811"/>
      <c r="I61" s="594"/>
      <c r="J61" s="594"/>
      <c r="K61" s="594"/>
      <c r="L61" s="594"/>
    </row>
    <row r="62" spans="1:67">
      <c r="A62" s="812" t="s">
        <v>3114</v>
      </c>
      <c r="B62" s="812" t="s">
        <v>3140</v>
      </c>
      <c r="C62" s="812"/>
      <c r="D62" s="812"/>
      <c r="E62" s="812"/>
      <c r="F62" s="812"/>
      <c r="G62" s="812"/>
      <c r="H62" s="812"/>
      <c r="I62" s="594"/>
      <c r="J62" s="594"/>
      <c r="K62" s="594"/>
      <c r="L62" s="594"/>
    </row>
    <row r="63" spans="1:67" ht="60">
      <c r="A63" s="812"/>
      <c r="B63" s="342" t="s">
        <v>3115</v>
      </c>
      <c r="C63" s="342" t="s">
        <v>3116</v>
      </c>
      <c r="D63" s="342" t="s">
        <v>3117</v>
      </c>
      <c r="E63" s="342" t="s">
        <v>3118</v>
      </c>
      <c r="F63" s="342" t="s">
        <v>3119</v>
      </c>
      <c r="G63" s="342" t="s">
        <v>3120</v>
      </c>
      <c r="H63" s="342" t="s">
        <v>3121</v>
      </c>
      <c r="I63" s="594"/>
      <c r="J63" s="594"/>
      <c r="K63" s="594"/>
      <c r="L63" s="594"/>
      <c r="P63" s="518"/>
    </row>
    <row r="64" spans="1:67">
      <c r="A64" s="327" t="s">
        <v>3141</v>
      </c>
      <c r="B64" s="591">
        <v>245.8872238302861</v>
      </c>
      <c r="C64" s="591">
        <v>256.98324022346372</v>
      </c>
      <c r="D64" s="591">
        <v>279.92957746478874</v>
      </c>
      <c r="E64" s="591">
        <v>339.62264150943395</v>
      </c>
      <c r="F64" s="591">
        <v>408.60215053763437</v>
      </c>
      <c r="G64" s="591">
        <v>452.38095238095241</v>
      </c>
      <c r="H64" s="591">
        <v>509.57446808510639</v>
      </c>
      <c r="I64" s="594"/>
      <c r="J64" s="594"/>
      <c r="K64" s="594"/>
      <c r="L64" s="594"/>
    </row>
    <row r="65" spans="1:10" ht="30">
      <c r="A65" s="327" t="s">
        <v>3133</v>
      </c>
      <c r="B65" s="591">
        <v>122.94361191514305</v>
      </c>
      <c r="C65" s="591">
        <v>128.49162011173186</v>
      </c>
      <c r="D65" s="591">
        <v>139.96478873239437</v>
      </c>
      <c r="E65" s="591">
        <v>169.81132075471697</v>
      </c>
      <c r="F65" s="591">
        <v>204.30107526881719</v>
      </c>
      <c r="G65" s="591">
        <v>226.1904761904762</v>
      </c>
      <c r="H65" s="591">
        <v>254.78723404255319</v>
      </c>
      <c r="I65" s="594"/>
      <c r="J65" s="594"/>
    </row>
    <row r="66" spans="1:10" ht="30">
      <c r="A66" s="327" t="s">
        <v>3134</v>
      </c>
      <c r="B66" s="591">
        <v>15.753352507969074</v>
      </c>
      <c r="C66" s="591">
        <v>14.909217877094973</v>
      </c>
      <c r="D66" s="591">
        <v>16.37323943661972</v>
      </c>
      <c r="E66" s="591">
        <v>21.069182389937108</v>
      </c>
      <c r="F66" s="591">
        <v>27.419354838709676</v>
      </c>
      <c r="G66" s="591">
        <v>35.019841269841265</v>
      </c>
      <c r="H66" s="591">
        <v>81.941489361702125</v>
      </c>
      <c r="I66" s="594"/>
      <c r="J66" s="594"/>
    </row>
    <row r="67" spans="1:10" ht="30">
      <c r="A67" s="327" t="s">
        <v>3135</v>
      </c>
      <c r="B67" s="591">
        <v>12.387791741472176</v>
      </c>
      <c r="C67" s="591">
        <v>11.592178770949722</v>
      </c>
      <c r="D67" s="591">
        <v>12.67605633802817</v>
      </c>
      <c r="E67" s="591">
        <v>16.037735849056602</v>
      </c>
      <c r="F67" s="591">
        <v>19.892473118279568</v>
      </c>
      <c r="G67" s="591">
        <v>23.015873015873012</v>
      </c>
      <c r="H67" s="591">
        <v>26.914893617021278</v>
      </c>
      <c r="I67" s="594"/>
      <c r="J67" s="594"/>
    </row>
    <row r="68" spans="1:10" ht="30">
      <c r="A68" s="327" t="s">
        <v>3131</v>
      </c>
      <c r="B68" s="591">
        <v>6.193895870736088</v>
      </c>
      <c r="C68" s="591">
        <v>5.7960893854748612</v>
      </c>
      <c r="D68" s="591">
        <v>6.3380281690140849</v>
      </c>
      <c r="E68" s="591">
        <v>8.0188679245283012</v>
      </c>
      <c r="F68" s="591">
        <v>9.9462365591397841</v>
      </c>
      <c r="G68" s="591">
        <v>11.507936507936506</v>
      </c>
      <c r="H68" s="591">
        <v>13.457446808510639</v>
      </c>
      <c r="I68" s="594"/>
      <c r="J68" s="594"/>
    </row>
    <row r="69" spans="1:10" ht="30">
      <c r="A69" s="327" t="s">
        <v>3136</v>
      </c>
      <c r="B69" s="591">
        <v>3.096947935368044</v>
      </c>
      <c r="C69" s="591">
        <v>2.8980446927374306</v>
      </c>
      <c r="D69" s="591">
        <v>3.1690140845070425</v>
      </c>
      <c r="E69" s="591">
        <v>4.0094339622641506</v>
      </c>
      <c r="F69" s="591">
        <v>4.9731182795698921</v>
      </c>
      <c r="G69" s="591">
        <v>5.7539682539682531</v>
      </c>
      <c r="H69" s="591">
        <v>6.7287234042553195</v>
      </c>
      <c r="I69" s="594"/>
      <c r="J69" s="594"/>
    </row>
    <row r="70" spans="1:10" ht="30">
      <c r="A70" s="327" t="s">
        <v>3132</v>
      </c>
      <c r="B70" s="591">
        <v>1.2387791741472176</v>
      </c>
      <c r="C70" s="591">
        <v>1.1592178770949724</v>
      </c>
      <c r="D70" s="591">
        <v>1.267605633802817</v>
      </c>
      <c r="E70" s="591">
        <v>1.6037735849056602</v>
      </c>
      <c r="F70" s="591">
        <v>1.989247311827957</v>
      </c>
      <c r="G70" s="591">
        <v>2.3015873015873014</v>
      </c>
      <c r="H70" s="591">
        <v>2.691489361702128</v>
      </c>
      <c r="I70" s="594"/>
      <c r="J70" s="594"/>
    </row>
    <row r="71" spans="1:10">
      <c r="A71" s="569"/>
      <c r="B71" s="335"/>
      <c r="C71" s="335"/>
      <c r="D71" s="335"/>
      <c r="E71" s="335"/>
      <c r="F71" s="335"/>
      <c r="G71" s="594"/>
      <c r="H71" s="594"/>
      <c r="I71" s="594"/>
      <c r="J71" s="594"/>
    </row>
    <row r="72" spans="1:10">
      <c r="A72" s="807" t="s">
        <v>3142</v>
      </c>
      <c r="B72" s="807"/>
      <c r="C72" s="807"/>
      <c r="D72" s="335"/>
      <c r="E72" s="519" t="s">
        <v>3143</v>
      </c>
      <c r="F72" s="520"/>
      <c r="G72" s="520"/>
      <c r="H72" s="521"/>
      <c r="I72" s="522"/>
      <c r="J72" s="522"/>
    </row>
    <row r="73" spans="1:10">
      <c r="A73" s="523" t="s">
        <v>3144</v>
      </c>
      <c r="B73" s="812" t="s">
        <v>3145</v>
      </c>
      <c r="C73" s="812"/>
      <c r="D73" s="335"/>
      <c r="E73" s="245">
        <v>1.1129999999999999E-4</v>
      </c>
      <c r="F73" s="10" t="s">
        <v>2956</v>
      </c>
      <c r="G73" s="594"/>
      <c r="H73" s="594"/>
      <c r="I73" s="522"/>
      <c r="J73" s="522"/>
    </row>
    <row r="74" spans="1:10">
      <c r="A74" s="10" t="s">
        <v>2956</v>
      </c>
      <c r="B74" s="806">
        <v>3.2300000000000002E-2</v>
      </c>
      <c r="C74" s="806"/>
      <c r="D74" s="335"/>
      <c r="E74" s="524"/>
      <c r="F74" s="524"/>
      <c r="G74" s="525"/>
      <c r="H74" s="525"/>
      <c r="I74" s="522"/>
      <c r="J74" s="522"/>
    </row>
    <row r="75" spans="1:10">
      <c r="A75" s="210"/>
      <c r="B75" s="806"/>
      <c r="C75" s="806"/>
      <c r="D75" s="610"/>
      <c r="E75" s="526"/>
      <c r="F75" s="526"/>
      <c r="G75" s="526"/>
      <c r="H75" s="526"/>
      <c r="I75" s="522"/>
      <c r="J75" s="522"/>
    </row>
    <row r="76" spans="1:10" ht="15.75">
      <c r="A76" s="210"/>
      <c r="B76" s="806"/>
      <c r="C76" s="806"/>
      <c r="D76" s="610"/>
      <c r="E76" s="527"/>
      <c r="F76" s="528"/>
      <c r="G76" s="528"/>
      <c r="H76" s="529"/>
      <c r="I76" s="530"/>
      <c r="J76" s="522"/>
    </row>
    <row r="80" spans="1:10">
      <c r="E80" s="531"/>
      <c r="F80" s="532"/>
      <c r="G80" s="533"/>
      <c r="H80" s="594"/>
      <c r="I80" s="594"/>
      <c r="J80" s="594"/>
    </row>
    <row r="81" spans="7:12">
      <c r="G81" s="533"/>
      <c r="H81" s="594"/>
      <c r="I81" s="594"/>
      <c r="J81" s="594"/>
      <c r="K81" s="594"/>
      <c r="L81" s="594"/>
    </row>
  </sheetData>
  <sheetProtection sheet="1" formatCells="0" formatColumns="0" formatRows="0" sort="0" autoFilter="0"/>
  <mergeCells count="59">
    <mergeCell ref="BI2:BO2"/>
    <mergeCell ref="BB1:BO1"/>
    <mergeCell ref="AO2:AU2"/>
    <mergeCell ref="A4:A6"/>
    <mergeCell ref="BB2:BH2"/>
    <mergeCell ref="AY2:BA2"/>
    <mergeCell ref="A22:A24"/>
    <mergeCell ref="C22:C24"/>
    <mergeCell ref="C19:C21"/>
    <mergeCell ref="C4:C6"/>
    <mergeCell ref="C7:C9"/>
    <mergeCell ref="C10:C12"/>
    <mergeCell ref="C13:C15"/>
    <mergeCell ref="C16:C18"/>
    <mergeCell ref="A19:A21"/>
    <mergeCell ref="A7:A9"/>
    <mergeCell ref="A25:A27"/>
    <mergeCell ref="A2:A3"/>
    <mergeCell ref="AV2:AX2"/>
    <mergeCell ref="AH2:AN2"/>
    <mergeCell ref="A28:A30"/>
    <mergeCell ref="C28:C30"/>
    <mergeCell ref="A16:A18"/>
    <mergeCell ref="G2:L2"/>
    <mergeCell ref="M2:S2"/>
    <mergeCell ref="B2:B3"/>
    <mergeCell ref="C2:C3"/>
    <mergeCell ref="D2:F2"/>
    <mergeCell ref="T2:Z2"/>
    <mergeCell ref="AA2:AG2"/>
    <mergeCell ref="A10:A12"/>
    <mergeCell ref="A13:A15"/>
    <mergeCell ref="B76:C76"/>
    <mergeCell ref="A72:C72"/>
    <mergeCell ref="C25:C27"/>
    <mergeCell ref="C37:C39"/>
    <mergeCell ref="C40:C42"/>
    <mergeCell ref="C43:C45"/>
    <mergeCell ref="A61:H61"/>
    <mergeCell ref="A62:A63"/>
    <mergeCell ref="B62:H62"/>
    <mergeCell ref="B73:C73"/>
    <mergeCell ref="B74:C74"/>
    <mergeCell ref="B75:C75"/>
    <mergeCell ref="A40:A42"/>
    <mergeCell ref="A55:A57"/>
    <mergeCell ref="A43:A45"/>
    <mergeCell ref="A37:A39"/>
    <mergeCell ref="C34:C36"/>
    <mergeCell ref="C55:C57"/>
    <mergeCell ref="C31:C33"/>
    <mergeCell ref="A31:A33"/>
    <mergeCell ref="A34:A36"/>
    <mergeCell ref="A52:A54"/>
    <mergeCell ref="C52:C54"/>
    <mergeCell ref="A46:A48"/>
    <mergeCell ref="C46:C48"/>
    <mergeCell ref="A49:A51"/>
    <mergeCell ref="C49:C51"/>
  </mergeCells>
  <conditionalFormatting sqref="M4:BA57">
    <cfRule type="cellIs" dxfId="1" priority="12" operator="equal">
      <formula>0</formula>
    </cfRule>
  </conditionalFormatting>
  <conditionalFormatting sqref="BB4:BO57">
    <cfRule type="cellIs" dxfId="0" priority="1" operator="lessThan">
      <formula>30</formula>
    </cfRule>
  </conditionalFormatting>
  <dataValidations count="1">
    <dataValidation type="list" allowBlank="1" showInputMessage="1" showErrorMessage="1" sqref="L4:L57" xr:uid="{2F9F0C2D-25DB-4062-9353-96BAF2093BD7}">
      <formula1>$A$64:$A$70</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BFBE-9C38-4981-885C-C306787D06B7}">
  <sheetPr codeName="Sheet16"/>
  <dimension ref="A1:X165"/>
  <sheetViews>
    <sheetView zoomScale="108" workbookViewId="0"/>
  </sheetViews>
  <sheetFormatPr defaultColWidth="8.7109375" defaultRowHeight="15"/>
  <cols>
    <col min="1" max="9" width="8.7109375" style="10"/>
    <col min="10" max="10" width="3.140625" style="10" customWidth="1"/>
    <col min="11" max="17" width="12.5703125" style="10" customWidth="1"/>
    <col min="18" max="18" width="13" style="10" customWidth="1"/>
    <col min="19" max="19" width="25.85546875" style="10" customWidth="1"/>
    <col min="20" max="25" width="12.5703125" style="10" customWidth="1"/>
    <col min="26" max="16384" width="8.7109375" style="10"/>
  </cols>
  <sheetData>
    <row r="1" spans="1:14" s="535" customFormat="1" ht="18.75">
      <c r="A1" s="534" t="s">
        <v>3146</v>
      </c>
    </row>
    <row r="2" spans="1:14">
      <c r="A2" s="10" t="s">
        <v>2713</v>
      </c>
      <c r="L2" s="10" t="s">
        <v>3147</v>
      </c>
    </row>
    <row r="3" spans="1:14" ht="42" customHeight="1">
      <c r="A3" s="571" t="s">
        <v>3148</v>
      </c>
      <c r="B3" s="614" t="s">
        <v>3149</v>
      </c>
      <c r="C3" s="614" t="s">
        <v>3150</v>
      </c>
      <c r="D3" s="614" t="s">
        <v>3151</v>
      </c>
      <c r="E3" s="614" t="s">
        <v>3152</v>
      </c>
      <c r="F3" s="614" t="s">
        <v>3153</v>
      </c>
      <c r="L3" s="594" t="s">
        <v>3154</v>
      </c>
      <c r="M3" s="594" t="s">
        <v>3155</v>
      </c>
      <c r="N3" s="594" t="s">
        <v>597</v>
      </c>
    </row>
    <row r="4" spans="1:14">
      <c r="A4" s="10" t="s">
        <v>3156</v>
      </c>
      <c r="B4" s="10">
        <v>100</v>
      </c>
      <c r="C4" s="10">
        <v>6.4</v>
      </c>
      <c r="D4" s="10">
        <v>4.8</v>
      </c>
      <c r="E4" s="10">
        <v>11</v>
      </c>
      <c r="F4" s="10">
        <v>75</v>
      </c>
      <c r="L4" s="594">
        <v>0.44</v>
      </c>
      <c r="M4" s="594">
        <f>AVERAGE(L4, N4)</f>
        <v>1.42</v>
      </c>
      <c r="N4" s="594">
        <v>2.4</v>
      </c>
    </row>
    <row r="28" spans="1:16" s="535" customFormat="1" ht="18.75">
      <c r="A28" s="534" t="s">
        <v>3157</v>
      </c>
    </row>
    <row r="29" spans="1:16" ht="15.75" thickBot="1">
      <c r="A29" s="10" t="s">
        <v>3158</v>
      </c>
    </row>
    <row r="30" spans="1:16" ht="15.75" thickBot="1">
      <c r="A30" s="45"/>
      <c r="B30" s="46"/>
      <c r="C30" s="46"/>
      <c r="D30" s="46"/>
      <c r="E30" s="46"/>
      <c r="F30" s="46"/>
      <c r="G30" s="46"/>
      <c r="H30" s="46"/>
      <c r="I30" s="47"/>
    </row>
    <row r="31" spans="1:16">
      <c r="A31" s="50"/>
      <c r="I31" s="49"/>
      <c r="J31" s="536"/>
      <c r="K31" s="537" t="s">
        <v>3159</v>
      </c>
      <c r="L31" s="537"/>
      <c r="M31" s="537"/>
      <c r="N31" s="537"/>
      <c r="O31" s="46"/>
      <c r="P31" s="47"/>
    </row>
    <row r="32" spans="1:16" ht="27.95" customHeight="1">
      <c r="A32" s="50"/>
      <c r="I32" s="49"/>
      <c r="J32" s="50"/>
      <c r="L32" s="594" t="s">
        <v>3160</v>
      </c>
      <c r="M32" s="594" t="s">
        <v>3161</v>
      </c>
      <c r="N32" s="594" t="s">
        <v>3162</v>
      </c>
      <c r="O32" s="594" t="s">
        <v>3163</v>
      </c>
      <c r="P32" s="63" t="s">
        <v>3164</v>
      </c>
    </row>
    <row r="33" spans="1:16" ht="32.25">
      <c r="A33" s="50"/>
      <c r="I33" s="49"/>
      <c r="J33" s="50"/>
      <c r="K33" s="614" t="s">
        <v>3165</v>
      </c>
      <c r="L33" s="594">
        <f>3.7*10^-2</f>
        <v>3.7000000000000005E-2</v>
      </c>
      <c r="M33" s="594">
        <f>4.2*10^-2</f>
        <v>4.2000000000000003E-2</v>
      </c>
      <c r="N33" s="594">
        <f>4.9*10^-2</f>
        <v>4.9000000000000002E-2</v>
      </c>
      <c r="O33" s="594">
        <f>4.9*10^-2</f>
        <v>4.9000000000000002E-2</v>
      </c>
      <c r="P33" s="63">
        <f>AVERAGE(5,4.9,5.2,5.3,4.7)*10^-2</f>
        <v>5.0200000000000009E-2</v>
      </c>
    </row>
    <row r="34" spans="1:16" ht="32.25">
      <c r="A34" s="50"/>
      <c r="I34" s="49"/>
      <c r="J34" s="50"/>
      <c r="K34" s="614" t="s">
        <v>3166</v>
      </c>
      <c r="L34" s="594">
        <f>L33*60</f>
        <v>2.2200000000000002</v>
      </c>
      <c r="M34" s="594">
        <f>M33*60</f>
        <v>2.52</v>
      </c>
      <c r="N34" s="594">
        <f>N33*60</f>
        <v>2.94</v>
      </c>
      <c r="O34" s="594">
        <f>O33*60</f>
        <v>2.94</v>
      </c>
      <c r="P34" s="63">
        <f>P33*60</f>
        <v>3.0120000000000005</v>
      </c>
    </row>
    <row r="35" spans="1:16">
      <c r="A35" s="50"/>
      <c r="I35" s="49"/>
      <c r="J35" s="50"/>
      <c r="K35" s="594"/>
      <c r="P35" s="49"/>
    </row>
    <row r="36" spans="1:16">
      <c r="A36" s="50"/>
      <c r="I36" s="49"/>
      <c r="J36" s="50"/>
      <c r="K36" s="594"/>
      <c r="P36" s="49"/>
    </row>
    <row r="37" spans="1:16" ht="15.75" thickBot="1">
      <c r="A37" s="50"/>
      <c r="I37" s="49"/>
      <c r="J37" s="538"/>
      <c r="K37" s="539"/>
      <c r="L37" s="96"/>
      <c r="M37" s="96"/>
      <c r="N37" s="96"/>
      <c r="O37" s="96"/>
      <c r="P37" s="97"/>
    </row>
    <row r="38" spans="1:16">
      <c r="A38" s="50"/>
      <c r="I38" s="49"/>
    </row>
    <row r="39" spans="1:16">
      <c r="A39" s="50"/>
      <c r="I39" s="49"/>
    </row>
    <row r="40" spans="1:16">
      <c r="A40" s="50"/>
      <c r="I40" s="49"/>
    </row>
    <row r="41" spans="1:16">
      <c r="A41" s="50"/>
      <c r="I41" s="49"/>
    </row>
    <row r="42" spans="1:16">
      <c r="A42" s="50"/>
      <c r="I42" s="49"/>
    </row>
    <row r="43" spans="1:16">
      <c r="A43" s="50"/>
      <c r="I43" s="49"/>
    </row>
    <row r="44" spans="1:16">
      <c r="A44" s="50"/>
      <c r="I44" s="49"/>
    </row>
    <row r="45" spans="1:16">
      <c r="A45" s="50"/>
      <c r="I45" s="49"/>
    </row>
    <row r="46" spans="1:16">
      <c r="A46" s="50"/>
      <c r="I46" s="49"/>
    </row>
    <row r="47" spans="1:16">
      <c r="A47" s="50"/>
      <c r="I47" s="49"/>
    </row>
    <row r="48" spans="1:16">
      <c r="A48" s="50"/>
      <c r="I48" s="49"/>
    </row>
    <row r="49" spans="1:24">
      <c r="A49" s="50"/>
      <c r="I49" s="49"/>
    </row>
    <row r="50" spans="1:24" ht="15.75" thickBot="1">
      <c r="A50" s="538"/>
      <c r="B50" s="96"/>
      <c r="C50" s="96"/>
      <c r="D50" s="96"/>
      <c r="E50" s="96"/>
      <c r="F50" s="96"/>
      <c r="G50" s="96"/>
      <c r="H50" s="96"/>
      <c r="I50" s="97"/>
    </row>
    <row r="51" spans="1:24" s="535" customFormat="1" ht="18.75">
      <c r="A51" s="534" t="s">
        <v>3167</v>
      </c>
    </row>
    <row r="52" spans="1:24">
      <c r="A52" s="10" t="s">
        <v>3168</v>
      </c>
    </row>
    <row r="53" spans="1:24" ht="15.75" thickBot="1"/>
    <row r="54" spans="1:24">
      <c r="S54" s="45"/>
      <c r="T54" s="540" t="s">
        <v>3160</v>
      </c>
      <c r="U54" s="540" t="s">
        <v>3161</v>
      </c>
      <c r="V54" s="540" t="s">
        <v>3162</v>
      </c>
      <c r="W54" s="540" t="s">
        <v>3163</v>
      </c>
      <c r="X54" s="541" t="s">
        <v>3164</v>
      </c>
    </row>
    <row r="55" spans="1:24">
      <c r="S55" s="50" t="s">
        <v>3169</v>
      </c>
      <c r="T55" s="594">
        <v>1</v>
      </c>
      <c r="U55" s="594">
        <v>1</v>
      </c>
      <c r="V55" s="594">
        <v>3</v>
      </c>
      <c r="W55" s="594">
        <v>2</v>
      </c>
      <c r="X55" s="63">
        <v>2</v>
      </c>
    </row>
    <row r="56" spans="1:24" ht="17.25">
      <c r="S56" s="50" t="s">
        <v>3170</v>
      </c>
      <c r="T56" s="594">
        <v>78</v>
      </c>
      <c r="U56" s="594">
        <v>78</v>
      </c>
      <c r="V56" s="594">
        <v>138</v>
      </c>
      <c r="W56" s="594">
        <v>138</v>
      </c>
      <c r="X56" s="63">
        <v>78</v>
      </c>
    </row>
    <row r="57" spans="1:24" ht="18" thickBot="1">
      <c r="S57" s="538" t="s">
        <v>3171</v>
      </c>
      <c r="T57" s="539">
        <v>1</v>
      </c>
      <c r="U57" s="539">
        <v>1</v>
      </c>
      <c r="V57" s="539">
        <v>1</v>
      </c>
      <c r="W57" s="539">
        <v>1</v>
      </c>
      <c r="X57" s="542">
        <v>1</v>
      </c>
    </row>
    <row r="58" spans="1:24">
      <c r="T58" s="594"/>
      <c r="U58" s="594"/>
      <c r="V58" s="594"/>
      <c r="W58" s="594"/>
      <c r="X58" s="594"/>
    </row>
    <row r="68" spans="1:21" s="534" customFormat="1" ht="18.75">
      <c r="A68" s="534" t="s">
        <v>3172</v>
      </c>
    </row>
    <row r="69" spans="1:21">
      <c r="A69" s="10" t="s">
        <v>3168</v>
      </c>
    </row>
    <row r="72" spans="1:21" ht="15.75" thickBot="1">
      <c r="T72" s="571"/>
    </row>
    <row r="73" spans="1:21" ht="30">
      <c r="S73" s="543" t="s">
        <v>3173</v>
      </c>
      <c r="T73" s="613" t="s">
        <v>3172</v>
      </c>
      <c r="U73" s="594"/>
    </row>
    <row r="74" spans="1:21">
      <c r="S74" s="544" t="s">
        <v>3174</v>
      </c>
      <c r="T74" s="63">
        <v>0.5</v>
      </c>
      <c r="U74" s="594"/>
    </row>
    <row r="75" spans="1:21">
      <c r="S75" s="544" t="s">
        <v>2617</v>
      </c>
      <c r="T75" s="63">
        <v>0.1</v>
      </c>
      <c r="U75" s="594"/>
    </row>
    <row r="76" spans="1:21" ht="15.75" thickBot="1">
      <c r="S76" s="545" t="s">
        <v>2912</v>
      </c>
      <c r="T76" s="542">
        <v>0.7</v>
      </c>
      <c r="U76" s="594"/>
    </row>
    <row r="77" spans="1:21">
      <c r="S77" s="594"/>
      <c r="T77" s="594"/>
      <c r="U77" s="594"/>
    </row>
    <row r="78" spans="1:21">
      <c r="S78" s="594"/>
      <c r="T78" s="594"/>
      <c r="U78" s="594"/>
    </row>
    <row r="79" spans="1:21">
      <c r="S79" s="594"/>
      <c r="T79" s="594"/>
      <c r="U79" s="594"/>
    </row>
    <row r="80" spans="1:21">
      <c r="S80" s="594"/>
      <c r="T80" s="594"/>
      <c r="U80" s="594"/>
    </row>
    <row r="81" spans="1:21">
      <c r="S81" s="594"/>
      <c r="T81" s="594"/>
      <c r="U81" s="594"/>
    </row>
    <row r="82" spans="1:21">
      <c r="S82" s="594"/>
      <c r="T82" s="594"/>
      <c r="U82" s="594"/>
    </row>
    <row r="84" spans="1:21" s="535" customFormat="1" ht="18.75">
      <c r="A84" s="836" t="s">
        <v>3175</v>
      </c>
      <c r="B84" s="837"/>
      <c r="C84" s="837"/>
      <c r="D84" s="837"/>
      <c r="E84" s="837"/>
      <c r="F84" s="837"/>
      <c r="G84" s="837"/>
    </row>
    <row r="85" spans="1:21">
      <c r="A85" s="838" t="s">
        <v>3176</v>
      </c>
      <c r="B85" s="838"/>
      <c r="C85" s="838"/>
      <c r="D85" s="838"/>
      <c r="E85" s="838"/>
      <c r="F85" s="838"/>
      <c r="G85" s="838"/>
    </row>
    <row r="86" spans="1:21">
      <c r="A86" s="594" t="s">
        <v>3177</v>
      </c>
      <c r="B86" s="570" t="s">
        <v>3178</v>
      </c>
      <c r="C86" s="570" t="s">
        <v>3179</v>
      </c>
      <c r="D86" s="570" t="s">
        <v>3180</v>
      </c>
      <c r="E86" s="570" t="s">
        <v>3181</v>
      </c>
      <c r="F86" s="570" t="s">
        <v>3182</v>
      </c>
      <c r="G86" s="570" t="s">
        <v>3106</v>
      </c>
    </row>
    <row r="87" spans="1:21">
      <c r="A87" s="335">
        <v>7.8</v>
      </c>
      <c r="B87" s="335">
        <v>12.6</v>
      </c>
      <c r="C87" s="335">
        <v>18.600000000000001</v>
      </c>
      <c r="D87" s="335">
        <v>31.8</v>
      </c>
      <c r="E87" s="335">
        <v>56.8</v>
      </c>
      <c r="F87" s="335">
        <v>71.599999999999994</v>
      </c>
      <c r="G87" s="335">
        <v>80</v>
      </c>
    </row>
    <row r="89" spans="1:21" s="535" customFormat="1" ht="18.75">
      <c r="A89" s="836" t="s">
        <v>3183</v>
      </c>
      <c r="B89" s="837"/>
      <c r="C89" s="837"/>
      <c r="D89" s="837"/>
      <c r="E89" s="837"/>
      <c r="F89" s="837"/>
      <c r="G89" s="837"/>
    </row>
    <row r="91" spans="1:21" ht="15.75" thickBot="1"/>
    <row r="92" spans="1:21">
      <c r="O92" s="45"/>
      <c r="P92" s="540" t="s">
        <v>3160</v>
      </c>
      <c r="Q92" s="540" t="s">
        <v>3161</v>
      </c>
      <c r="R92" s="540" t="s">
        <v>3162</v>
      </c>
      <c r="S92" s="540" t="s">
        <v>3163</v>
      </c>
      <c r="T92" s="541" t="s">
        <v>3164</v>
      </c>
    </row>
    <row r="93" spans="1:21">
      <c r="O93" s="544" t="s">
        <v>3184</v>
      </c>
      <c r="P93" s="594">
        <v>80</v>
      </c>
      <c r="Q93" s="594">
        <v>60</v>
      </c>
      <c r="R93" s="594">
        <v>60</v>
      </c>
      <c r="S93" s="594">
        <v>30</v>
      </c>
      <c r="T93" s="63">
        <v>30</v>
      </c>
    </row>
    <row r="94" spans="1:21" ht="15.75" thickBot="1">
      <c r="O94" s="545" t="s">
        <v>3185</v>
      </c>
      <c r="P94" s="539">
        <f>P93/1000</f>
        <v>0.08</v>
      </c>
      <c r="Q94" s="539">
        <f t="shared" ref="Q94:T94" si="0">Q93/1000</f>
        <v>0.06</v>
      </c>
      <c r="R94" s="539">
        <f t="shared" si="0"/>
        <v>0.06</v>
      </c>
      <c r="S94" s="539">
        <f t="shared" si="0"/>
        <v>0.03</v>
      </c>
      <c r="T94" s="542">
        <f t="shared" si="0"/>
        <v>0.03</v>
      </c>
    </row>
    <row r="111" spans="1:19" s="535" customFormat="1" ht="18.75">
      <c r="A111" s="836" t="s">
        <v>3186</v>
      </c>
      <c r="B111" s="837"/>
      <c r="C111" s="837"/>
      <c r="D111" s="837"/>
      <c r="E111" s="837"/>
      <c r="F111" s="837"/>
      <c r="G111" s="837"/>
    </row>
    <row r="112" spans="1:19" ht="18.75">
      <c r="A112" s="10" t="s">
        <v>3187</v>
      </c>
      <c r="B112" s="546"/>
      <c r="C112" s="546"/>
      <c r="D112" s="546"/>
      <c r="E112" s="546"/>
      <c r="F112" s="546"/>
      <c r="G112" s="546"/>
      <c r="M112" s="622" t="s">
        <v>3188</v>
      </c>
      <c r="N112" s="622"/>
      <c r="O112" s="622"/>
      <c r="P112" s="622"/>
      <c r="Q112" s="622"/>
      <c r="R112" s="622"/>
      <c r="S112" s="622"/>
    </row>
    <row r="113" spans="1:24">
      <c r="A113" s="10" t="s">
        <v>3189</v>
      </c>
      <c r="M113" s="622"/>
      <c r="N113" s="622"/>
      <c r="O113" s="622"/>
      <c r="P113" s="622"/>
      <c r="Q113" s="622"/>
      <c r="R113" s="622"/>
      <c r="S113" s="622"/>
    </row>
    <row r="114" spans="1:24">
      <c r="M114" s="839"/>
      <c r="N114" s="839"/>
      <c r="O114" s="839"/>
      <c r="P114" s="839"/>
      <c r="Q114" s="839"/>
      <c r="R114" s="839"/>
      <c r="S114" s="839"/>
    </row>
    <row r="115" spans="1:24">
      <c r="M115" s="839"/>
      <c r="N115" s="839"/>
      <c r="O115" s="839"/>
      <c r="P115" s="839"/>
      <c r="Q115" s="839"/>
      <c r="R115" s="839"/>
      <c r="S115" s="839"/>
    </row>
    <row r="117" spans="1:24">
      <c r="M117" s="10" t="s">
        <v>3190</v>
      </c>
    </row>
    <row r="118" spans="1:24">
      <c r="N118" s="547" t="s">
        <v>3191</v>
      </c>
      <c r="O118" s="547"/>
      <c r="P118" s="547"/>
      <c r="Q118" s="547"/>
      <c r="R118" s="547"/>
    </row>
    <row r="119" spans="1:24">
      <c r="M119" s="594"/>
      <c r="O119" s="594" t="s">
        <v>3192</v>
      </c>
      <c r="P119" s="594" t="s">
        <v>3193</v>
      </c>
      <c r="Q119" s="594" t="s">
        <v>3194</v>
      </c>
      <c r="R119" s="594" t="s">
        <v>3195</v>
      </c>
      <c r="S119" s="594"/>
    </row>
    <row r="120" spans="1:24">
      <c r="N120" s="10" t="s">
        <v>3196</v>
      </c>
      <c r="O120" s="594">
        <v>0.11</v>
      </c>
      <c r="P120" s="594">
        <v>8.3000000000000001E-3</v>
      </c>
      <c r="Q120" s="594">
        <v>5.5E-2</v>
      </c>
      <c r="R120" s="594">
        <v>2.1999999999999999E-2</v>
      </c>
      <c r="S120" s="594"/>
    </row>
    <row r="121" spans="1:24">
      <c r="M121" s="594" t="s">
        <v>3197</v>
      </c>
      <c r="N121" s="10" t="s">
        <v>3198</v>
      </c>
      <c r="O121" s="594">
        <v>3.5000000000000003E-2</v>
      </c>
      <c r="P121" s="594">
        <v>4.3E-3</v>
      </c>
      <c r="Q121" s="594">
        <v>1.4E-2</v>
      </c>
      <c r="R121" s="594">
        <v>1.6E-2</v>
      </c>
      <c r="S121" s="594"/>
    </row>
    <row r="122" spans="1:24">
      <c r="N122" s="10" t="s">
        <v>3199</v>
      </c>
      <c r="O122" s="594">
        <v>1.0999999999999999E-2</v>
      </c>
      <c r="P122" s="594">
        <v>2.2000000000000001E-3</v>
      </c>
      <c r="Q122" s="594">
        <v>3.3999999999999998E-3</v>
      </c>
      <c r="R122" s="594">
        <v>1.0999999999999999E-2</v>
      </c>
      <c r="S122" s="594"/>
    </row>
    <row r="123" spans="1:24">
      <c r="M123" s="594"/>
      <c r="O123" s="594"/>
      <c r="P123" s="594"/>
      <c r="Q123" s="594"/>
      <c r="R123" s="594"/>
      <c r="S123" s="594"/>
    </row>
    <row r="124" spans="1:24">
      <c r="M124" s="594"/>
      <c r="N124" s="10" t="s">
        <v>3196</v>
      </c>
      <c r="O124" s="594">
        <v>2.8000000000000001E-2</v>
      </c>
      <c r="P124" s="594">
        <v>6.0000000000000001E-3</v>
      </c>
      <c r="Q124" s="594">
        <v>1.2999999999999999E-2</v>
      </c>
      <c r="R124" s="594">
        <v>1.2E-2</v>
      </c>
      <c r="S124" s="594"/>
    </row>
    <row r="125" spans="1:24">
      <c r="M125" s="594" t="s">
        <v>3200</v>
      </c>
      <c r="N125" s="10" t="s">
        <v>3198</v>
      </c>
      <c r="O125" s="594">
        <v>1.9E-2</v>
      </c>
      <c r="P125" s="594">
        <v>2.8999999999999998E-3</v>
      </c>
      <c r="Q125" s="594">
        <v>8.0999999999999996E-3</v>
      </c>
      <c r="R125" s="594">
        <v>1.2E-2</v>
      </c>
      <c r="S125" s="594"/>
    </row>
    <row r="126" spans="1:24">
      <c r="N126" s="10" t="s">
        <v>3199</v>
      </c>
      <c r="O126" s="594">
        <v>1.2999999999999999E-2</v>
      </c>
      <c r="P126" s="594">
        <v>1.4E-3</v>
      </c>
      <c r="Q126" s="594">
        <v>5.1999999999999998E-3</v>
      </c>
      <c r="R126" s="594">
        <v>7.7999999999999996E-3</v>
      </c>
    </row>
    <row r="127" spans="1:24" ht="15.75" thickBot="1">
      <c r="O127" s="594"/>
      <c r="P127" s="594"/>
      <c r="Q127" s="594"/>
      <c r="R127" s="594"/>
      <c r="T127" s="834" t="s">
        <v>3201</v>
      </c>
      <c r="U127" s="834"/>
      <c r="V127" s="834"/>
      <c r="W127" s="834"/>
      <c r="X127" s="834"/>
    </row>
    <row r="128" spans="1:24">
      <c r="T128" s="540" t="s">
        <v>3160</v>
      </c>
      <c r="U128" s="540" t="s">
        <v>3161</v>
      </c>
      <c r="V128" s="540" t="s">
        <v>3162</v>
      </c>
      <c r="W128" s="540" t="s">
        <v>3163</v>
      </c>
      <c r="X128" s="541" t="s">
        <v>3164</v>
      </c>
    </row>
    <row r="129" spans="1:24">
      <c r="M129" s="594" t="s">
        <v>3202</v>
      </c>
      <c r="N129" s="594"/>
      <c r="O129" s="594" t="s">
        <v>3192</v>
      </c>
      <c r="P129" s="594" t="s">
        <v>3193</v>
      </c>
      <c r="Q129" s="594" t="s">
        <v>3194</v>
      </c>
      <c r="R129" s="594" t="s">
        <v>3195</v>
      </c>
      <c r="S129" s="51" t="s">
        <v>597</v>
      </c>
      <c r="T129" s="10">
        <f>($O130*K$160+$P130*K$159+$Q130*K$161+K$158*$R130)/K$163</f>
        <v>4.4435553837158852E-2</v>
      </c>
      <c r="U129" s="10">
        <f t="shared" ref="U129:X131" si="1">($O130*L$160+$P130*L$159+$Q130*L$161+L$158*$R130)/L$163</f>
        <v>4.5150288570238596E-2</v>
      </c>
      <c r="V129" s="10">
        <f t="shared" si="1"/>
        <v>4.4963877681036317E-2</v>
      </c>
      <c r="W129" s="10">
        <f t="shared" si="1"/>
        <v>4.4692711024651208E-2</v>
      </c>
      <c r="X129" s="10">
        <f t="shared" si="1"/>
        <v>4.6421851094187824E-2</v>
      </c>
    </row>
    <row r="130" spans="1:24">
      <c r="M130" s="594"/>
      <c r="N130" s="594" t="s">
        <v>597</v>
      </c>
      <c r="O130" s="594">
        <f>MAX(O120,O124)</f>
        <v>0.11</v>
      </c>
      <c r="P130" s="594">
        <f t="shared" ref="P130:R130" si="2">MAX(P120,P124)</f>
        <v>8.3000000000000001E-3</v>
      </c>
      <c r="Q130" s="594">
        <f t="shared" si="2"/>
        <v>5.5E-2</v>
      </c>
      <c r="R130" s="594">
        <f t="shared" si="2"/>
        <v>2.1999999999999999E-2</v>
      </c>
      <c r="S130" s="51" t="s">
        <v>3203</v>
      </c>
      <c r="T130" s="10">
        <f t="shared" ref="T130:T131" si="3">($O131*K$160+$P131*K$159+$Q131*K$161+K$158*$R131)/K$163</f>
        <v>1.1386922162916579E-2</v>
      </c>
      <c r="U130" s="10">
        <f t="shared" si="1"/>
        <v>1.1254810495626825E-2</v>
      </c>
      <c r="V130" s="10">
        <f t="shared" si="1"/>
        <v>1.1020208112125719E-2</v>
      </c>
      <c r="W130" s="10">
        <f t="shared" si="1"/>
        <v>1.0946320556855835E-2</v>
      </c>
      <c r="X130" s="10">
        <f t="shared" si="1"/>
        <v>1.136357979061732E-2</v>
      </c>
    </row>
    <row r="131" spans="1:24">
      <c r="M131" s="594"/>
      <c r="N131" s="594" t="s">
        <v>3203</v>
      </c>
      <c r="O131" s="594">
        <f>AVERAGE(O121,O125)</f>
        <v>2.7000000000000003E-2</v>
      </c>
      <c r="P131" s="594">
        <f t="shared" ref="P131:R131" si="4">AVERAGE(P121,P125)</f>
        <v>3.5999999999999999E-3</v>
      </c>
      <c r="Q131" s="594">
        <f t="shared" si="4"/>
        <v>1.1050000000000001E-2</v>
      </c>
      <c r="R131" s="594">
        <f t="shared" si="4"/>
        <v>1.4E-2</v>
      </c>
      <c r="S131" s="51" t="s">
        <v>3154</v>
      </c>
      <c r="T131" s="10">
        <f t="shared" si="3"/>
        <v>4.407532864336771E-3</v>
      </c>
      <c r="U131" s="10">
        <f t="shared" si="1"/>
        <v>4.2628071636817994E-3</v>
      </c>
      <c r="V131" s="10">
        <f t="shared" si="1"/>
        <v>4.1084136759396905E-3</v>
      </c>
      <c r="W131" s="10">
        <f t="shared" si="1"/>
        <v>4.0753883096750661E-3</v>
      </c>
      <c r="X131" s="10">
        <f t="shared" si="1"/>
        <v>4.2500799367382377E-3</v>
      </c>
    </row>
    <row r="132" spans="1:24">
      <c r="M132" s="594"/>
      <c r="N132" s="594" t="s">
        <v>3154</v>
      </c>
      <c r="O132" s="594">
        <f>MIN(O122,O126)</f>
        <v>1.0999999999999999E-2</v>
      </c>
      <c r="P132" s="594">
        <f t="shared" ref="P132:R132" si="5">MIN(P122,P126)</f>
        <v>1.4E-3</v>
      </c>
      <c r="Q132" s="594">
        <f t="shared" si="5"/>
        <v>3.3999999999999998E-3</v>
      </c>
      <c r="R132" s="594">
        <f t="shared" si="5"/>
        <v>7.7999999999999996E-3</v>
      </c>
    </row>
    <row r="134" spans="1:24" s="535" customFormat="1" ht="18.75">
      <c r="A134" s="840" t="s">
        <v>3204</v>
      </c>
      <c r="B134" s="841"/>
      <c r="C134" s="841"/>
      <c r="D134" s="841"/>
      <c r="E134" s="841"/>
      <c r="F134" s="841"/>
      <c r="G134" s="841"/>
      <c r="H134" s="839"/>
      <c r="I134" s="839"/>
    </row>
    <row r="135" spans="1:24" hidden="1">
      <c r="A135" s="811" t="s">
        <v>3139</v>
      </c>
      <c r="B135" s="811"/>
      <c r="C135" s="811"/>
      <c r="D135" s="811"/>
      <c r="E135" s="811"/>
      <c r="F135" s="811"/>
      <c r="G135" s="811"/>
      <c r="H135" s="811"/>
    </row>
    <row r="136" spans="1:24" hidden="1">
      <c r="A136" s="812" t="s">
        <v>3114</v>
      </c>
      <c r="B136" s="812" t="s">
        <v>3140</v>
      </c>
      <c r="C136" s="812"/>
      <c r="D136" s="812"/>
      <c r="E136" s="812"/>
      <c r="F136" s="812"/>
      <c r="G136" s="812"/>
      <c r="H136" s="812"/>
    </row>
    <row r="137" spans="1:24" ht="60" hidden="1">
      <c r="A137" s="812"/>
      <c r="B137" s="342" t="s">
        <v>3121</v>
      </c>
      <c r="C137" s="342" t="s">
        <v>3120</v>
      </c>
      <c r="D137" s="342" t="s">
        <v>3119</v>
      </c>
      <c r="E137" s="342" t="s">
        <v>3118</v>
      </c>
      <c r="F137" s="342" t="s">
        <v>3117</v>
      </c>
      <c r="G137" s="342" t="s">
        <v>3116</v>
      </c>
      <c r="H137" s="342" t="s">
        <v>3115</v>
      </c>
    </row>
    <row r="138" spans="1:24" ht="30" hidden="1">
      <c r="A138" s="327" t="s">
        <v>3141</v>
      </c>
      <c r="B138" s="591">
        <v>509.57446808510639</v>
      </c>
      <c r="C138" s="591">
        <v>452.38095238095241</v>
      </c>
      <c r="D138" s="591">
        <v>408.60215053763437</v>
      </c>
      <c r="E138" s="591">
        <v>339.62264150943395</v>
      </c>
      <c r="F138" s="591">
        <v>279.92957746478874</v>
      </c>
      <c r="G138" s="591">
        <v>256.98324022346372</v>
      </c>
      <c r="H138" s="591">
        <v>245.8872238302861</v>
      </c>
    </row>
    <row r="139" spans="1:24" ht="75" hidden="1">
      <c r="A139" s="327" t="s">
        <v>3133</v>
      </c>
      <c r="B139" s="591">
        <v>254.78723404255319</v>
      </c>
      <c r="C139" s="591">
        <v>226.1904761904762</v>
      </c>
      <c r="D139" s="591">
        <v>204.30107526881719</v>
      </c>
      <c r="E139" s="591">
        <v>169.81132075471697</v>
      </c>
      <c r="F139" s="591">
        <v>139.96478873239437</v>
      </c>
      <c r="G139" s="591">
        <v>128.49162011173186</v>
      </c>
      <c r="H139" s="591">
        <v>122.94361191514305</v>
      </c>
    </row>
    <row r="140" spans="1:24" ht="75" hidden="1">
      <c r="A140" s="327" t="s">
        <v>3134</v>
      </c>
      <c r="B140" s="591">
        <v>81.941489361702125</v>
      </c>
      <c r="C140" s="591">
        <v>35.019841269841265</v>
      </c>
      <c r="D140" s="591">
        <v>27.419354838709676</v>
      </c>
      <c r="E140" s="591">
        <v>21.069182389937108</v>
      </c>
      <c r="F140" s="591">
        <v>16.37323943661972</v>
      </c>
      <c r="G140" s="591">
        <v>14.909217877094973</v>
      </c>
      <c r="H140" s="591">
        <v>15.753352507969074</v>
      </c>
    </row>
    <row r="141" spans="1:24" ht="75" hidden="1">
      <c r="A141" s="327" t="s">
        <v>3135</v>
      </c>
      <c r="B141" s="591">
        <v>26.914893617021278</v>
      </c>
      <c r="C141" s="591">
        <v>23.015873015873012</v>
      </c>
      <c r="D141" s="591">
        <v>19.892473118279568</v>
      </c>
      <c r="E141" s="591">
        <v>16.037735849056602</v>
      </c>
      <c r="F141" s="591">
        <v>12.67605633802817</v>
      </c>
      <c r="G141" s="591">
        <v>11.592178770949722</v>
      </c>
      <c r="H141" s="591">
        <v>12.387791741472176</v>
      </c>
    </row>
    <row r="142" spans="1:24" ht="75" hidden="1">
      <c r="A142" s="327" t="s">
        <v>3131</v>
      </c>
      <c r="B142" s="591">
        <v>13.457446808510639</v>
      </c>
      <c r="C142" s="591">
        <v>11.507936507936506</v>
      </c>
      <c r="D142" s="591">
        <v>9.9462365591397841</v>
      </c>
      <c r="E142" s="591">
        <v>8.0188679245283012</v>
      </c>
      <c r="F142" s="591">
        <v>6.3380281690140849</v>
      </c>
      <c r="G142" s="591">
        <v>5.7960893854748612</v>
      </c>
      <c r="H142" s="591">
        <v>6.193895870736088</v>
      </c>
    </row>
    <row r="143" spans="1:24" ht="75" hidden="1">
      <c r="A143" s="327" t="s">
        <v>3136</v>
      </c>
      <c r="B143" s="591">
        <v>6.7287234042553195</v>
      </c>
      <c r="C143" s="591">
        <v>5.7539682539682531</v>
      </c>
      <c r="D143" s="591">
        <v>4.9731182795698921</v>
      </c>
      <c r="E143" s="591">
        <v>4.0094339622641506</v>
      </c>
      <c r="F143" s="591">
        <v>3.1690140845070425</v>
      </c>
      <c r="G143" s="591">
        <v>2.8980446927374306</v>
      </c>
      <c r="H143" s="591">
        <v>3.096947935368044</v>
      </c>
    </row>
    <row r="144" spans="1:24" ht="60" hidden="1">
      <c r="A144" s="327" t="s">
        <v>3132</v>
      </c>
      <c r="B144" s="591">
        <v>2.691489361702128</v>
      </c>
      <c r="C144" s="591">
        <v>2.3015873015873014</v>
      </c>
      <c r="D144" s="591">
        <v>1.989247311827957</v>
      </c>
      <c r="E144" s="591">
        <v>1.6037735849056602</v>
      </c>
      <c r="F144" s="591">
        <v>1.267605633802817</v>
      </c>
      <c r="G144" s="591">
        <v>1.1592178770949724</v>
      </c>
      <c r="H144" s="591">
        <v>1.2387791741472176</v>
      </c>
    </row>
    <row r="146" spans="1:15">
      <c r="A146" s="10" t="s">
        <v>3205</v>
      </c>
    </row>
    <row r="148" spans="1:15">
      <c r="I148" s="312" t="s">
        <v>3206</v>
      </c>
    </row>
    <row r="149" spans="1:15" ht="15.75" thickBot="1">
      <c r="K149" s="835" t="s">
        <v>3207</v>
      </c>
      <c r="L149" s="835"/>
      <c r="M149" s="835"/>
      <c r="N149" s="835"/>
      <c r="O149" s="835"/>
    </row>
    <row r="150" spans="1:15">
      <c r="K150" s="540" t="s">
        <v>3160</v>
      </c>
      <c r="L150" s="540" t="s">
        <v>3161</v>
      </c>
      <c r="M150" s="540" t="s">
        <v>3162</v>
      </c>
      <c r="N150" s="540" t="s">
        <v>3163</v>
      </c>
      <c r="O150" s="541" t="s">
        <v>3164</v>
      </c>
    </row>
    <row r="151" spans="1:15">
      <c r="I151" s="10" t="s">
        <v>3208</v>
      </c>
      <c r="K151" s="10">
        <f>0.076*0.33</f>
        <v>2.5080000000000002E-2</v>
      </c>
      <c r="L151" s="10">
        <f>0.09*0.33</f>
        <v>2.9700000000000001E-2</v>
      </c>
      <c r="M151" s="10">
        <f>0.095*0.33</f>
        <v>3.1350000000000003E-2</v>
      </c>
      <c r="N151" s="10">
        <f>0.096*0.33</f>
        <v>3.168E-2</v>
      </c>
      <c r="O151" s="10">
        <f>AVERAGE(0.154, 0.121)*0.33</f>
        <v>4.5375000000000006E-2</v>
      </c>
    </row>
    <row r="152" spans="1:15">
      <c r="I152" s="10" t="s">
        <v>3193</v>
      </c>
      <c r="K152" s="10">
        <v>0.13300000000000001</v>
      </c>
      <c r="L152" s="10">
        <v>0.20699999999999999</v>
      </c>
      <c r="M152" s="10">
        <v>0.29499999999999998</v>
      </c>
      <c r="N152" s="10">
        <v>0.34</v>
      </c>
      <c r="O152" s="10">
        <f>AVERAGE(0.399, 0.266)</f>
        <v>0.33250000000000002</v>
      </c>
    </row>
    <row r="153" spans="1:15">
      <c r="I153" s="10" t="s">
        <v>3192</v>
      </c>
      <c r="K153" s="10">
        <v>4.5999999999999999E-2</v>
      </c>
      <c r="L153" s="10">
        <v>7.0000000000000007E-2</v>
      </c>
      <c r="M153" s="10">
        <v>9.2999999999999999E-2</v>
      </c>
      <c r="N153" s="10">
        <v>0.105</v>
      </c>
      <c r="O153" s="10">
        <f>AVERAGE(0.131,0.106)</f>
        <v>0.11849999999999999</v>
      </c>
    </row>
    <row r="154" spans="1:15">
      <c r="I154" s="10" t="s">
        <v>3194</v>
      </c>
      <c r="K154" s="10">
        <v>0.24399999999999999</v>
      </c>
      <c r="L154" s="10">
        <v>0.42599999999999999</v>
      </c>
      <c r="M154" s="10">
        <v>0.626</v>
      </c>
      <c r="N154" s="10">
        <v>0.68700000000000006</v>
      </c>
      <c r="O154" s="10">
        <f>AVERAGE(0.847, 0.764)</f>
        <v>0.80549999999999999</v>
      </c>
    </row>
    <row r="156" spans="1:15" ht="15.75" thickBot="1">
      <c r="K156" s="835" t="s">
        <v>3209</v>
      </c>
      <c r="L156" s="835"/>
      <c r="M156" s="835"/>
      <c r="N156" s="835"/>
      <c r="O156" s="835"/>
    </row>
    <row r="157" spans="1:15">
      <c r="K157" s="540" t="s">
        <v>3160</v>
      </c>
      <c r="L157" s="540" t="s">
        <v>3161</v>
      </c>
      <c r="M157" s="540" t="s">
        <v>3162</v>
      </c>
      <c r="N157" s="540" t="s">
        <v>3163</v>
      </c>
      <c r="O157" s="541" t="s">
        <v>3164</v>
      </c>
    </row>
    <row r="158" spans="1:15">
      <c r="I158" s="10" t="s">
        <v>3208</v>
      </c>
      <c r="K158" s="10">
        <f>K151</f>
        <v>2.5080000000000002E-2</v>
      </c>
      <c r="L158" s="10">
        <f t="shared" ref="L158:O158" si="6">L151</f>
        <v>2.9700000000000001E-2</v>
      </c>
      <c r="M158" s="10">
        <f t="shared" si="6"/>
        <v>3.1350000000000003E-2</v>
      </c>
      <c r="N158" s="10">
        <f t="shared" si="6"/>
        <v>3.168E-2</v>
      </c>
      <c r="O158" s="10">
        <f t="shared" si="6"/>
        <v>4.5375000000000006E-2</v>
      </c>
    </row>
    <row r="159" spans="1:15">
      <c r="I159" s="10" t="s">
        <v>3193</v>
      </c>
      <c r="K159" s="10">
        <f>K152*0.725</f>
        <v>9.6424999999999997E-2</v>
      </c>
      <c r="L159" s="10">
        <f t="shared" ref="L159:O159" si="7">L152*0.725</f>
        <v>0.15007499999999999</v>
      </c>
      <c r="M159" s="10">
        <f t="shared" si="7"/>
        <v>0.21387499999999998</v>
      </c>
      <c r="N159" s="10">
        <f t="shared" si="7"/>
        <v>0.2465</v>
      </c>
      <c r="O159" s="10">
        <f t="shared" si="7"/>
        <v>0.24106250000000001</v>
      </c>
    </row>
    <row r="160" spans="1:15">
      <c r="I160" s="10" t="s">
        <v>3192</v>
      </c>
      <c r="K160" s="10">
        <f>K153</f>
        <v>4.5999999999999999E-2</v>
      </c>
      <c r="L160" s="10">
        <f t="shared" ref="L160:O160" si="8">L153</f>
        <v>7.0000000000000007E-2</v>
      </c>
      <c r="M160" s="10">
        <f t="shared" si="8"/>
        <v>9.2999999999999999E-2</v>
      </c>
      <c r="N160" s="10">
        <f t="shared" si="8"/>
        <v>0.105</v>
      </c>
      <c r="O160" s="10">
        <f t="shared" si="8"/>
        <v>0.11849999999999999</v>
      </c>
    </row>
    <row r="161" spans="9:15">
      <c r="I161" s="10" t="s">
        <v>3194</v>
      </c>
      <c r="K161" s="10">
        <f>0.4*K154</f>
        <v>9.7600000000000006E-2</v>
      </c>
      <c r="L161" s="10">
        <f t="shared" ref="L161:O161" si="9">0.4*L154</f>
        <v>0.1704</v>
      </c>
      <c r="M161" s="10">
        <f t="shared" si="9"/>
        <v>0.25040000000000001</v>
      </c>
      <c r="N161" s="10">
        <f t="shared" si="9"/>
        <v>0.27480000000000004</v>
      </c>
      <c r="O161" s="10">
        <f t="shared" si="9"/>
        <v>0.32220000000000004</v>
      </c>
    </row>
    <row r="163" spans="9:15">
      <c r="I163" s="10" t="s">
        <v>3210</v>
      </c>
      <c r="K163" s="10">
        <f>SUM(K158:K161)</f>
        <v>0.26510500000000004</v>
      </c>
      <c r="L163" s="10">
        <f t="shared" ref="L163:O163" si="10">SUM(L158:L161)</f>
        <v>0.42017499999999997</v>
      </c>
      <c r="M163" s="10">
        <f t="shared" si="10"/>
        <v>0.58862499999999995</v>
      </c>
      <c r="N163" s="10">
        <f t="shared" si="10"/>
        <v>0.65798000000000001</v>
      </c>
      <c r="O163" s="10">
        <f t="shared" si="10"/>
        <v>0.72713749999999999</v>
      </c>
    </row>
    <row r="165" spans="9:15" ht="17.25">
      <c r="I165" s="10" t="s">
        <v>3211</v>
      </c>
      <c r="K165" s="10">
        <f>K163*10000</f>
        <v>2651.05</v>
      </c>
      <c r="L165" s="10">
        <f t="shared" ref="L165:O165" si="11">L163*10000</f>
        <v>4201.75</v>
      </c>
      <c r="M165" s="10">
        <f t="shared" si="11"/>
        <v>5886.2499999999991</v>
      </c>
      <c r="N165" s="10">
        <f t="shared" si="11"/>
        <v>6579.8</v>
      </c>
      <c r="O165" s="10">
        <f t="shared" si="11"/>
        <v>7271.375</v>
      </c>
    </row>
  </sheetData>
  <sheetProtection sheet="1" objects="1" scenarios="1" formatCells="0" formatColumns="0" formatRows="0"/>
  <mergeCells count="12">
    <mergeCell ref="T127:X127"/>
    <mergeCell ref="K156:O156"/>
    <mergeCell ref="A84:G84"/>
    <mergeCell ref="A85:G85"/>
    <mergeCell ref="A89:G89"/>
    <mergeCell ref="A111:G111"/>
    <mergeCell ref="M112:S115"/>
    <mergeCell ref="A134:I134"/>
    <mergeCell ref="A135:H135"/>
    <mergeCell ref="A136:A137"/>
    <mergeCell ref="B136:H136"/>
    <mergeCell ref="K149:O14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9765-1641-4969-A11D-44941D9EE8AF}">
  <sheetPr codeName="Sheet17"/>
  <dimension ref="A21:W42"/>
  <sheetViews>
    <sheetView zoomScale="116" workbookViewId="0">
      <selection activeCell="G12" sqref="G12"/>
    </sheetView>
  </sheetViews>
  <sheetFormatPr defaultColWidth="8.7109375" defaultRowHeight="15"/>
  <cols>
    <col min="1" max="1" width="10.28515625" style="10" customWidth="1"/>
    <col min="2" max="12" width="15.5703125" style="10" customWidth="1"/>
    <col min="13" max="13" width="14.140625" style="10" customWidth="1"/>
    <col min="14" max="17" width="12.5703125" style="10" customWidth="1"/>
    <col min="18" max="18" width="8.7109375" style="10"/>
    <col min="19" max="19" width="16.7109375" style="10" customWidth="1"/>
    <col min="20" max="16384" width="8.7109375" style="10"/>
  </cols>
  <sheetData>
    <row r="21" spans="1:23" ht="15.75" thickBot="1">
      <c r="A21" s="271" t="s">
        <v>3212</v>
      </c>
    </row>
    <row r="22" spans="1:23">
      <c r="A22" s="45"/>
      <c r="B22" s="46"/>
      <c r="C22" s="842" t="s">
        <v>3213</v>
      </c>
      <c r="D22" s="843"/>
      <c r="E22" s="843"/>
      <c r="F22" s="843"/>
      <c r="G22" s="844"/>
      <c r="H22" s="842" t="s">
        <v>3214</v>
      </c>
      <c r="I22" s="843"/>
      <c r="J22" s="843"/>
      <c r="K22" s="843"/>
      <c r="L22" s="844"/>
      <c r="M22" s="842" t="s">
        <v>3215</v>
      </c>
      <c r="N22" s="843"/>
      <c r="O22" s="843"/>
      <c r="P22" s="843"/>
      <c r="Q22" s="845"/>
    </row>
    <row r="23" spans="1:23">
      <c r="A23" s="50"/>
      <c r="B23" s="10" t="s">
        <v>3216</v>
      </c>
      <c r="C23" s="548" t="s">
        <v>3160</v>
      </c>
      <c r="D23" s="594" t="s">
        <v>3161</v>
      </c>
      <c r="E23" s="594" t="s">
        <v>3162</v>
      </c>
      <c r="F23" s="594" t="s">
        <v>3163</v>
      </c>
      <c r="G23" s="549" t="s">
        <v>3164</v>
      </c>
      <c r="H23" s="548" t="s">
        <v>3160</v>
      </c>
      <c r="I23" s="594" t="s">
        <v>3161</v>
      </c>
      <c r="J23" s="594" t="s">
        <v>3162</v>
      </c>
      <c r="K23" s="594" t="s">
        <v>3163</v>
      </c>
      <c r="L23" s="549" t="s">
        <v>3164</v>
      </c>
      <c r="M23" s="548" t="s">
        <v>3160</v>
      </c>
      <c r="N23" s="594" t="s">
        <v>3161</v>
      </c>
      <c r="O23" s="594" t="s">
        <v>3162</v>
      </c>
      <c r="P23" s="594" t="s">
        <v>3163</v>
      </c>
      <c r="Q23" s="63" t="s">
        <v>3164</v>
      </c>
    </row>
    <row r="24" spans="1:23">
      <c r="A24" s="56" t="s">
        <v>2912</v>
      </c>
      <c r="B24" s="10" t="s">
        <v>2741</v>
      </c>
      <c r="C24" s="550">
        <f>(('Tire Crumb Calc Inputs'!$F$4*10^-6)*'Tire Crumb Calc Inputs'!L34*'Tire Crumb Calc Inputs'!T55*'Tire Crumb Calc Inputs'!$T$76)/'Tire Crumb Calc Inputs'!C87</f>
        <v>6.2661290322580641E-6</v>
      </c>
      <c r="D24" s="550">
        <f>(('Tire Crumb Calc Inputs'!$F$4*10^-6)*'Tire Crumb Calc Inputs'!M34*'Tire Crumb Calc Inputs'!U55*'Tire Crumb Calc Inputs'!$T$76)/'Tire Crumb Calc Inputs'!D87</f>
        <v>4.1603773584905653E-6</v>
      </c>
      <c r="E24" s="550">
        <f>(('Tire Crumb Calc Inputs'!$F$4*10^-6)*'Tire Crumb Calc Inputs'!N34*'Tire Crumb Calc Inputs'!V55*'Tire Crumb Calc Inputs'!$T$76)/'Tire Crumb Calc Inputs'!E87</f>
        <v>8.1522887323943651E-6</v>
      </c>
      <c r="F24" s="550">
        <f>(('Tire Crumb Calc Inputs'!$F$4*10^-6)*'Tire Crumb Calc Inputs'!O34*'Tire Crumb Calc Inputs'!W55*'Tire Crumb Calc Inputs'!$T$76)/'Tire Crumb Calc Inputs'!F87</f>
        <v>4.31145251396648E-6</v>
      </c>
      <c r="G24" s="550">
        <f>(('Tire Crumb Calc Inputs'!$F$4*10^-6)*'Tire Crumb Calc Inputs'!P34*'Tire Crumb Calc Inputs'!X55*'Tire Crumb Calc Inputs'!$T$76)/'Tire Crumb Calc Inputs'!G87</f>
        <v>3.9532499999999998E-6</v>
      </c>
      <c r="H24" s="550">
        <f>C24*'Tire Crumb Calc Inputs'!T$57/1</f>
        <v>6.2661290322580641E-6</v>
      </c>
      <c r="I24" s="550">
        <f>D24*'Tire Crumb Calc Inputs'!U$57/1</f>
        <v>4.1603773584905653E-6</v>
      </c>
      <c r="J24" s="550">
        <f>E24*'Tire Crumb Calc Inputs'!V$57/1</f>
        <v>8.1522887323943651E-6</v>
      </c>
      <c r="K24" s="550">
        <f>F24*'Tire Crumb Calc Inputs'!W$57/1</f>
        <v>4.31145251396648E-6</v>
      </c>
      <c r="L24" s="550">
        <f>G24*'Tire Crumb Calc Inputs'!X$57/1</f>
        <v>3.9532499999999998E-6</v>
      </c>
      <c r="M24" s="550">
        <f>C24*'Tire Crumb Calc Inputs'!T$56/365</f>
        <v>1.339063190455148E-6</v>
      </c>
      <c r="N24" s="550">
        <f>D24*'Tire Crumb Calc Inputs'!U$56/365</f>
        <v>8.8906694236236729E-7</v>
      </c>
      <c r="O24" s="550">
        <f>E24*'Tire Crumb Calc Inputs'!V$56/365</f>
        <v>3.0822351919737598E-6</v>
      </c>
      <c r="P24" s="550">
        <f>F24*'Tire Crumb Calc Inputs'!W$56/365</f>
        <v>1.6300834162393815E-6</v>
      </c>
      <c r="Q24" s="550">
        <f>G24*'Tire Crumb Calc Inputs'!X$56/365</f>
        <v>8.4480410958904103E-7</v>
      </c>
      <c r="S24" s="518"/>
      <c r="T24" s="518"/>
      <c r="U24" s="518"/>
      <c r="V24" s="518"/>
      <c r="W24" s="518"/>
    </row>
    <row r="25" spans="1:23">
      <c r="A25" s="50"/>
      <c r="B25" s="10" t="s">
        <v>2744</v>
      </c>
      <c r="C25" s="550">
        <f>((AVERAGE('Tire Crumb Calc Inputs'!$D$4:$E$4)*10^-6)*'Tire Crumb Calc Inputs'!L34*'Tire Crumb Calc Inputs'!T55*'Tire Crumb Calc Inputs'!$T$76)/'Tire Crumb Calc Inputs'!C87</f>
        <v>6.6003225806451622E-7</v>
      </c>
      <c r="D25" s="550">
        <f>((AVERAGE('Tire Crumb Calc Inputs'!$D$4:$E$4)*10^-6)*'Tire Crumb Calc Inputs'!M34*'Tire Crumb Calc Inputs'!U55*'Tire Crumb Calc Inputs'!$T$76)/'Tire Crumb Calc Inputs'!D87</f>
        <v>4.3822641509433966E-7</v>
      </c>
      <c r="E25" s="550">
        <f>((AVERAGE('Tire Crumb Calc Inputs'!$D$4:$E$4)*10^-6)*'Tire Crumb Calc Inputs'!N34*'Tire Crumb Calc Inputs'!V55*'Tire Crumb Calc Inputs'!$T$76)/'Tire Crumb Calc Inputs'!E87</f>
        <v>8.5870774647887322E-7</v>
      </c>
      <c r="F25" s="550">
        <f>((AVERAGE('Tire Crumb Calc Inputs'!$D$4:$E$4)*10^-6)*'Tire Crumb Calc Inputs'!O34*'Tire Crumb Calc Inputs'!W55*'Tire Crumb Calc Inputs'!$T$76)/'Tire Crumb Calc Inputs'!F87</f>
        <v>4.5413966480446929E-7</v>
      </c>
      <c r="G25" s="550">
        <f>((AVERAGE('Tire Crumb Calc Inputs'!$D$4:$E$4)*10^-6)*'Tire Crumb Calc Inputs'!P34*'Tire Crumb Calc Inputs'!X55*'Tire Crumb Calc Inputs'!$T$76)/'Tire Crumb Calc Inputs'!G87</f>
        <v>4.1640900000000009E-7</v>
      </c>
      <c r="H25" s="550">
        <f>C25*'Tire Crumb Calc Inputs'!T$57/1</f>
        <v>6.6003225806451622E-7</v>
      </c>
      <c r="I25" s="550">
        <f>D25*'Tire Crumb Calc Inputs'!U$57/1</f>
        <v>4.3822641509433966E-7</v>
      </c>
      <c r="J25" s="550">
        <f>E25*'Tire Crumb Calc Inputs'!V$57/1</f>
        <v>8.5870774647887322E-7</v>
      </c>
      <c r="K25" s="550">
        <f>F25*'Tire Crumb Calc Inputs'!W$57/1</f>
        <v>4.5413966480446929E-7</v>
      </c>
      <c r="L25" s="550">
        <f>G25*'Tire Crumb Calc Inputs'!X$57/1</f>
        <v>4.1640900000000009E-7</v>
      </c>
      <c r="M25" s="550">
        <f>C25*'Tire Crumb Calc Inputs'!T$56/365</f>
        <v>1.4104798939460895E-7</v>
      </c>
      <c r="N25" s="550">
        <f>D25*'Tire Crumb Calc Inputs'!U$56/365</f>
        <v>9.3648384595502724E-8</v>
      </c>
      <c r="O25" s="550">
        <f>E25*'Tire Crumb Calc Inputs'!V$56/365</f>
        <v>3.2466210688790278E-7</v>
      </c>
      <c r="P25" s="550">
        <f>F25*'Tire Crumb Calc Inputs'!W$56/365</f>
        <v>1.7170211984388155E-7</v>
      </c>
      <c r="Q25" s="550">
        <f>G25*'Tire Crumb Calc Inputs'!X$56/365</f>
        <v>8.8986032876712344E-8</v>
      </c>
      <c r="S25" s="518"/>
      <c r="T25" s="518"/>
      <c r="U25" s="518"/>
      <c r="V25" s="518"/>
      <c r="W25" s="518"/>
    </row>
    <row r="26" spans="1:23" ht="15.75" thickBot="1">
      <c r="A26" s="538"/>
      <c r="B26" s="96" t="s">
        <v>2745</v>
      </c>
      <c r="C26" s="551">
        <f>(('Tire Crumb Calc Inputs'!$D$4*10^-6)*'Tire Crumb Calc Inputs'!L34*'Tire Crumb Calc Inputs'!T55*'Tire Crumb Calc Inputs'!$T$76)/'Tire Crumb Calc Inputs'!C87</f>
        <v>4.0103225806451614E-7</v>
      </c>
      <c r="D26" s="551">
        <f>(('Tire Crumb Calc Inputs'!$D$4*10^-6)*'Tire Crumb Calc Inputs'!M34*'Tire Crumb Calc Inputs'!U55*'Tire Crumb Calc Inputs'!$T$76)/'Tire Crumb Calc Inputs'!D87</f>
        <v>2.662641509433962E-7</v>
      </c>
      <c r="E26" s="551">
        <f>(('Tire Crumb Calc Inputs'!$D$4*10^-6)*'Tire Crumb Calc Inputs'!N34*'Tire Crumb Calc Inputs'!V55*'Tire Crumb Calc Inputs'!$T$76)/'Tire Crumb Calc Inputs'!E87</f>
        <v>5.2174647887323936E-7</v>
      </c>
      <c r="F26" s="551">
        <f>(('Tire Crumb Calc Inputs'!$D$4*10^-6)*'Tire Crumb Calc Inputs'!O34*'Tire Crumb Calc Inputs'!W55*'Tire Crumb Calc Inputs'!$T$76)/'Tire Crumb Calc Inputs'!F87</f>
        <v>2.7593296089385471E-7</v>
      </c>
      <c r="G26" s="551">
        <f>(('Tire Crumb Calc Inputs'!$D$4*10^-6)*'Tire Crumb Calc Inputs'!P34*'Tire Crumb Calc Inputs'!X55*'Tire Crumb Calc Inputs'!$T$76)/'Tire Crumb Calc Inputs'!G87</f>
        <v>2.5300800000000001E-7</v>
      </c>
      <c r="H26" s="551">
        <f>C26*'Tire Crumb Calc Inputs'!T$57/1</f>
        <v>4.0103225806451614E-7</v>
      </c>
      <c r="I26" s="551">
        <f>D26*'Tire Crumb Calc Inputs'!U$57/1</f>
        <v>2.662641509433962E-7</v>
      </c>
      <c r="J26" s="551">
        <f>E26*'Tire Crumb Calc Inputs'!V$57/1</f>
        <v>5.2174647887323936E-7</v>
      </c>
      <c r="K26" s="551">
        <f>F26*'Tire Crumb Calc Inputs'!W$57/1</f>
        <v>2.7593296089385471E-7</v>
      </c>
      <c r="L26" s="551">
        <f>G26*'Tire Crumb Calc Inputs'!X$57/1</f>
        <v>2.5300800000000001E-7</v>
      </c>
      <c r="M26" s="551">
        <f>C26*'Tire Crumb Calc Inputs'!T$56/365</f>
        <v>8.5700044189129481E-8</v>
      </c>
      <c r="N26" s="551">
        <f>D26*'Tire Crumb Calc Inputs'!U$56/365</f>
        <v>5.6900284311191512E-8</v>
      </c>
      <c r="O26" s="551">
        <f>E26*'Tire Crumb Calc Inputs'!V$56/365</f>
        <v>1.9726305228632063E-7</v>
      </c>
      <c r="P26" s="551">
        <f>F26*'Tire Crumb Calc Inputs'!W$56/365</f>
        <v>1.0432533863932042E-7</v>
      </c>
      <c r="Q26" s="551">
        <f>G26*'Tire Crumb Calc Inputs'!X$56/365</f>
        <v>5.4067463013698636E-8</v>
      </c>
      <c r="S26" s="518"/>
      <c r="T26" s="518"/>
      <c r="U26" s="518"/>
      <c r="V26" s="518"/>
      <c r="W26" s="518"/>
    </row>
    <row r="27" spans="1:23">
      <c r="A27" s="50"/>
      <c r="C27" s="846" t="s">
        <v>3213</v>
      </c>
      <c r="D27" s="847"/>
      <c r="E27" s="847"/>
      <c r="F27" s="847"/>
      <c r="G27" s="848"/>
      <c r="H27" s="846" t="s">
        <v>3214</v>
      </c>
      <c r="I27" s="847"/>
      <c r="J27" s="847"/>
      <c r="K27" s="847"/>
      <c r="L27" s="848"/>
      <c r="M27" s="846" t="s">
        <v>3215</v>
      </c>
      <c r="N27" s="847"/>
      <c r="O27" s="847"/>
      <c r="P27" s="847"/>
      <c r="Q27" s="849"/>
      <c r="S27" s="518"/>
      <c r="T27" s="518"/>
      <c r="U27" s="518"/>
      <c r="V27" s="518"/>
      <c r="W27" s="518"/>
    </row>
    <row r="28" spans="1:23">
      <c r="A28" s="50"/>
      <c r="B28" s="10" t="s">
        <v>3216</v>
      </c>
      <c r="C28" s="548" t="s">
        <v>3160</v>
      </c>
      <c r="D28" s="594" t="s">
        <v>3161</v>
      </c>
      <c r="E28" s="594" t="s">
        <v>3162</v>
      </c>
      <c r="F28" s="594" t="s">
        <v>3163</v>
      </c>
      <c r="G28" s="549" t="s">
        <v>3164</v>
      </c>
      <c r="H28" s="548" t="s">
        <v>3160</v>
      </c>
      <c r="I28" s="594" t="s">
        <v>3161</v>
      </c>
      <c r="J28" s="594" t="s">
        <v>3162</v>
      </c>
      <c r="K28" s="594" t="s">
        <v>3163</v>
      </c>
      <c r="L28" s="549" t="s">
        <v>3164</v>
      </c>
      <c r="M28" s="548" t="s">
        <v>3160</v>
      </c>
      <c r="N28" s="594" t="s">
        <v>3161</v>
      </c>
      <c r="O28" s="594" t="s">
        <v>3162</v>
      </c>
      <c r="P28" s="594" t="s">
        <v>3163</v>
      </c>
      <c r="Q28" s="63" t="s">
        <v>3164</v>
      </c>
      <c r="S28" s="518"/>
      <c r="T28" s="518"/>
      <c r="U28" s="518"/>
      <c r="V28" s="518"/>
      <c r="W28" s="518"/>
    </row>
    <row r="29" spans="1:23">
      <c r="A29" s="56" t="s">
        <v>3174</v>
      </c>
      <c r="B29" s="10" t="s">
        <v>2741</v>
      </c>
      <c r="C29" s="552">
        <f>(('Tire Crumb Calc Inputs'!$N$4*10^-3)*'Tire Crumb Calc Inputs'!P94*'Tire Crumb Calc Inputs'!$T$74)/'Tire Crumb Calc Inputs'!C87</f>
        <v>5.1612903225806439E-6</v>
      </c>
      <c r="D29" s="552">
        <f>(('Tire Crumb Calc Inputs'!$N$4*10^-3)*'Tire Crumb Calc Inputs'!Q94*'Tire Crumb Calc Inputs'!$T$74)/'Tire Crumb Calc Inputs'!D87</f>
        <v>2.2641509433962258E-6</v>
      </c>
      <c r="E29" s="552">
        <f>(('Tire Crumb Calc Inputs'!$N$4*10^-3)*'Tire Crumb Calc Inputs'!R94*'Tire Crumb Calc Inputs'!$T$74)/'Tire Crumb Calc Inputs'!E87</f>
        <v>1.2676056338028167E-6</v>
      </c>
      <c r="F29" s="552">
        <f>(('Tire Crumb Calc Inputs'!$N$4*10^-3)*'Tire Crumb Calc Inputs'!S94*'Tire Crumb Calc Inputs'!$T$74)/'Tire Crumb Calc Inputs'!F87</f>
        <v>5.0279329608938538E-7</v>
      </c>
      <c r="G29" s="552">
        <f>(('Tire Crumb Calc Inputs'!$N$4*10^-3)*'Tire Crumb Calc Inputs'!T94*'Tire Crumb Calc Inputs'!$T$74)/'Tire Crumb Calc Inputs'!G87</f>
        <v>4.4999999999999993E-7</v>
      </c>
      <c r="H29" s="550">
        <f>C29*'Tire Crumb Calc Inputs'!T$57/1</f>
        <v>5.1612903225806439E-6</v>
      </c>
      <c r="I29" s="550">
        <f>D29*'Tire Crumb Calc Inputs'!U$57/1</f>
        <v>2.2641509433962258E-6</v>
      </c>
      <c r="J29" s="550">
        <f>E29*'Tire Crumb Calc Inputs'!V$57/1</f>
        <v>1.2676056338028167E-6</v>
      </c>
      <c r="K29" s="550">
        <f>F29*'Tire Crumb Calc Inputs'!W$57/1</f>
        <v>5.0279329608938538E-7</v>
      </c>
      <c r="L29" s="550">
        <f>G29*'Tire Crumb Calc Inputs'!X$57/1</f>
        <v>4.4999999999999993E-7</v>
      </c>
      <c r="M29" s="550">
        <f>C29*'Tire Crumb Calc Inputs'!T$56/365</f>
        <v>1.1029606716747676E-6</v>
      </c>
      <c r="N29" s="550">
        <f>D29*'Tire Crumb Calc Inputs'!U$56/365</f>
        <v>4.838459550271387E-7</v>
      </c>
      <c r="O29" s="550">
        <f>E29*'Tire Crumb Calc Inputs'!V$56/365</f>
        <v>4.7925911634188689E-7</v>
      </c>
      <c r="P29" s="550">
        <f>F29*'Tire Crumb Calc Inputs'!W$56/365</f>
        <v>1.9009719139817856E-7</v>
      </c>
      <c r="Q29" s="550">
        <f>G29*'Tire Crumb Calc Inputs'!X$56/365</f>
        <v>9.6164383561643817E-8</v>
      </c>
      <c r="S29" s="518"/>
      <c r="T29" s="518"/>
      <c r="U29" s="518"/>
      <c r="V29" s="518"/>
      <c r="W29" s="518"/>
    </row>
    <row r="30" spans="1:23">
      <c r="A30" s="50"/>
      <c r="B30" s="10" t="s">
        <v>2744</v>
      </c>
      <c r="C30" s="552">
        <f>(('Tire Crumb Calc Inputs'!$M$4*10^-3)*'Tire Crumb Calc Inputs'!P94*'Tire Crumb Calc Inputs'!$T$74)/'Tire Crumb Calc Inputs'!C87</f>
        <v>3.0537634408602151E-6</v>
      </c>
      <c r="D30" s="552">
        <f>(('Tire Crumb Calc Inputs'!$M$4*10^-3)*'Tire Crumb Calc Inputs'!Q94*'Tire Crumb Calc Inputs'!$T$74)/'Tire Crumb Calc Inputs'!D87</f>
        <v>1.3396226415094339E-6</v>
      </c>
      <c r="E30" s="552">
        <f>(('Tire Crumb Calc Inputs'!$M$4*10^-3)*'Tire Crumb Calc Inputs'!R94*'Tire Crumb Calc Inputs'!$T$74)/'Tire Crumb Calc Inputs'!E87</f>
        <v>7.5000000000000002E-7</v>
      </c>
      <c r="F30" s="552">
        <f>(('Tire Crumb Calc Inputs'!$M$4*10^-3)*'Tire Crumb Calc Inputs'!S94*'Tire Crumb Calc Inputs'!$T$74)/'Tire Crumb Calc Inputs'!F87</f>
        <v>2.9748603351955308E-7</v>
      </c>
      <c r="G30" s="552">
        <f>(('Tire Crumb Calc Inputs'!$M$4*10^-3)*'Tire Crumb Calc Inputs'!T94*'Tire Crumb Calc Inputs'!$T$74)/'Tire Crumb Calc Inputs'!G87</f>
        <v>2.6624999999999999E-7</v>
      </c>
      <c r="H30" s="550">
        <f>C30*'Tire Crumb Calc Inputs'!T$57/1</f>
        <v>3.0537634408602151E-6</v>
      </c>
      <c r="I30" s="550">
        <f>D30*'Tire Crumb Calc Inputs'!U$57/1</f>
        <v>1.3396226415094339E-6</v>
      </c>
      <c r="J30" s="550">
        <f>E30*'Tire Crumb Calc Inputs'!V$57/1</f>
        <v>7.5000000000000002E-7</v>
      </c>
      <c r="K30" s="550">
        <f>F30*'Tire Crumb Calc Inputs'!W$57/1</f>
        <v>2.9748603351955308E-7</v>
      </c>
      <c r="L30" s="550">
        <f>G30*'Tire Crumb Calc Inputs'!X$57/1</f>
        <v>2.6624999999999999E-7</v>
      </c>
      <c r="M30" s="550">
        <f>C30*'Tire Crumb Calc Inputs'!T$56/365</f>
        <v>6.5258506407423782E-7</v>
      </c>
      <c r="N30" s="550">
        <f>D30*'Tire Crumb Calc Inputs'!U$56/365</f>
        <v>2.8627552339105712E-7</v>
      </c>
      <c r="O30" s="550">
        <f>E30*'Tire Crumb Calc Inputs'!V$56/365</f>
        <v>2.8356164383561644E-7</v>
      </c>
      <c r="P30" s="550">
        <f>F30*'Tire Crumb Calc Inputs'!W$56/365</f>
        <v>1.1247417157725568E-7</v>
      </c>
      <c r="Q30" s="550">
        <f>G30*'Tire Crumb Calc Inputs'!X$56/365</f>
        <v>5.6897260273972602E-8</v>
      </c>
      <c r="S30" s="518"/>
      <c r="T30" s="518"/>
      <c r="U30" s="518"/>
      <c r="V30" s="518"/>
      <c r="W30" s="518"/>
    </row>
    <row r="31" spans="1:23" ht="15.75" thickBot="1">
      <c r="A31" s="50"/>
      <c r="B31" s="10" t="s">
        <v>2745</v>
      </c>
      <c r="C31" s="552">
        <f>(('Tire Crumb Calc Inputs'!$L$4*10^-3)*'Tire Crumb Calc Inputs'!P94*'Tire Crumb Calc Inputs'!$T$74)/'Tire Crumb Calc Inputs'!C87</f>
        <v>9.4623655913978489E-7</v>
      </c>
      <c r="D31" s="552">
        <f>(('Tire Crumb Calc Inputs'!$L$4*10^-3)*'Tire Crumb Calc Inputs'!Q94*'Tire Crumb Calc Inputs'!$T$74)/'Tire Crumb Calc Inputs'!D87</f>
        <v>4.1509433962264154E-7</v>
      </c>
      <c r="E31" s="552">
        <f>(('Tire Crumb Calc Inputs'!$L$4*10^-3)*'Tire Crumb Calc Inputs'!R94*'Tire Crumb Calc Inputs'!$T$74)/'Tire Crumb Calc Inputs'!E87</f>
        <v>2.3239436619718312E-7</v>
      </c>
      <c r="F31" s="552">
        <f>(('Tire Crumb Calc Inputs'!$L$4*10^-3)*'Tire Crumb Calc Inputs'!S94*'Tire Crumb Calc Inputs'!$T$74)/'Tire Crumb Calc Inputs'!F87</f>
        <v>9.2178770949720678E-8</v>
      </c>
      <c r="G31" s="552">
        <f>(('Tire Crumb Calc Inputs'!$L$4*10^-3)*'Tire Crumb Calc Inputs'!T94*'Tire Crumb Calc Inputs'!$T$74)/'Tire Crumb Calc Inputs'!G87</f>
        <v>8.2500000000000004E-8</v>
      </c>
      <c r="H31" s="550">
        <f>C31*'Tire Crumb Calc Inputs'!T$57/1</f>
        <v>9.4623655913978489E-7</v>
      </c>
      <c r="I31" s="550">
        <f>D31*'Tire Crumb Calc Inputs'!U$57/1</f>
        <v>4.1509433962264154E-7</v>
      </c>
      <c r="J31" s="550">
        <f>E31*'Tire Crumb Calc Inputs'!V$57/1</f>
        <v>2.3239436619718312E-7</v>
      </c>
      <c r="K31" s="550">
        <f>F31*'Tire Crumb Calc Inputs'!W$57/1</f>
        <v>9.2178770949720678E-8</v>
      </c>
      <c r="L31" s="550">
        <f>G31*'Tire Crumb Calc Inputs'!X$57/1</f>
        <v>8.2500000000000004E-8</v>
      </c>
      <c r="M31" s="551">
        <f>C31*'Tire Crumb Calc Inputs'!T$56/365</f>
        <v>2.0220945647370746E-7</v>
      </c>
      <c r="N31" s="551">
        <f>D31*'Tire Crumb Calc Inputs'!U$56/365</f>
        <v>8.8705091754975459E-8</v>
      </c>
      <c r="O31" s="551">
        <f>E31*'Tire Crumb Calc Inputs'!V$56/365</f>
        <v>8.7864171329345941E-8</v>
      </c>
      <c r="P31" s="551">
        <f>F31*'Tire Crumb Calc Inputs'!W$56/365</f>
        <v>3.4851151756332749E-8</v>
      </c>
      <c r="Q31" s="551">
        <f>G31*'Tire Crumb Calc Inputs'!X$56/365</f>
        <v>1.763013698630137E-8</v>
      </c>
      <c r="S31" s="518"/>
      <c r="T31" s="518"/>
      <c r="U31" s="518"/>
      <c r="V31" s="518"/>
      <c r="W31" s="518"/>
    </row>
    <row r="32" spans="1:23">
      <c r="A32" s="45"/>
      <c r="B32" s="46"/>
      <c r="C32" s="842" t="s">
        <v>3213</v>
      </c>
      <c r="D32" s="843"/>
      <c r="E32" s="843"/>
      <c r="F32" s="843"/>
      <c r="G32" s="844"/>
      <c r="H32" s="842" t="s">
        <v>3214</v>
      </c>
      <c r="I32" s="843"/>
      <c r="J32" s="843"/>
      <c r="K32" s="843"/>
      <c r="L32" s="844"/>
      <c r="M32" s="842" t="s">
        <v>3215</v>
      </c>
      <c r="N32" s="843"/>
      <c r="O32" s="843"/>
      <c r="P32" s="843"/>
      <c r="Q32" s="845"/>
      <c r="S32" s="518"/>
      <c r="T32" s="518"/>
      <c r="U32" s="518"/>
      <c r="V32" s="518"/>
      <c r="W32" s="518"/>
    </row>
    <row r="33" spans="1:23">
      <c r="A33" s="50"/>
      <c r="B33" s="10" t="s">
        <v>3216</v>
      </c>
      <c r="C33" s="548" t="s">
        <v>3160</v>
      </c>
      <c r="D33" s="594" t="s">
        <v>3161</v>
      </c>
      <c r="E33" s="594" t="s">
        <v>3162</v>
      </c>
      <c r="F33" s="594" t="s">
        <v>3163</v>
      </c>
      <c r="G33" s="549" t="s">
        <v>3164</v>
      </c>
      <c r="H33" s="548" t="s">
        <v>3160</v>
      </c>
      <c r="I33" s="594" t="s">
        <v>3161</v>
      </c>
      <c r="J33" s="594" t="s">
        <v>3162</v>
      </c>
      <c r="K33" s="594" t="s">
        <v>3163</v>
      </c>
      <c r="L33" s="549" t="s">
        <v>3164</v>
      </c>
      <c r="M33" s="548" t="s">
        <v>3160</v>
      </c>
      <c r="N33" s="594" t="s">
        <v>3161</v>
      </c>
      <c r="O33" s="594" t="s">
        <v>3162</v>
      </c>
      <c r="P33" s="594" t="s">
        <v>3163</v>
      </c>
      <c r="Q33" s="63" t="s">
        <v>3164</v>
      </c>
      <c r="S33" s="518"/>
      <c r="T33" s="518"/>
      <c r="U33" s="518"/>
      <c r="V33" s="518"/>
      <c r="W33" s="518"/>
    </row>
    <row r="34" spans="1:23">
      <c r="A34" s="56" t="s">
        <v>2617</v>
      </c>
      <c r="B34" s="10" t="s">
        <v>2741</v>
      </c>
      <c r="C34" s="70">
        <f>(('Tire Crumb Calc Inputs'!$N$4*10^-3)*'Tire Crumb Calc Inputs'!$T$75*'Tire Crumb Calc Inputs'!T129*'Tire Crumb Calc Inputs'!K$165)/'Tire Crumb Calc Inputs'!C$87</f>
        <v>1.5200112903225801E-3</v>
      </c>
      <c r="D34" s="70">
        <f>(('Tire Crumb Calc Inputs'!$N$4*10^-3)*'Tire Crumb Calc Inputs'!$T$75*'Tire Crumb Calc Inputs'!U129*'Tire Crumb Calc Inputs'!L$165)/'Tire Crumb Calc Inputs'!D$87</f>
        <v>1.431775283018868E-3</v>
      </c>
      <c r="E34" s="70">
        <f>(('Tire Crumb Calc Inputs'!$N$4*10^-3)*'Tire Crumb Calc Inputs'!$T$75*'Tire Crumb Calc Inputs'!V129*'Tire Crumb Calc Inputs'!M$165)/'Tire Crumb Calc Inputs'!E$87</f>
        <v>1.1183181338028168E-3</v>
      </c>
      <c r="F34" s="70">
        <f>(('Tire Crumb Calc Inputs'!$N$4*10^-3)*'Tire Crumb Calc Inputs'!$T$75*'Tire Crumb Calc Inputs'!W129*'Tire Crumb Calc Inputs'!N$165)/'Tire Crumb Calc Inputs'!F$87</f>
        <v>9.8570648044692751E-4</v>
      </c>
      <c r="G34" s="70">
        <f>(('Tire Crumb Calc Inputs'!$N$4*10^-3)*'Tire Crumb Calc Inputs'!$T$75*'Tire Crumb Calc Inputs'!X129*'Tire Crumb Calc Inputs'!O$165)/'Tire Crumb Calc Inputs'!G$87</f>
        <v>1.0126520624999999E-3</v>
      </c>
      <c r="H34" s="550">
        <f>C34*'Tire Crumb Calc Inputs'!T$57/1</f>
        <v>1.5200112903225801E-3</v>
      </c>
      <c r="I34" s="550">
        <f>D34*'Tire Crumb Calc Inputs'!U$57/1</f>
        <v>1.431775283018868E-3</v>
      </c>
      <c r="J34" s="550">
        <f>E34*'Tire Crumb Calc Inputs'!V$57/1</f>
        <v>1.1183181338028168E-3</v>
      </c>
      <c r="K34" s="550">
        <f>F34*'Tire Crumb Calc Inputs'!W$57/1</f>
        <v>9.8570648044692751E-4</v>
      </c>
      <c r="L34" s="550">
        <f>G34*'Tire Crumb Calc Inputs'!X$57/1</f>
        <v>1.0126520624999999E-3</v>
      </c>
      <c r="M34" s="550">
        <f>C34*'Tire Crumb Calc Inputs'!T$56/365</f>
        <v>3.2482433053468836E-4</v>
      </c>
      <c r="N34" s="550">
        <f>D34*'Tire Crumb Calc Inputs'!U$56/365</f>
        <v>3.0596841664512801E-4</v>
      </c>
      <c r="O34" s="550">
        <f>E34*'Tire Crumb Calc Inputs'!V$56/365</f>
        <v>4.2281617113640747E-4</v>
      </c>
      <c r="P34" s="550">
        <f>F34*'Tire Crumb Calc Inputs'!W$56/365</f>
        <v>3.726780665799342E-4</v>
      </c>
      <c r="Q34" s="550">
        <f>G34*'Tire Crumb Calc Inputs'!X$56/365</f>
        <v>2.1640235856164382E-4</v>
      </c>
      <c r="S34" s="518"/>
      <c r="T34" s="518"/>
      <c r="U34" s="518"/>
      <c r="V34" s="518"/>
      <c r="W34" s="518"/>
    </row>
    <row r="35" spans="1:23">
      <c r="A35" s="50"/>
      <c r="B35" s="10" t="s">
        <v>2744</v>
      </c>
      <c r="C35" s="70">
        <f>(('Tire Crumb Calc Inputs'!$M$4*10^-3)*'Tire Crumb Calc Inputs'!$T$75*'Tire Crumb Calc Inputs'!T130*'Tire Crumb Calc Inputs'!K$165)/'Tire Crumb Calc Inputs'!C$87</f>
        <v>2.3046218279569892E-4</v>
      </c>
      <c r="D35" s="70">
        <f>(('Tire Crumb Calc Inputs'!$M$4*10^-3)*'Tire Crumb Calc Inputs'!$T$75*'Tire Crumb Calc Inputs'!U130*'Tire Crumb Calc Inputs'!L$165)/'Tire Crumb Calc Inputs'!D$87</f>
        <v>2.1116873584905665E-4</v>
      </c>
      <c r="E35" s="70">
        <f>(('Tire Crumb Calc Inputs'!$M$4*10^-3)*'Tire Crumb Calc Inputs'!$T$75*'Tire Crumb Calc Inputs'!V130*'Tire Crumb Calc Inputs'!M$165)/'Tire Crumb Calc Inputs'!E$87</f>
        <v>1.6216925000000002E-4</v>
      </c>
      <c r="F35" s="70">
        <f>(('Tire Crumb Calc Inputs'!$M$4*10^-3)*'Tire Crumb Calc Inputs'!$T$75*'Tire Crumb Calc Inputs'!W130*'Tire Crumb Calc Inputs'!N$165)/'Tire Crumb Calc Inputs'!F$87</f>
        <v>1.4284208379888275E-4</v>
      </c>
      <c r="G35" s="70">
        <f>(('Tire Crumb Calc Inputs'!$M$4*10^-3)*'Tire Crumb Calc Inputs'!$T$75*'Tire Crumb Calc Inputs'!X130*'Tire Crumb Calc Inputs'!O$165)/'Tire Crumb Calc Inputs'!G$87</f>
        <v>1.4666620875000003E-4</v>
      </c>
      <c r="H35" s="550">
        <f>C35*'Tire Crumb Calc Inputs'!T$57/1</f>
        <v>2.3046218279569892E-4</v>
      </c>
      <c r="I35" s="550">
        <f>D35*'Tire Crumb Calc Inputs'!U$57/1</f>
        <v>2.1116873584905665E-4</v>
      </c>
      <c r="J35" s="550">
        <f>E35*'Tire Crumb Calc Inputs'!V$57/1</f>
        <v>1.6216925000000002E-4</v>
      </c>
      <c r="K35" s="550">
        <f>F35*'Tire Crumb Calc Inputs'!W$57/1</f>
        <v>1.4284208379888275E-4</v>
      </c>
      <c r="L35" s="550">
        <f>G35*'Tire Crumb Calc Inputs'!X$57/1</f>
        <v>1.4666620875000003E-4</v>
      </c>
      <c r="M35" s="550">
        <f>C35*'Tire Crumb Calc Inputs'!T$56/365</f>
        <v>4.9249452761820591E-5</v>
      </c>
      <c r="N35" s="550">
        <f>D35*'Tire Crumb Calc Inputs'!U$56/365</f>
        <v>4.5126469578702516E-5</v>
      </c>
      <c r="O35" s="550">
        <f>E35*'Tire Crumb Calc Inputs'!V$56/365</f>
        <v>6.1313305479452065E-5</v>
      </c>
      <c r="P35" s="550">
        <f>F35*'Tire Crumb Calc Inputs'!W$56/365</f>
        <v>5.4006048121221422E-5</v>
      </c>
      <c r="Q35" s="550">
        <f>G35*'Tire Crumb Calc Inputs'!X$56/365</f>
        <v>3.1342367897260283E-5</v>
      </c>
      <c r="S35" s="518"/>
      <c r="T35" s="518"/>
      <c r="U35" s="518"/>
      <c r="V35" s="518"/>
      <c r="W35" s="518"/>
    </row>
    <row r="36" spans="1:23" ht="15.75" thickBot="1">
      <c r="A36" s="538"/>
      <c r="B36" s="96" t="s">
        <v>2745</v>
      </c>
      <c r="C36" s="92">
        <f>(('Tire Crumb Calc Inputs'!$L$4*10^-3)*'Tire Crumb Calc Inputs'!$T$75*'Tire Crumb Calc Inputs'!T131*'Tire Crumb Calc Inputs'!K$165)/'Tire Crumb Calc Inputs'!C$87</f>
        <v>2.7640965591397844E-5</v>
      </c>
      <c r="D36" s="92">
        <f>(('Tire Crumb Calc Inputs'!$L$4*10^-3)*'Tire Crumb Calc Inputs'!$T$75*'Tire Crumb Calc Inputs'!U131*'Tire Crumb Calc Inputs'!L$165)/'Tire Crumb Calc Inputs'!D$87</f>
        <v>2.4782861635220127E-5</v>
      </c>
      <c r="E36" s="92">
        <f>(('Tire Crumb Calc Inputs'!$L$4*10^-3)*'Tire Crumb Calc Inputs'!$T$75*'Tire Crumb Calc Inputs'!V131*'Tire Crumb Calc Inputs'!M$165)/'Tire Crumb Calc Inputs'!E$87</f>
        <v>1.8733426056338032E-5</v>
      </c>
      <c r="F36" s="92">
        <f>(('Tire Crumb Calc Inputs'!$L$4*10^-3)*'Tire Crumb Calc Inputs'!$T$75*'Tire Crumb Calc Inputs'!W131*'Tire Crumb Calc Inputs'!N$165)/'Tire Crumb Calc Inputs'!F$87</f>
        <v>1.6478639106145255E-5</v>
      </c>
      <c r="G36" s="92">
        <f>(('Tire Crumb Calc Inputs'!$L$4*10^-3)*'Tire Crumb Calc Inputs'!$T$75*'Tire Crumb Calc Inputs'!X131*'Tire Crumb Calc Inputs'!O$165)/'Tire Crumb Calc Inputs'!G$87</f>
        <v>1.6997158750000003E-5</v>
      </c>
      <c r="H36" s="550">
        <f>C36*'Tire Crumb Calc Inputs'!T$57/1</f>
        <v>2.7640965591397844E-5</v>
      </c>
      <c r="I36" s="550">
        <f>D36*'Tire Crumb Calc Inputs'!U$57/1</f>
        <v>2.4782861635220127E-5</v>
      </c>
      <c r="J36" s="550">
        <f>E36*'Tire Crumb Calc Inputs'!V$57/1</f>
        <v>1.8733426056338032E-5</v>
      </c>
      <c r="K36" s="550">
        <f>F36*'Tire Crumb Calc Inputs'!W$57/1</f>
        <v>1.6478639106145255E-5</v>
      </c>
      <c r="L36" s="550">
        <f>G36*'Tire Crumb Calc Inputs'!X$57/1</f>
        <v>1.6997158750000003E-5</v>
      </c>
      <c r="M36" s="551">
        <f>C36*'Tire Crumb Calc Inputs'!T$56/365</f>
        <v>5.9068364825452926E-6</v>
      </c>
      <c r="N36" s="551">
        <f>D36*'Tire Crumb Calc Inputs'!U$56/365</f>
        <v>5.296063582321013E-6</v>
      </c>
      <c r="O36" s="551">
        <f>E36*'Tire Crumb Calc Inputs'!V$56/365</f>
        <v>7.0827747829442422E-6</v>
      </c>
      <c r="P36" s="551">
        <f>F36*'Tire Crumb Calc Inputs'!W$56/365</f>
        <v>6.2302799908165617E-6</v>
      </c>
      <c r="Q36" s="551">
        <f>G36*'Tire Crumb Calc Inputs'!X$56/365</f>
        <v>3.6322695410958908E-6</v>
      </c>
      <c r="S36" s="518"/>
      <c r="T36" s="518"/>
      <c r="U36" s="518"/>
      <c r="V36" s="518"/>
      <c r="W36" s="518"/>
    </row>
    <row r="37" spans="1:23">
      <c r="S37" s="518"/>
      <c r="T37" s="518"/>
      <c r="U37" s="518"/>
      <c r="V37" s="518"/>
      <c r="W37" s="518"/>
    </row>
    <row r="39" spans="1:23">
      <c r="C39" s="518"/>
      <c r="D39" s="518"/>
      <c r="E39" s="518"/>
      <c r="F39" s="518"/>
      <c r="G39" s="518"/>
      <c r="H39" s="518"/>
      <c r="I39" s="518"/>
      <c r="J39" s="518"/>
      <c r="K39" s="518"/>
      <c r="L39" s="518"/>
      <c r="M39" s="518"/>
      <c r="N39" s="518"/>
      <c r="O39" s="518"/>
      <c r="P39" s="518"/>
      <c r="Q39" s="518"/>
    </row>
    <row r="40" spans="1:23">
      <c r="C40" s="518"/>
      <c r="D40" s="518"/>
      <c r="E40" s="518"/>
      <c r="F40" s="518"/>
      <c r="G40" s="518"/>
      <c r="H40" s="518"/>
      <c r="I40" s="518"/>
      <c r="J40" s="518"/>
      <c r="K40" s="518"/>
      <c r="L40" s="518"/>
      <c r="M40" s="518"/>
      <c r="N40" s="518"/>
      <c r="O40" s="518"/>
      <c r="P40" s="518"/>
      <c r="Q40" s="518"/>
    </row>
    <row r="42" spans="1:23">
      <c r="C42" s="518"/>
      <c r="D42" s="518"/>
      <c r="E42" s="518"/>
      <c r="F42" s="518"/>
      <c r="G42" s="518"/>
      <c r="H42" s="518"/>
      <c r="I42" s="518"/>
      <c r="J42" s="518"/>
      <c r="K42" s="518"/>
      <c r="L42" s="518"/>
      <c r="M42" s="518"/>
      <c r="N42" s="518"/>
      <c r="O42" s="518"/>
      <c r="P42" s="518"/>
      <c r="Q42" s="518"/>
    </row>
  </sheetData>
  <sheetProtection sheet="1" objects="1" scenarios="1" formatCells="0" formatColumns="0" formatRows="0"/>
  <mergeCells count="9">
    <mergeCell ref="C32:G32"/>
    <mergeCell ref="H32:L32"/>
    <mergeCell ref="M32:Q32"/>
    <mergeCell ref="C22:G22"/>
    <mergeCell ref="H22:L22"/>
    <mergeCell ref="M22:Q22"/>
    <mergeCell ref="C27:G27"/>
    <mergeCell ref="H27:L27"/>
    <mergeCell ref="M27:Q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8F8D-A6D8-41BE-83EF-424F04165962}">
  <sheetPr codeName="Sheet2">
    <tabColor theme="4"/>
  </sheetPr>
  <dimension ref="A1:D39"/>
  <sheetViews>
    <sheetView topLeftCell="A4" workbookViewId="0">
      <selection activeCell="B4" sqref="B4"/>
    </sheetView>
  </sheetViews>
  <sheetFormatPr defaultColWidth="8.7109375" defaultRowHeight="15"/>
  <cols>
    <col min="1" max="1" width="30.28515625" style="9" customWidth="1"/>
    <col min="2" max="2" width="49.7109375" style="4" customWidth="1"/>
    <col min="3" max="16384" width="8.7109375" style="4"/>
  </cols>
  <sheetData>
    <row r="1" spans="1:4" ht="21">
      <c r="A1" s="2" t="s">
        <v>3</v>
      </c>
      <c r="B1" s="3"/>
    </row>
    <row r="3" spans="1:4" ht="21" customHeight="1">
      <c r="A3" s="5" t="s">
        <v>4</v>
      </c>
      <c r="B3" s="5" t="s">
        <v>5</v>
      </c>
    </row>
    <row r="4" spans="1:4" s="7" customFormat="1" ht="31.15" customHeight="1">
      <c r="A4" s="565" t="s">
        <v>6</v>
      </c>
      <c r="B4" s="6" t="s">
        <v>7</v>
      </c>
    </row>
    <row r="5" spans="1:4" s="7" customFormat="1" ht="31.5" customHeight="1">
      <c r="A5" s="565" t="s">
        <v>8</v>
      </c>
      <c r="B5" s="586" t="s">
        <v>9</v>
      </c>
    </row>
    <row r="6" spans="1:4" s="7" customFormat="1" ht="30">
      <c r="A6" s="565" t="s">
        <v>10</v>
      </c>
      <c r="B6" s="6" t="s">
        <v>11</v>
      </c>
    </row>
    <row r="7" spans="1:4" s="7" customFormat="1">
      <c r="A7" s="565" t="s">
        <v>12</v>
      </c>
      <c r="B7" s="6" t="s">
        <v>13</v>
      </c>
    </row>
    <row r="8" spans="1:4" s="7" customFormat="1">
      <c r="A8" s="565" t="s">
        <v>14</v>
      </c>
      <c r="B8" s="6" t="s">
        <v>15</v>
      </c>
    </row>
    <row r="9" spans="1:4" s="7" customFormat="1">
      <c r="A9" s="565" t="s">
        <v>16</v>
      </c>
      <c r="B9" s="6" t="s">
        <v>17</v>
      </c>
    </row>
    <row r="10" spans="1:4" s="7" customFormat="1" ht="30">
      <c r="A10" s="565" t="s">
        <v>18</v>
      </c>
      <c r="B10" s="6" t="s">
        <v>19</v>
      </c>
    </row>
    <row r="11" spans="1:4" s="7" customFormat="1" ht="30">
      <c r="A11" s="565" t="s">
        <v>20</v>
      </c>
      <c r="B11" s="6" t="s">
        <v>21</v>
      </c>
    </row>
    <row r="12" spans="1:4" s="7" customFormat="1" ht="46.15" customHeight="1">
      <c r="A12" s="565" t="s">
        <v>22</v>
      </c>
      <c r="B12" s="364" t="s">
        <v>23</v>
      </c>
      <c r="D12" s="8"/>
    </row>
    <row r="13" spans="1:4" s="7" customFormat="1" ht="33.6" customHeight="1">
      <c r="A13" s="566" t="s">
        <v>24</v>
      </c>
      <c r="B13" s="364" t="s">
        <v>25</v>
      </c>
      <c r="D13" s="8"/>
    </row>
    <row r="14" spans="1:4" s="7" customFormat="1" ht="33.6" customHeight="1">
      <c r="A14" s="566" t="s">
        <v>26</v>
      </c>
      <c r="B14" s="364" t="s">
        <v>27</v>
      </c>
      <c r="D14" s="8"/>
    </row>
    <row r="15" spans="1:4" s="7" customFormat="1" ht="30">
      <c r="A15" s="565" t="s">
        <v>28</v>
      </c>
      <c r="B15" s="6" t="s">
        <v>29</v>
      </c>
      <c r="D15" s="8"/>
    </row>
    <row r="16" spans="1:4">
      <c r="A16" s="568" t="s">
        <v>30</v>
      </c>
      <c r="B16" s="567" t="s">
        <v>31</v>
      </c>
      <c r="D16" s="8"/>
    </row>
    <row r="17" spans="1:4" ht="30">
      <c r="A17" s="568" t="s">
        <v>32</v>
      </c>
      <c r="B17" s="567" t="s">
        <v>33</v>
      </c>
      <c r="D17" s="8"/>
    </row>
    <row r="18" spans="1:4">
      <c r="D18" s="8"/>
    </row>
    <row r="19" spans="1:4">
      <c r="D19" s="8"/>
    </row>
    <row r="20" spans="1:4">
      <c r="D20" s="8"/>
    </row>
    <row r="21" spans="1:4">
      <c r="D21" s="8"/>
    </row>
    <row r="22" spans="1:4">
      <c r="D22" s="8"/>
    </row>
    <row r="23" spans="1:4">
      <c r="D23" s="8"/>
    </row>
    <row r="24" spans="1:4">
      <c r="D24" s="8"/>
    </row>
    <row r="25" spans="1:4">
      <c r="D25" s="8"/>
    </row>
    <row r="26" spans="1:4">
      <c r="D26" s="8"/>
    </row>
    <row r="27" spans="1:4">
      <c r="D27" s="8"/>
    </row>
    <row r="28" spans="1:4">
      <c r="D28" s="8"/>
    </row>
    <row r="29" spans="1:4">
      <c r="D29" s="8"/>
    </row>
    <row r="30" spans="1:4">
      <c r="D30" s="8"/>
    </row>
    <row r="31" spans="1:4">
      <c r="D31" s="8"/>
    </row>
    <row r="32" spans="1:4">
      <c r="D32" s="8"/>
    </row>
    <row r="33" spans="4:4">
      <c r="D33" s="8"/>
    </row>
    <row r="34" spans="4:4">
      <c r="D34" s="8"/>
    </row>
    <row r="35" spans="4:4">
      <c r="D35" s="8"/>
    </row>
    <row r="36" spans="4:4">
      <c r="D36" s="8"/>
    </row>
    <row r="37" spans="4:4">
      <c r="D37" s="8"/>
    </row>
    <row r="38" spans="4:4">
      <c r="D38" s="8"/>
    </row>
    <row r="39" spans="4:4">
      <c r="D39" s="8"/>
    </row>
  </sheetData>
  <sheetProtection sheet="1" objects="1" scenarios="1" formatCells="0" formatColumns="0" formatRow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58B1-3298-406C-969D-C4ADEB28D3EA}">
  <sheetPr codeName="Sheet4"/>
  <dimension ref="A1:V82"/>
  <sheetViews>
    <sheetView zoomScaleNormal="100" workbookViewId="0">
      <selection activeCell="C81" sqref="C81"/>
    </sheetView>
  </sheetViews>
  <sheetFormatPr defaultColWidth="8.7109375" defaultRowHeight="15"/>
  <cols>
    <col min="1" max="1" width="39.5703125" style="9" customWidth="1"/>
    <col min="2" max="2" width="13.5703125" style="9" customWidth="1"/>
    <col min="3" max="3" width="18.5703125" style="9" customWidth="1"/>
    <col min="4" max="4" width="15" style="9" customWidth="1"/>
    <col min="5" max="5" width="8.28515625" style="9" customWidth="1"/>
    <col min="6" max="6" width="8.7109375" style="9"/>
    <col min="7" max="7" width="29.28515625" style="9" customWidth="1"/>
    <col min="8" max="8" width="10.5703125" style="9" bestFit="1" customWidth="1"/>
    <col min="9" max="9" width="10.7109375" style="9" bestFit="1" customWidth="1"/>
    <col min="10" max="10" width="11.7109375" style="9" bestFit="1" customWidth="1"/>
    <col min="11" max="11" width="8.7109375" style="9"/>
    <col min="12" max="12" width="8.7109375" style="9" bestFit="1" customWidth="1"/>
    <col min="13" max="13" width="8.7109375" style="9"/>
    <col min="14" max="14" width="48.28515625" style="9" customWidth="1"/>
    <col min="15" max="15" width="11.7109375" style="9" bestFit="1" customWidth="1"/>
    <col min="16" max="17" width="8.7109375" style="9" bestFit="1" customWidth="1"/>
    <col min="18" max="16384" width="8.7109375" style="9"/>
  </cols>
  <sheetData>
    <row r="1" spans="1:22" s="15" customFormat="1" ht="21">
      <c r="A1" s="2" t="s">
        <v>34</v>
      </c>
      <c r="G1" s="16" t="s">
        <v>35</v>
      </c>
      <c r="H1" s="16" t="s">
        <v>36</v>
      </c>
      <c r="I1" s="17" t="s">
        <v>37</v>
      </c>
      <c r="J1" s="18" t="s">
        <v>38</v>
      </c>
      <c r="O1" s="4"/>
      <c r="P1" s="4"/>
      <c r="Q1" s="4"/>
      <c r="R1" s="4"/>
      <c r="S1" s="4"/>
    </row>
    <row r="2" spans="1:22">
      <c r="A2" s="19" t="s">
        <v>39</v>
      </c>
      <c r="B2" s="10"/>
      <c r="C2" s="10"/>
      <c r="D2" s="10"/>
      <c r="E2" s="10"/>
      <c r="F2" s="10"/>
      <c r="G2" s="20" t="s">
        <v>40</v>
      </c>
      <c r="H2" s="21">
        <v>2.4564350616644553E-10</v>
      </c>
      <c r="I2" s="22">
        <v>13974340204.023058</v>
      </c>
      <c r="J2" s="22">
        <v>-3.6123610708324345</v>
      </c>
      <c r="K2" s="10"/>
      <c r="L2" s="10"/>
      <c r="M2" s="10"/>
      <c r="N2" s="4"/>
      <c r="O2" s="4"/>
      <c r="P2" s="4"/>
      <c r="Q2" s="4"/>
      <c r="R2" s="4"/>
      <c r="S2" s="4"/>
      <c r="T2" s="10"/>
      <c r="U2" s="10"/>
      <c r="V2" s="10"/>
    </row>
    <row r="3" spans="1:22">
      <c r="A3" s="23" t="s">
        <v>41</v>
      </c>
      <c r="B3" s="23" t="s">
        <v>42</v>
      </c>
      <c r="C3" s="23" t="s">
        <v>43</v>
      </c>
      <c r="D3" s="23" t="s">
        <v>44</v>
      </c>
      <c r="E3" s="10"/>
      <c r="F3" s="10"/>
      <c r="G3" s="20" t="s">
        <v>45</v>
      </c>
      <c r="H3" s="21">
        <v>3.27838436831621E-10</v>
      </c>
      <c r="I3" s="22">
        <v>27702043997.748554</v>
      </c>
      <c r="J3" s="22">
        <v>-3.7184508869808952</v>
      </c>
      <c r="K3" s="10"/>
      <c r="L3" s="10"/>
      <c r="M3" s="10"/>
      <c r="N3" s="4"/>
      <c r="O3" s="4"/>
      <c r="P3" s="4"/>
      <c r="Q3" s="4"/>
      <c r="R3" s="4"/>
      <c r="S3" s="4"/>
      <c r="T3" s="10"/>
      <c r="U3" s="10"/>
      <c r="V3" s="10"/>
    </row>
    <row r="4" spans="1:22">
      <c r="A4" s="24" t="s">
        <v>46</v>
      </c>
      <c r="B4" s="25"/>
      <c r="C4" s="26">
        <v>312.37</v>
      </c>
      <c r="D4" s="25" t="s">
        <v>47</v>
      </c>
      <c r="E4" s="10"/>
      <c r="F4" s="10"/>
      <c r="G4" s="27" t="s">
        <v>48</v>
      </c>
      <c r="H4" s="28">
        <v>5.9842805931772729E-12</v>
      </c>
      <c r="I4" s="29">
        <v>477320004953.16284</v>
      </c>
      <c r="J4" s="29">
        <f>P34+Q34+R34</f>
        <v>-4.7092638697523563</v>
      </c>
      <c r="K4" s="10"/>
      <c r="L4" s="10"/>
      <c r="M4" s="10"/>
      <c r="N4" s="618"/>
      <c r="O4" s="618"/>
      <c r="P4" s="618"/>
      <c r="Q4" s="618"/>
      <c r="R4" s="4"/>
      <c r="S4" s="4"/>
      <c r="T4" s="10"/>
      <c r="U4" s="10"/>
      <c r="V4" s="10"/>
    </row>
    <row r="5" spans="1:22">
      <c r="A5" s="24" t="s">
        <v>49</v>
      </c>
      <c r="B5" s="30"/>
      <c r="C5" s="31">
        <v>8.2500000000000006E-6</v>
      </c>
      <c r="D5" s="25" t="s">
        <v>50</v>
      </c>
      <c r="E5" s="10"/>
      <c r="F5" s="10"/>
      <c r="G5" s="20" t="s">
        <v>51</v>
      </c>
      <c r="H5" s="21">
        <v>4.4522811359408949E-14</v>
      </c>
      <c r="I5" s="22">
        <v>80594750900.253906</v>
      </c>
      <c r="J5" s="22">
        <v>-6.3438186475875957</v>
      </c>
      <c r="K5" s="10"/>
      <c r="L5" s="10"/>
      <c r="M5" s="10"/>
      <c r="N5" s="618"/>
      <c r="O5" s="618"/>
      <c r="P5" s="618"/>
      <c r="Q5" s="618"/>
      <c r="R5" s="4"/>
      <c r="S5" s="4"/>
      <c r="T5" s="10"/>
      <c r="U5" s="10"/>
      <c r="V5" s="10"/>
    </row>
    <row r="6" spans="1:22">
      <c r="A6" s="24" t="s">
        <v>52</v>
      </c>
      <c r="B6" s="25"/>
      <c r="C6" s="32">
        <v>2.69</v>
      </c>
      <c r="D6" s="25" t="s">
        <v>53</v>
      </c>
      <c r="E6" s="10"/>
      <c r="F6" s="10"/>
      <c r="G6" s="20" t="s">
        <v>54</v>
      </c>
      <c r="H6" s="21">
        <v>4.3210085532020638E-12</v>
      </c>
      <c r="I6" s="22">
        <v>17296005328.067699</v>
      </c>
      <c r="J6" s="22">
        <v>-4.6113779250446116</v>
      </c>
      <c r="K6" s="10"/>
      <c r="L6" s="10"/>
      <c r="M6" s="10"/>
      <c r="N6" s="618"/>
      <c r="O6" s="618"/>
      <c r="P6" s="618"/>
      <c r="Q6" s="618"/>
      <c r="R6" s="10"/>
      <c r="S6" s="10"/>
      <c r="T6" s="10"/>
      <c r="U6" s="10"/>
      <c r="V6" s="10"/>
    </row>
    <row r="7" spans="1:22" ht="30">
      <c r="A7" s="24" t="s">
        <v>55</v>
      </c>
      <c r="B7" s="25"/>
      <c r="C7" s="26">
        <v>4.7300000000000004</v>
      </c>
      <c r="D7" s="25" t="s">
        <v>56</v>
      </c>
      <c r="E7" s="10"/>
      <c r="F7" s="10"/>
      <c r="G7" s="20" t="s">
        <v>57</v>
      </c>
      <c r="H7" s="21">
        <v>4.9136191901050268E-7</v>
      </c>
      <c r="I7" s="22">
        <v>477320004953.16284</v>
      </c>
      <c r="J7" s="22">
        <v>-1.4001595007773564</v>
      </c>
      <c r="K7" s="10"/>
      <c r="L7" s="10"/>
      <c r="M7" s="10"/>
      <c r="N7" s="10"/>
      <c r="Q7" s="10"/>
      <c r="R7" s="10"/>
      <c r="S7" s="10"/>
      <c r="T7" s="10"/>
      <c r="U7" s="10"/>
      <c r="V7" s="10"/>
    </row>
    <row r="8" spans="1:22">
      <c r="A8" s="24" t="s">
        <v>58</v>
      </c>
      <c r="B8" s="30"/>
      <c r="C8" s="33">
        <v>7.61E-7</v>
      </c>
      <c r="D8" s="25" t="s">
        <v>59</v>
      </c>
      <c r="E8" s="10"/>
      <c r="F8" s="10"/>
      <c r="G8" s="20" t="s">
        <v>60</v>
      </c>
      <c r="H8" s="21">
        <v>8.8066495411809579E-11</v>
      </c>
      <c r="I8" s="22">
        <v>17969179000.638256</v>
      </c>
      <c r="J8" s="22">
        <v>-4.1351707710602339</v>
      </c>
      <c r="K8" s="10"/>
      <c r="L8" s="10"/>
      <c r="M8" s="10"/>
      <c r="N8" s="10"/>
      <c r="O8" s="10"/>
      <c r="P8" s="10"/>
      <c r="Q8" s="619"/>
      <c r="R8" s="10"/>
      <c r="S8" s="10"/>
      <c r="T8" s="10"/>
      <c r="U8" s="10"/>
      <c r="V8" s="10"/>
    </row>
    <row r="9" spans="1:22" ht="18">
      <c r="A9" s="24" t="s">
        <v>61</v>
      </c>
      <c r="B9" s="25"/>
      <c r="C9" s="34">
        <v>9.2100000000000009</v>
      </c>
      <c r="D9" s="25" t="s">
        <v>56</v>
      </c>
      <c r="E9" s="10"/>
      <c r="F9" s="10"/>
      <c r="G9" s="27" t="s">
        <v>62</v>
      </c>
      <c r="H9" s="28">
        <v>9.2696822298225912E-12</v>
      </c>
      <c r="I9" s="29">
        <v>29067026.944583628</v>
      </c>
      <c r="J9" s="29">
        <v>-4.8489252543340564</v>
      </c>
      <c r="K9" s="10"/>
      <c r="L9" s="10"/>
      <c r="M9" s="10"/>
      <c r="N9" s="10"/>
      <c r="O9" s="620"/>
      <c r="P9" s="10"/>
      <c r="Q9" s="619"/>
      <c r="R9" s="10"/>
      <c r="T9" s="10"/>
      <c r="U9" s="10"/>
    </row>
    <row r="10" spans="1:22">
      <c r="A10" s="10"/>
      <c r="B10" s="10"/>
      <c r="C10" s="10"/>
      <c r="D10" s="10"/>
      <c r="E10" s="10"/>
      <c r="F10" s="10"/>
      <c r="G10" s="20" t="s">
        <v>63</v>
      </c>
      <c r="H10" s="21">
        <v>3.740286711514543E-10</v>
      </c>
      <c r="I10" s="22">
        <v>15487560339.216837</v>
      </c>
      <c r="J10" s="22">
        <v>-3.6766620194601187</v>
      </c>
      <c r="K10" s="10"/>
      <c r="L10" s="10"/>
      <c r="M10" s="10"/>
      <c r="N10" s="35"/>
      <c r="O10" s="620"/>
      <c r="P10" s="10"/>
      <c r="Q10" s="619"/>
      <c r="R10" s="10"/>
      <c r="T10" s="10"/>
      <c r="U10" s="10"/>
    </row>
    <row r="11" spans="1:22" ht="23.1" customHeight="1">
      <c r="A11" s="36" t="s">
        <v>64</v>
      </c>
      <c r="B11" s="10" t="s">
        <v>65</v>
      </c>
      <c r="C11" s="10"/>
      <c r="D11" s="10"/>
      <c r="E11" s="10"/>
      <c r="F11" s="10"/>
      <c r="G11" s="20" t="s">
        <v>66</v>
      </c>
      <c r="H11" s="21">
        <v>4.8011499179936219E-9</v>
      </c>
      <c r="I11" s="22">
        <v>3494000656.0896826</v>
      </c>
      <c r="J11" s="22">
        <v>-2.8675005472329942</v>
      </c>
      <c r="K11" s="10"/>
      <c r="L11" s="10"/>
      <c r="M11" s="10"/>
      <c r="N11" s="37"/>
      <c r="O11" s="38"/>
      <c r="P11" s="22"/>
      <c r="Q11" s="39"/>
      <c r="R11" s="10"/>
      <c r="S11" s="38"/>
      <c r="T11" s="10"/>
      <c r="U11" s="10"/>
      <c r="V11" s="10"/>
    </row>
    <row r="12" spans="1:22">
      <c r="A12" s="10"/>
      <c r="B12" s="10"/>
      <c r="C12" s="40"/>
      <c r="D12" s="10"/>
      <c r="E12" s="10"/>
      <c r="F12" s="10"/>
      <c r="G12" s="20" t="s">
        <v>67</v>
      </c>
      <c r="H12" s="21">
        <v>5.7046341927317466E-12</v>
      </c>
      <c r="I12" s="22">
        <v>210549014.64339387</v>
      </c>
      <c r="J12" s="22">
        <v>-5.0028362977917249</v>
      </c>
      <c r="K12" s="10"/>
      <c r="L12" s="10"/>
      <c r="M12" s="10"/>
      <c r="N12" s="37"/>
      <c r="O12" s="38"/>
      <c r="P12" s="10"/>
      <c r="Q12" s="39"/>
      <c r="R12" s="10"/>
      <c r="S12" s="38"/>
      <c r="T12" s="10"/>
      <c r="U12" s="10"/>
      <c r="V12" s="10"/>
    </row>
    <row r="13" spans="1:22">
      <c r="A13" s="10"/>
      <c r="B13" s="10"/>
      <c r="C13" s="40"/>
      <c r="D13" s="10"/>
      <c r="E13" s="10">
        <v>3</v>
      </c>
      <c r="F13" s="10"/>
      <c r="G13" s="20" t="s">
        <v>68</v>
      </c>
      <c r="H13" s="21">
        <v>3.3127968303010591E-9</v>
      </c>
      <c r="I13" s="22">
        <v>2864723566.2314734</v>
      </c>
      <c r="J13" s="22">
        <v>-2.9851403868693729</v>
      </c>
      <c r="K13" s="10"/>
      <c r="L13" s="10"/>
      <c r="M13" s="10"/>
      <c r="N13" s="37"/>
      <c r="O13" s="38"/>
      <c r="P13" s="10"/>
      <c r="Q13" s="39"/>
      <c r="R13" s="10"/>
      <c r="S13" s="38"/>
      <c r="T13" s="10"/>
      <c r="U13" s="10"/>
      <c r="V13" s="10"/>
    </row>
    <row r="14" spans="1:22">
      <c r="A14" s="10"/>
      <c r="B14" s="10"/>
      <c r="C14" s="10"/>
      <c r="D14" s="10"/>
      <c r="E14" s="10"/>
      <c r="F14" s="10"/>
      <c r="G14" s="41" t="s">
        <v>69</v>
      </c>
      <c r="H14" s="42">
        <v>2.8867876130930012E-12</v>
      </c>
      <c r="I14" s="43">
        <v>965180.9720474697</v>
      </c>
      <c r="J14" s="44" t="s">
        <v>70</v>
      </c>
      <c r="K14" s="10"/>
      <c r="L14" s="10"/>
      <c r="M14" s="10"/>
      <c r="N14" s="10"/>
      <c r="O14" s="10"/>
      <c r="P14" s="10"/>
      <c r="Q14" s="10"/>
      <c r="R14" s="10"/>
      <c r="S14" s="10"/>
      <c r="T14" s="10"/>
      <c r="U14" s="10"/>
      <c r="V14" s="10"/>
    </row>
    <row r="15" spans="1:22" ht="15.75" thickBot="1">
      <c r="A15" s="10"/>
      <c r="B15" s="10"/>
      <c r="C15" s="10"/>
      <c r="D15" s="10"/>
      <c r="E15" s="10"/>
      <c r="F15" s="10"/>
      <c r="G15" s="10"/>
      <c r="H15" s="22"/>
      <c r="I15" s="10"/>
      <c r="J15" s="10"/>
      <c r="K15" s="10"/>
      <c r="L15" s="10"/>
      <c r="M15" s="10"/>
      <c r="N15" s="10"/>
      <c r="O15" s="10"/>
      <c r="P15" s="10"/>
      <c r="Q15" s="10"/>
      <c r="R15" s="10"/>
      <c r="S15" s="10"/>
      <c r="T15" s="10"/>
      <c r="U15" s="10"/>
      <c r="V15" s="10"/>
    </row>
    <row r="16" spans="1:22">
      <c r="A16" s="45" t="s">
        <v>71</v>
      </c>
      <c r="B16" s="46"/>
      <c r="C16" s="46"/>
      <c r="D16" s="46"/>
      <c r="E16" s="47"/>
      <c r="G16" s="45" t="s">
        <v>72</v>
      </c>
      <c r="H16" s="46"/>
      <c r="I16" s="46"/>
      <c r="J16" s="46"/>
      <c r="K16" s="46"/>
      <c r="L16" s="47"/>
      <c r="M16" s="10"/>
      <c r="N16" s="45" t="s">
        <v>73</v>
      </c>
      <c r="O16" s="46"/>
      <c r="P16" s="46"/>
      <c r="Q16" s="46"/>
      <c r="R16" s="47"/>
      <c r="S16" s="10"/>
      <c r="T16" s="10"/>
      <c r="U16" s="10"/>
      <c r="V16" s="10"/>
    </row>
    <row r="17" spans="1:21">
      <c r="A17" s="48" t="s">
        <v>74</v>
      </c>
      <c r="B17" s="10"/>
      <c r="C17" s="10"/>
      <c r="D17" s="10"/>
      <c r="E17" s="49"/>
      <c r="G17" s="50" t="s">
        <v>75</v>
      </c>
      <c r="H17" s="10"/>
      <c r="I17" s="10"/>
      <c r="J17" s="10"/>
      <c r="K17" s="10"/>
      <c r="L17" s="49"/>
      <c r="M17" s="10"/>
      <c r="N17" s="48" t="s">
        <v>76</v>
      </c>
      <c r="O17" s="10"/>
      <c r="P17" s="10"/>
      <c r="Q17" s="10"/>
      <c r="R17" s="49"/>
      <c r="S17" s="10"/>
      <c r="T17" s="10"/>
    </row>
    <row r="18" spans="1:21">
      <c r="A18" s="50" t="s">
        <v>77</v>
      </c>
      <c r="B18" s="10"/>
      <c r="C18" s="10"/>
      <c r="D18" s="10"/>
      <c r="E18" s="49"/>
      <c r="G18" s="50"/>
      <c r="H18" s="10"/>
      <c r="I18" s="10"/>
      <c r="J18" s="10"/>
      <c r="K18" s="10"/>
      <c r="L18" s="49"/>
      <c r="M18" s="10"/>
      <c r="N18" s="50"/>
      <c r="O18" s="10"/>
      <c r="P18" s="10"/>
      <c r="Q18" s="10"/>
      <c r="R18" s="49"/>
      <c r="S18" s="10"/>
      <c r="T18" s="10"/>
    </row>
    <row r="19" spans="1:21">
      <c r="A19" s="50"/>
      <c r="B19" s="10"/>
      <c r="C19" s="10"/>
      <c r="D19" s="10"/>
      <c r="E19" s="49"/>
      <c r="G19" s="50" t="s">
        <v>78</v>
      </c>
      <c r="H19" s="10"/>
      <c r="I19" s="10"/>
      <c r="J19" s="10"/>
      <c r="K19" s="10"/>
      <c r="L19" s="49"/>
      <c r="M19" s="10"/>
      <c r="N19" s="50"/>
      <c r="O19" s="10"/>
      <c r="P19" s="10"/>
      <c r="Q19" s="10"/>
      <c r="R19" s="49"/>
      <c r="S19" s="10"/>
      <c r="T19" s="10"/>
    </row>
    <row r="20" spans="1:21">
      <c r="A20" s="50"/>
      <c r="B20" s="10"/>
      <c r="C20" s="10"/>
      <c r="D20" s="10"/>
      <c r="E20" s="49"/>
      <c r="G20" s="50"/>
      <c r="H20" s="10"/>
      <c r="I20" s="10"/>
      <c r="J20" s="10"/>
      <c r="K20" s="10"/>
      <c r="L20" s="49"/>
      <c r="M20" s="10"/>
      <c r="N20" s="50"/>
      <c r="O20" s="10"/>
      <c r="P20" s="10"/>
      <c r="Q20" s="10"/>
      <c r="R20" s="49"/>
      <c r="S20" s="10"/>
      <c r="T20" s="10"/>
      <c r="U20" s="10"/>
    </row>
    <row r="21" spans="1:21">
      <c r="A21" s="50"/>
      <c r="B21" s="10"/>
      <c r="C21" s="10"/>
      <c r="D21" s="10"/>
      <c r="E21" s="49"/>
      <c r="G21" s="50"/>
      <c r="H21" s="10"/>
      <c r="I21" s="10"/>
      <c r="J21" s="10"/>
      <c r="K21" s="10"/>
      <c r="L21" s="49"/>
      <c r="M21" s="10"/>
      <c r="N21" s="621" t="s">
        <v>79</v>
      </c>
      <c r="O21" s="622"/>
      <c r="P21" s="622"/>
      <c r="Q21" s="622"/>
      <c r="R21" s="623"/>
      <c r="S21" s="10"/>
      <c r="T21" s="10"/>
      <c r="U21" s="10"/>
    </row>
    <row r="22" spans="1:21">
      <c r="A22" s="50"/>
      <c r="B22" s="10"/>
      <c r="C22" s="10"/>
      <c r="D22" s="10"/>
      <c r="E22" s="49"/>
      <c r="G22" s="50"/>
      <c r="H22" s="10"/>
      <c r="I22" s="10"/>
      <c r="J22" s="10"/>
      <c r="K22" s="10"/>
      <c r="L22" s="49"/>
      <c r="M22" s="10"/>
      <c r="N22" s="624"/>
      <c r="O22" s="622"/>
      <c r="P22" s="622"/>
      <c r="Q22" s="622"/>
      <c r="R22" s="623"/>
      <c r="S22" s="10"/>
      <c r="T22" s="10"/>
      <c r="U22" s="10"/>
    </row>
    <row r="23" spans="1:21">
      <c r="A23" s="625" t="s">
        <v>80</v>
      </c>
      <c r="B23" s="622"/>
      <c r="C23" s="10"/>
      <c r="D23" s="51"/>
      <c r="E23" s="49"/>
      <c r="G23" s="50"/>
      <c r="H23" s="10"/>
      <c r="I23" s="10"/>
      <c r="J23" s="10"/>
      <c r="K23" s="10"/>
      <c r="L23" s="49"/>
      <c r="M23" s="10"/>
      <c r="N23" s="52"/>
      <c r="O23" s="10"/>
      <c r="P23" s="10"/>
      <c r="Q23" s="10"/>
      <c r="R23" s="49"/>
      <c r="S23" s="10"/>
      <c r="T23" s="10"/>
      <c r="U23" s="10"/>
    </row>
    <row r="24" spans="1:21">
      <c r="A24" s="624"/>
      <c r="B24" s="622"/>
      <c r="C24" s="571"/>
      <c r="D24" s="51" t="s">
        <v>81</v>
      </c>
      <c r="E24" s="49">
        <f>LOG10(C4)</f>
        <v>2.4946693175865642</v>
      </c>
      <c r="G24" s="626" t="s">
        <v>82</v>
      </c>
      <c r="H24" s="622"/>
      <c r="I24" s="622"/>
      <c r="J24" s="622"/>
      <c r="K24" s="622"/>
      <c r="L24" s="54"/>
      <c r="N24" s="52"/>
      <c r="R24" s="55"/>
      <c r="U24" s="10"/>
    </row>
    <row r="25" spans="1:21">
      <c r="A25" s="624"/>
      <c r="B25" s="622"/>
      <c r="C25" s="571"/>
      <c r="D25" s="10"/>
      <c r="E25" s="49"/>
      <c r="G25" s="624"/>
      <c r="H25" s="622"/>
      <c r="I25" s="622"/>
      <c r="J25" s="622"/>
      <c r="K25" s="622"/>
      <c r="L25" s="54"/>
      <c r="N25" s="52"/>
      <c r="R25" s="55"/>
      <c r="U25" s="10"/>
    </row>
    <row r="26" spans="1:21">
      <c r="A26" s="624"/>
      <c r="B26" s="622"/>
      <c r="C26" s="571"/>
      <c r="D26" s="10"/>
      <c r="E26" s="615"/>
      <c r="G26" s="624"/>
      <c r="H26" s="622"/>
      <c r="I26" s="622"/>
      <c r="J26" s="622"/>
      <c r="K26" s="622"/>
      <c r="L26" s="54"/>
      <c r="N26" s="52"/>
      <c r="R26" s="55"/>
      <c r="U26" s="10"/>
    </row>
    <row r="27" spans="1:21">
      <c r="A27" s="56" t="s">
        <v>83</v>
      </c>
      <c r="B27" s="10"/>
      <c r="C27" s="10"/>
      <c r="D27" s="614" t="s">
        <v>84</v>
      </c>
      <c r="E27" s="615" t="s">
        <v>84</v>
      </c>
      <c r="G27" s="624"/>
      <c r="H27" s="622"/>
      <c r="I27" s="622"/>
      <c r="J27" s="622"/>
      <c r="K27" s="622"/>
      <c r="L27" s="49"/>
      <c r="M27" s="10"/>
      <c r="N27" s="52"/>
      <c r="R27" s="49"/>
      <c r="S27" s="10"/>
      <c r="T27" s="10"/>
      <c r="U27" s="10"/>
    </row>
    <row r="28" spans="1:21">
      <c r="A28" s="56"/>
      <c r="B28" s="10"/>
      <c r="C28" s="10"/>
      <c r="D28" s="58">
        <v>295.39999999999998</v>
      </c>
      <c r="E28" s="59">
        <v>310.2</v>
      </c>
      <c r="G28" s="50"/>
      <c r="H28" s="10"/>
      <c r="I28" s="10"/>
      <c r="J28" s="10"/>
      <c r="K28" s="10"/>
      <c r="L28" s="49"/>
      <c r="M28" s="10"/>
      <c r="N28" s="52"/>
      <c r="R28" s="49"/>
      <c r="S28" s="10"/>
      <c r="T28" s="10"/>
      <c r="U28" s="10"/>
    </row>
    <row r="29" spans="1:21" ht="17.25">
      <c r="A29" s="60" t="s">
        <v>85</v>
      </c>
      <c r="B29" s="61" t="s">
        <v>86</v>
      </c>
      <c r="C29" s="62" t="s">
        <v>87</v>
      </c>
      <c r="D29" s="594" t="s">
        <v>88</v>
      </c>
      <c r="E29" s="63" t="s">
        <v>89</v>
      </c>
      <c r="G29" s="52"/>
      <c r="H29" s="64" t="s">
        <v>90</v>
      </c>
      <c r="J29" s="10"/>
      <c r="K29" s="10"/>
      <c r="L29" s="49"/>
      <c r="M29" s="10"/>
      <c r="N29" s="60" t="s">
        <v>85</v>
      </c>
      <c r="O29" s="65" t="s">
        <v>91</v>
      </c>
      <c r="P29" s="65" t="s">
        <v>92</v>
      </c>
      <c r="Q29" s="65" t="s">
        <v>93</v>
      </c>
      <c r="R29" s="66" t="s">
        <v>94</v>
      </c>
      <c r="S29" s="10"/>
      <c r="T29" s="10"/>
      <c r="U29" s="10"/>
    </row>
    <row r="30" spans="1:21">
      <c r="A30" s="67" t="s">
        <v>95</v>
      </c>
      <c r="B30" s="68">
        <v>1.1672793116863847</v>
      </c>
      <c r="C30" s="69">
        <v>0</v>
      </c>
      <c r="D30" s="70">
        <f>10^(6.39 + (($C30-3486)/$D$28)-(2.49*$E$24)+$B30)</f>
        <v>3.5043287654862438E-11</v>
      </c>
      <c r="E30" s="71">
        <f>10^(6.39 + (($C30-3486)/$D$28)-(2.49*$E$24)+$B30)</f>
        <v>3.5043287654862438E-11</v>
      </c>
      <c r="G30" s="52"/>
      <c r="J30" s="10"/>
      <c r="K30" s="10"/>
      <c r="L30" s="49"/>
      <c r="M30" s="10"/>
      <c r="N30" s="67" t="s">
        <v>95</v>
      </c>
      <c r="O30" s="72">
        <v>-6.2089117812253294</v>
      </c>
      <c r="P30" s="73">
        <v>3.23</v>
      </c>
      <c r="Q30" s="593">
        <f>0.73*O30</f>
        <v>-4.5325056002944901</v>
      </c>
      <c r="R30" s="74">
        <f>-0.06*$C$7</f>
        <v>-0.2838</v>
      </c>
      <c r="S30" s="10"/>
      <c r="T30" s="10"/>
      <c r="U30" s="10"/>
    </row>
    <row r="31" spans="1:21">
      <c r="A31" s="67" t="s">
        <v>40</v>
      </c>
      <c r="B31" s="68">
        <v>-1.2267692780916208</v>
      </c>
      <c r="C31" s="69">
        <v>0</v>
      </c>
      <c r="D31" s="70">
        <f t="shared" ref="D31:E59" si="0">10^(6.39 + (($C31-3486)/$D$28)-(2.49*$E$24)+$B31)</f>
        <v>1.4143479125674473E-13</v>
      </c>
      <c r="E31" s="71">
        <f t="shared" si="0"/>
        <v>1.4143479125674473E-13</v>
      </c>
      <c r="G31" s="75" t="s">
        <v>96</v>
      </c>
      <c r="J31" s="10"/>
      <c r="K31" s="10"/>
      <c r="L31" s="49"/>
      <c r="M31" s="10"/>
      <c r="N31" s="67" t="s">
        <v>40</v>
      </c>
      <c r="O31" s="72">
        <v>-8.602960371003336</v>
      </c>
      <c r="P31" s="73">
        <v>3.23</v>
      </c>
      <c r="Q31" s="593">
        <f t="shared" ref="Q31:Q59" si="1">0.73*O31</f>
        <v>-6.2801610708324347</v>
      </c>
      <c r="R31" s="74">
        <f t="shared" ref="R31:R59" si="2">-0.06*$C$7</f>
        <v>-0.2838</v>
      </c>
      <c r="S31" s="10"/>
      <c r="T31" s="10"/>
      <c r="U31" s="10"/>
    </row>
    <row r="32" spans="1:21">
      <c r="A32" s="67" t="s">
        <v>97</v>
      </c>
      <c r="B32" s="68">
        <v>0.32957171828715098</v>
      </c>
      <c r="C32" s="69">
        <v>0</v>
      </c>
      <c r="D32" s="70">
        <f t="shared" si="0"/>
        <v>5.0921038263748096E-12</v>
      </c>
      <c r="E32" s="71">
        <f t="shared" si="0"/>
        <v>5.0921038263748096E-12</v>
      </c>
      <c r="G32" s="50" t="s">
        <v>98</v>
      </c>
      <c r="H32" s="7"/>
      <c r="I32" s="7"/>
      <c r="J32" s="10"/>
      <c r="K32" s="10"/>
      <c r="L32" s="49"/>
      <c r="M32" s="10"/>
      <c r="N32" s="67" t="s">
        <v>97</v>
      </c>
      <c r="O32" s="72">
        <v>-7.0466193746245622</v>
      </c>
      <c r="P32" s="73">
        <v>3.23</v>
      </c>
      <c r="Q32" s="593">
        <f t="shared" si="1"/>
        <v>-5.14403214347593</v>
      </c>
      <c r="R32" s="74">
        <f t="shared" si="2"/>
        <v>-0.2838</v>
      </c>
      <c r="S32" s="10"/>
      <c r="T32" s="10"/>
      <c r="U32" s="10"/>
    </row>
    <row r="33" spans="1:18">
      <c r="A33" s="67" t="s">
        <v>99</v>
      </c>
      <c r="B33" s="68">
        <v>-6.3227435094369584</v>
      </c>
      <c r="C33" s="69">
        <v>1675.913916901716</v>
      </c>
      <c r="D33" s="70">
        <f t="shared" si="0"/>
        <v>5.3450705338500101E-13</v>
      </c>
      <c r="E33" s="71">
        <f t="shared" si="0"/>
        <v>5.3450705338500101E-13</v>
      </c>
      <c r="G33" s="52"/>
      <c r="H33" s="37" t="s">
        <v>100</v>
      </c>
      <c r="I33" s="76">
        <v>65.7</v>
      </c>
      <c r="J33" s="10"/>
      <c r="K33" s="51" t="s">
        <v>101</v>
      </c>
      <c r="L33" s="63">
        <v>3.9697308350248837</v>
      </c>
      <c r="M33" s="10"/>
      <c r="N33" s="67" t="s">
        <v>99</v>
      </c>
      <c r="O33" s="72">
        <v>-8.2962462822270862</v>
      </c>
      <c r="P33" s="73">
        <v>3.23</v>
      </c>
      <c r="Q33" s="593">
        <f t="shared" si="1"/>
        <v>-6.0562597860257723</v>
      </c>
      <c r="R33" s="74">
        <f t="shared" si="2"/>
        <v>-0.2838</v>
      </c>
    </row>
    <row r="34" spans="1:18">
      <c r="A34" s="77" t="s">
        <v>102</v>
      </c>
      <c r="B34" s="78">
        <v>-8.5134340350898139</v>
      </c>
      <c r="C34" s="79">
        <v>1675.913916901716</v>
      </c>
      <c r="D34" s="80">
        <f t="shared" si="0"/>
        <v>3.4455845779383915E-15</v>
      </c>
      <c r="E34" s="81">
        <f t="shared" si="0"/>
        <v>3.4455845779383915E-15</v>
      </c>
      <c r="G34" s="75"/>
      <c r="L34" s="55"/>
      <c r="M34" s="10"/>
      <c r="N34" s="77" t="s">
        <v>102</v>
      </c>
      <c r="O34" s="82">
        <v>-10.486936807879941</v>
      </c>
      <c r="P34" s="83">
        <v>3.23</v>
      </c>
      <c r="Q34" s="84">
        <f t="shared" si="1"/>
        <v>-7.6554638697523565</v>
      </c>
      <c r="R34" s="74">
        <f t="shared" si="2"/>
        <v>-0.2838</v>
      </c>
    </row>
    <row r="35" spans="1:18">
      <c r="A35" s="67" t="s">
        <v>103</v>
      </c>
      <c r="B35" s="68">
        <v>2.0357586846114133</v>
      </c>
      <c r="C35" s="69">
        <v>-2391.1523629446024</v>
      </c>
      <c r="D35" s="70">
        <f t="shared" si="0"/>
        <v>2.0818946518973521E-18</v>
      </c>
      <c r="E35" s="71">
        <f t="shared" si="0"/>
        <v>2.0818946518973521E-18</v>
      </c>
      <c r="G35" s="52"/>
      <c r="I35" s="38" t="s">
        <v>84</v>
      </c>
      <c r="J35" s="10"/>
      <c r="K35" s="10"/>
      <c r="L35" s="49"/>
      <c r="M35" s="10"/>
      <c r="N35" s="67" t="s">
        <v>103</v>
      </c>
      <c r="O35" s="72">
        <v>-13.048853952286766</v>
      </c>
      <c r="P35" s="73">
        <v>3.23</v>
      </c>
      <c r="Q35" s="593">
        <f t="shared" si="1"/>
        <v>-9.5256633851693397</v>
      </c>
      <c r="R35" s="74">
        <f t="shared" si="2"/>
        <v>-0.2838</v>
      </c>
    </row>
    <row r="36" spans="1:18">
      <c r="A36" s="67" t="s">
        <v>104</v>
      </c>
      <c r="B36" s="68">
        <v>-8.5702143619254709</v>
      </c>
      <c r="C36" s="69">
        <v>0</v>
      </c>
      <c r="D36" s="70">
        <f t="shared" si="0"/>
        <v>6.413737333647264E-21</v>
      </c>
      <c r="E36" s="71">
        <f t="shared" si="0"/>
        <v>6.413737333647264E-21</v>
      </c>
      <c r="G36" s="52"/>
      <c r="I36" s="85">
        <v>295.39999999999998</v>
      </c>
      <c r="J36" s="10"/>
      <c r="K36" s="10"/>
      <c r="L36" s="49"/>
      <c r="M36" s="10"/>
      <c r="N36" s="67" t="s">
        <v>104</v>
      </c>
      <c r="O36" s="72">
        <v>-15.946405454837183</v>
      </c>
      <c r="P36" s="73">
        <v>3.23</v>
      </c>
      <c r="Q36" s="593">
        <f t="shared" si="1"/>
        <v>-11.640875982031144</v>
      </c>
      <c r="R36" s="74">
        <f t="shared" si="2"/>
        <v>-0.2838</v>
      </c>
    </row>
    <row r="37" spans="1:18">
      <c r="A37" s="67" t="s">
        <v>105</v>
      </c>
      <c r="B37" s="68">
        <v>-1.2379363896405635</v>
      </c>
      <c r="C37" s="69">
        <v>1675.913916901716</v>
      </c>
      <c r="D37" s="70">
        <f t="shared" si="0"/>
        <v>6.4977135302630645E-8</v>
      </c>
      <c r="E37" s="71">
        <f t="shared" si="0"/>
        <v>6.4977135302630645E-8</v>
      </c>
      <c r="G37" s="60" t="s">
        <v>85</v>
      </c>
      <c r="H37" s="61" t="s">
        <v>86</v>
      </c>
      <c r="I37" s="86" t="s">
        <v>37</v>
      </c>
      <c r="J37" s="10"/>
      <c r="K37" s="10"/>
      <c r="L37" s="49"/>
      <c r="M37" s="10"/>
      <c r="N37" s="67" t="s">
        <v>105</v>
      </c>
      <c r="O37" s="72">
        <v>-3.2114391624306911</v>
      </c>
      <c r="P37" s="73">
        <v>3.23</v>
      </c>
      <c r="Q37" s="593">
        <f t="shared" si="1"/>
        <v>-2.3443505885744043</v>
      </c>
      <c r="R37" s="74">
        <f t="shared" si="2"/>
        <v>-0.2838</v>
      </c>
    </row>
    <row r="38" spans="1:18">
      <c r="A38" s="67" t="s">
        <v>106</v>
      </c>
      <c r="B38" s="68">
        <v>-5.7702511818254534</v>
      </c>
      <c r="C38" s="69">
        <v>1675.913916901716</v>
      </c>
      <c r="D38" s="70">
        <f t="shared" si="0"/>
        <v>1.9074175233932491E-12</v>
      </c>
      <c r="E38" s="71">
        <f t="shared" si="0"/>
        <v>1.9074175233932491E-12</v>
      </c>
      <c r="G38" s="67" t="s">
        <v>40</v>
      </c>
      <c r="H38" s="87">
        <v>1.9666623193803938</v>
      </c>
      <c r="I38" s="22">
        <v>13974340204.023058</v>
      </c>
      <c r="J38" s="10"/>
      <c r="K38" s="10"/>
      <c r="L38" s="49"/>
      <c r="M38" s="10"/>
      <c r="N38" s="67" t="s">
        <v>106</v>
      </c>
      <c r="O38" s="72">
        <v>-7.7437539546155802</v>
      </c>
      <c r="P38" s="73">
        <v>3.23</v>
      </c>
      <c r="Q38" s="593">
        <f t="shared" si="1"/>
        <v>-5.6529403868693731</v>
      </c>
      <c r="R38" s="74">
        <f t="shared" si="2"/>
        <v>-0.2838</v>
      </c>
    </row>
    <row r="39" spans="1:18">
      <c r="A39" s="67" t="s">
        <v>107</v>
      </c>
      <c r="B39" s="68">
        <v>5.1131360272480242</v>
      </c>
      <c r="C39" s="69">
        <v>-2391.1523629446024</v>
      </c>
      <c r="D39" s="70">
        <f t="shared" si="0"/>
        <v>2.4879181716558044E-15</v>
      </c>
      <c r="E39" s="71">
        <f t="shared" si="0"/>
        <v>2.4879181716558044E-15</v>
      </c>
      <c r="G39" s="67" t="s">
        <v>108</v>
      </c>
      <c r="H39" s="87">
        <v>0.72316939780052036</v>
      </c>
      <c r="I39" s="22">
        <v>797697792.70809901</v>
      </c>
      <c r="J39" s="10"/>
      <c r="K39" s="10"/>
      <c r="L39" s="49"/>
      <c r="M39" s="10"/>
      <c r="N39" s="67" t="s">
        <v>107</v>
      </c>
      <c r="O39" s="72">
        <v>-9.9714766096501535</v>
      </c>
      <c r="P39" s="73">
        <v>3.23</v>
      </c>
      <c r="Q39" s="593">
        <f t="shared" si="1"/>
        <v>-7.2791779250446123</v>
      </c>
      <c r="R39" s="74">
        <f t="shared" si="2"/>
        <v>-0.2838</v>
      </c>
    </row>
    <row r="40" spans="1:18">
      <c r="A40" s="67" t="s">
        <v>109</v>
      </c>
      <c r="B40" s="68">
        <v>-7.1128757073081221</v>
      </c>
      <c r="C40" s="69">
        <v>0</v>
      </c>
      <c r="D40" s="70">
        <f t="shared" si="0"/>
        <v>1.8384415407035625E-19</v>
      </c>
      <c r="E40" s="71">
        <f t="shared" si="0"/>
        <v>1.8384415407035625E-19</v>
      </c>
      <c r="G40" s="67" t="s">
        <v>110</v>
      </c>
      <c r="H40" s="87">
        <v>1.1096573129739258</v>
      </c>
      <c r="I40" s="22">
        <v>1942344702.75402</v>
      </c>
      <c r="J40" s="10"/>
      <c r="K40" s="10"/>
      <c r="L40" s="49"/>
      <c r="M40" s="10"/>
      <c r="N40" s="67" t="s">
        <v>109</v>
      </c>
      <c r="O40" s="72">
        <v>-14.489066800219836</v>
      </c>
      <c r="P40" s="73">
        <v>3.23</v>
      </c>
      <c r="Q40" s="593">
        <f t="shared" si="1"/>
        <v>-10.57701876416048</v>
      </c>
      <c r="R40" s="74">
        <f t="shared" si="2"/>
        <v>-0.2838</v>
      </c>
    </row>
    <row r="41" spans="1:18">
      <c r="A41" s="67" t="s">
        <v>111</v>
      </c>
      <c r="B41" s="68">
        <v>-7.7256651673126164</v>
      </c>
      <c r="C41" s="69">
        <v>0</v>
      </c>
      <c r="D41" s="70">
        <f t="shared" si="0"/>
        <v>4.4839459053911158E-20</v>
      </c>
      <c r="E41" s="71">
        <f t="shared" si="0"/>
        <v>4.4839459053911158E-20</v>
      </c>
      <c r="G41" s="67" t="s">
        <v>112</v>
      </c>
      <c r="H41" s="87">
        <v>2.2011639114007218</v>
      </c>
      <c r="I41" s="22">
        <v>23979101385.625973</v>
      </c>
      <c r="J41" s="10"/>
      <c r="K41" s="10"/>
      <c r="L41" s="49"/>
      <c r="M41" s="10"/>
      <c r="N41" s="67" t="s">
        <v>111</v>
      </c>
      <c r="O41" s="72">
        <v>-15.101856260224332</v>
      </c>
      <c r="P41" s="73">
        <v>3.23</v>
      </c>
      <c r="Q41" s="593">
        <f t="shared" si="1"/>
        <v>-11.024355069963763</v>
      </c>
      <c r="R41" s="74">
        <f t="shared" si="2"/>
        <v>-0.2838</v>
      </c>
    </row>
    <row r="42" spans="1:18">
      <c r="A42" s="67" t="s">
        <v>113</v>
      </c>
      <c r="B42" s="68">
        <v>-7.8449683830502401</v>
      </c>
      <c r="C42" s="69">
        <v>0</v>
      </c>
      <c r="D42" s="70">
        <f t="shared" si="0"/>
        <v>3.4068824483870837E-20</v>
      </c>
      <c r="E42" s="71">
        <f t="shared" si="0"/>
        <v>3.4068824483870837E-20</v>
      </c>
      <c r="G42" s="67" t="s">
        <v>114</v>
      </c>
      <c r="H42" s="87">
        <v>3.5001406439329217</v>
      </c>
      <c r="I42" s="22">
        <v>477320004953.16284</v>
      </c>
      <c r="J42" s="10"/>
      <c r="K42" s="10"/>
      <c r="L42" s="49"/>
      <c r="M42" s="10"/>
      <c r="N42" s="67" t="s">
        <v>113</v>
      </c>
      <c r="O42" s="72">
        <v>-15.221159475961954</v>
      </c>
      <c r="P42" s="73">
        <v>3.23</v>
      </c>
      <c r="Q42" s="593">
        <f t="shared" si="1"/>
        <v>-11.111446417452226</v>
      </c>
      <c r="R42" s="74">
        <f t="shared" si="2"/>
        <v>-0.2838</v>
      </c>
    </row>
    <row r="43" spans="1:18">
      <c r="A43" s="67" t="s">
        <v>115</v>
      </c>
      <c r="B43" s="68">
        <v>-3.5990444885487189</v>
      </c>
      <c r="C43" s="69">
        <v>1675.913916901716</v>
      </c>
      <c r="D43" s="70">
        <f t="shared" si="0"/>
        <v>2.8291271172328236E-10</v>
      </c>
      <c r="E43" s="71">
        <f t="shared" si="0"/>
        <v>2.8291271172328236E-10</v>
      </c>
      <c r="G43" s="67" t="s">
        <v>116</v>
      </c>
      <c r="H43" s="87">
        <v>1.1142586217886847</v>
      </c>
      <c r="I43" s="22">
        <v>1963033062.6012914</v>
      </c>
      <c r="J43" s="10"/>
      <c r="K43" s="10"/>
      <c r="L43" s="49"/>
      <c r="M43" s="10"/>
      <c r="N43" s="67" t="s">
        <v>115</v>
      </c>
      <c r="O43" s="72">
        <v>-5.5725472613388449</v>
      </c>
      <c r="P43" s="73">
        <v>3.23</v>
      </c>
      <c r="Q43" s="593">
        <f t="shared" si="1"/>
        <v>-4.0679595007773566</v>
      </c>
      <c r="R43" s="74">
        <f t="shared" si="2"/>
        <v>-0.2838</v>
      </c>
    </row>
    <row r="44" spans="1:18">
      <c r="A44" s="67" t="s">
        <v>117</v>
      </c>
      <c r="B44" s="68">
        <v>-6.7175410894840102</v>
      </c>
      <c r="C44" s="69">
        <v>1675.913916901716</v>
      </c>
      <c r="D44" s="70">
        <f t="shared" si="0"/>
        <v>2.1535544681770906E-13</v>
      </c>
      <c r="E44" s="71">
        <f t="shared" si="0"/>
        <v>2.1535544681770906E-13</v>
      </c>
      <c r="G44" s="67" t="s">
        <v>106</v>
      </c>
      <c r="H44" s="87">
        <v>1.2784137282096428</v>
      </c>
      <c r="I44" s="22">
        <v>2864723566.2314734</v>
      </c>
      <c r="J44" s="10"/>
      <c r="K44" s="10"/>
      <c r="L44" s="49"/>
      <c r="M44" s="10"/>
      <c r="N44" s="67" t="s">
        <v>117</v>
      </c>
      <c r="O44" s="72">
        <v>-8.6910438622741353</v>
      </c>
      <c r="P44" s="73">
        <v>3.23</v>
      </c>
      <c r="Q44" s="593">
        <f t="shared" si="1"/>
        <v>-6.3444620194601189</v>
      </c>
      <c r="R44" s="74">
        <f t="shared" si="2"/>
        <v>-0.2838</v>
      </c>
    </row>
    <row r="45" spans="1:18">
      <c r="A45" s="67" t="s">
        <v>67</v>
      </c>
      <c r="B45" s="68">
        <v>-8.5342181830889476</v>
      </c>
      <c r="C45" s="69">
        <v>1675.913916901716</v>
      </c>
      <c r="D45" s="70">
        <f t="shared" si="0"/>
        <v>3.2845718530755846E-15</v>
      </c>
      <c r="E45" s="71">
        <f t="shared" si="0"/>
        <v>3.2845718530755846E-15</v>
      </c>
      <c r="G45" s="67" t="s">
        <v>118</v>
      </c>
      <c r="H45" s="87">
        <v>2.9205029589320466</v>
      </c>
      <c r="I45" s="22">
        <v>125652736569.73071</v>
      </c>
      <c r="J45" s="10"/>
      <c r="K45" s="10"/>
      <c r="L45" s="49"/>
      <c r="M45" s="10"/>
      <c r="N45" s="67" t="s">
        <v>67</v>
      </c>
      <c r="O45" s="72">
        <v>-10.507720955879075</v>
      </c>
      <c r="P45" s="73">
        <v>3.23</v>
      </c>
      <c r="Q45" s="593">
        <f t="shared" si="1"/>
        <v>-7.6706362977917246</v>
      </c>
      <c r="R45" s="74">
        <f t="shared" si="2"/>
        <v>-0.2838</v>
      </c>
    </row>
    <row r="46" spans="1:18">
      <c r="A46" s="67" t="s">
        <v>119</v>
      </c>
      <c r="B46" s="68">
        <v>-5.6091007165701416</v>
      </c>
      <c r="C46" s="69">
        <v>1675.913916901716</v>
      </c>
      <c r="D46" s="70">
        <f t="shared" si="0"/>
        <v>2.764370396112355E-12</v>
      </c>
      <c r="E46" s="71">
        <f t="shared" si="0"/>
        <v>2.764370396112355E-12</v>
      </c>
      <c r="G46" s="67" t="s">
        <v>67</v>
      </c>
      <c r="H46" s="87">
        <v>0.14468422076350301</v>
      </c>
      <c r="I46" s="22">
        <v>210549014.64339387</v>
      </c>
      <c r="J46" s="10"/>
      <c r="K46" s="10"/>
      <c r="L46" s="49"/>
      <c r="M46" s="10"/>
      <c r="N46" s="67" t="s">
        <v>119</v>
      </c>
      <c r="O46" s="72">
        <v>-7.5826034893602667</v>
      </c>
      <c r="P46" s="73">
        <v>3.23</v>
      </c>
      <c r="Q46" s="593">
        <f t="shared" si="1"/>
        <v>-5.5353005472329944</v>
      </c>
      <c r="R46" s="74">
        <f t="shared" si="2"/>
        <v>-0.2838</v>
      </c>
    </row>
    <row r="47" spans="1:18">
      <c r="A47" s="67" t="s">
        <v>120</v>
      </c>
      <c r="B47" s="68">
        <v>-5.3961963060869476</v>
      </c>
      <c r="C47" s="69">
        <v>0</v>
      </c>
      <c r="D47" s="70">
        <f t="shared" si="0"/>
        <v>9.5747893007689034E-18</v>
      </c>
      <c r="E47" s="71">
        <f t="shared" si="0"/>
        <v>9.5747893007689034E-18</v>
      </c>
      <c r="G47" s="67" t="s">
        <v>119</v>
      </c>
      <c r="H47" s="87">
        <v>1.3646539896713006</v>
      </c>
      <c r="I47" s="22">
        <v>3494000656.0896826</v>
      </c>
      <c r="J47" s="10"/>
      <c r="K47" s="10"/>
      <c r="L47" s="49"/>
      <c r="M47" s="10"/>
      <c r="N47" s="67" t="s">
        <v>120</v>
      </c>
      <c r="O47" s="72">
        <v>-12.77238739899866</v>
      </c>
      <c r="P47" s="73">
        <v>3.23</v>
      </c>
      <c r="Q47" s="593">
        <f t="shared" si="1"/>
        <v>-9.3238428012690218</v>
      </c>
      <c r="R47" s="74">
        <f t="shared" si="2"/>
        <v>-0.2838</v>
      </c>
    </row>
    <row r="48" spans="1:18">
      <c r="A48" s="67" t="s">
        <v>121</v>
      </c>
      <c r="B48" s="68">
        <v>-4.9684919859754029</v>
      </c>
      <c r="C48" s="69">
        <v>0</v>
      </c>
      <c r="D48" s="70">
        <f t="shared" si="0"/>
        <v>2.5635013231387948E-17</v>
      </c>
      <c r="E48" s="71">
        <f t="shared" si="0"/>
        <v>2.5635013231387948E-17</v>
      </c>
      <c r="G48" s="67" t="s">
        <v>122</v>
      </c>
      <c r="H48" s="87">
        <v>0.60213654329802435</v>
      </c>
      <c r="I48" s="22">
        <v>603678259.64564252</v>
      </c>
      <c r="J48" s="10"/>
      <c r="K48" s="10"/>
      <c r="L48" s="49"/>
      <c r="M48" s="10"/>
      <c r="N48" s="67" t="s">
        <v>121</v>
      </c>
      <c r="O48" s="72">
        <v>-12.344683078887119</v>
      </c>
      <c r="P48" s="73">
        <v>3.23</v>
      </c>
      <c r="Q48" s="593">
        <f t="shared" si="1"/>
        <v>-9.0116186475875963</v>
      </c>
      <c r="R48" s="74">
        <f t="shared" si="2"/>
        <v>-0.2838</v>
      </c>
    </row>
    <row r="49" spans="1:18">
      <c r="A49" s="67" t="s">
        <v>123</v>
      </c>
      <c r="B49" s="68">
        <v>-6.3141682579095706</v>
      </c>
      <c r="C49" s="69">
        <v>1675.913916901716</v>
      </c>
      <c r="D49" s="70">
        <f t="shared" si="0"/>
        <v>5.4516591141153487E-13</v>
      </c>
      <c r="E49" s="71">
        <f t="shared" si="0"/>
        <v>5.4516591141153487E-13</v>
      </c>
      <c r="G49" s="67" t="s">
        <v>124</v>
      </c>
      <c r="H49" s="87">
        <v>2.7276377647968642</v>
      </c>
      <c r="I49" s="22">
        <v>80594750900.253906</v>
      </c>
      <c r="J49" s="10"/>
      <c r="K49" s="10"/>
      <c r="L49" s="49"/>
      <c r="M49" s="10"/>
      <c r="N49" s="67" t="s">
        <v>123</v>
      </c>
      <c r="O49" s="72">
        <v>-8.2876710306996966</v>
      </c>
      <c r="P49" s="73">
        <v>3.23</v>
      </c>
      <c r="Q49" s="593">
        <f t="shared" si="1"/>
        <v>-6.0499998524107781</v>
      </c>
      <c r="R49" s="74">
        <f t="shared" si="2"/>
        <v>-0.2838</v>
      </c>
    </row>
    <row r="50" spans="1:18">
      <c r="A50" s="67" t="s">
        <v>125</v>
      </c>
      <c r="B50" s="68">
        <v>-1.6482969179337801</v>
      </c>
      <c r="C50" s="69">
        <v>0</v>
      </c>
      <c r="D50" s="70">
        <f t="shared" si="0"/>
        <v>5.3583196023763339E-14</v>
      </c>
      <c r="E50" s="71">
        <f t="shared" si="0"/>
        <v>5.3583196023763339E-14</v>
      </c>
      <c r="G50" s="67" t="s">
        <v>126</v>
      </c>
      <c r="H50" s="87">
        <v>2.4493551811584453</v>
      </c>
      <c r="I50" s="22">
        <v>42464319976.33445</v>
      </c>
      <c r="J50" s="10"/>
      <c r="K50" s="10"/>
      <c r="L50" s="49"/>
      <c r="M50" s="10"/>
      <c r="N50" s="67" t="s">
        <v>125</v>
      </c>
      <c r="O50" s="72">
        <v>-9.0244880108454932</v>
      </c>
      <c r="P50" s="73">
        <v>3.23</v>
      </c>
      <c r="Q50" s="593">
        <f t="shared" si="1"/>
        <v>-6.5878762479172099</v>
      </c>
      <c r="R50" s="74">
        <f t="shared" si="2"/>
        <v>-0.2838</v>
      </c>
    </row>
    <row r="51" spans="1:18">
      <c r="A51" s="67" t="s">
        <v>127</v>
      </c>
      <c r="B51" s="68">
        <v>-1.1634082618724917</v>
      </c>
      <c r="C51" s="69">
        <v>-2391.1523629446024</v>
      </c>
      <c r="D51" s="70">
        <f t="shared" si="0"/>
        <v>1.3161088305217203E-21</v>
      </c>
      <c r="E51" s="71">
        <f t="shared" si="0"/>
        <v>1.3161088305217203E-21</v>
      </c>
      <c r="G51" s="67" t="s">
        <v>128</v>
      </c>
      <c r="H51" s="87">
        <v>2.0592768178687799</v>
      </c>
      <c r="I51" s="22">
        <v>17296005328.067699</v>
      </c>
      <c r="J51" s="10"/>
      <c r="K51" s="10"/>
      <c r="L51" s="49"/>
      <c r="M51" s="10"/>
      <c r="N51" s="67" t="s">
        <v>127</v>
      </c>
      <c r="O51" s="72">
        <v>-16.248020898770672</v>
      </c>
      <c r="P51" s="73">
        <v>3.23</v>
      </c>
      <c r="Q51" s="593">
        <f t="shared" si="1"/>
        <v>-11.86105525610259</v>
      </c>
      <c r="R51" s="74">
        <f t="shared" si="2"/>
        <v>-0.2838</v>
      </c>
    </row>
    <row r="52" spans="1:18">
      <c r="A52" s="67" t="s">
        <v>129</v>
      </c>
      <c r="B52" s="68">
        <v>0</v>
      </c>
      <c r="C52" s="69">
        <v>-2391.1523629446024</v>
      </c>
      <c r="D52" s="70">
        <f t="shared" si="0"/>
        <v>1.9173441155982654E-20</v>
      </c>
      <c r="E52" s="71">
        <f t="shared" si="0"/>
        <v>1.9173441155982654E-20</v>
      </c>
      <c r="G52" s="67" t="s">
        <v>130</v>
      </c>
      <c r="H52" s="87">
        <v>2.0758592424219944</v>
      </c>
      <c r="I52" s="22">
        <v>17969179000.638256</v>
      </c>
      <c r="J52" s="10"/>
      <c r="K52" s="10"/>
      <c r="L52" s="49"/>
      <c r="M52" s="10"/>
      <c r="N52" s="67" t="s">
        <v>129</v>
      </c>
      <c r="O52" s="72">
        <v>-15.08461263689818</v>
      </c>
      <c r="P52" s="73">
        <v>3.23</v>
      </c>
      <c r="Q52" s="593">
        <f t="shared" si="1"/>
        <v>-11.011767224935671</v>
      </c>
      <c r="R52" s="74">
        <f t="shared" si="2"/>
        <v>-0.2838</v>
      </c>
    </row>
    <row r="53" spans="1:18">
      <c r="A53" s="67" t="s">
        <v>131</v>
      </c>
      <c r="B53" s="68">
        <v>-8.3233811372565256</v>
      </c>
      <c r="C53" s="69">
        <v>1675.913916901716</v>
      </c>
      <c r="D53" s="70">
        <f t="shared" si="0"/>
        <v>5.3372287004524011E-15</v>
      </c>
      <c r="E53" s="71">
        <f t="shared" si="0"/>
        <v>5.3372287004524011E-15</v>
      </c>
      <c r="G53" s="67" t="s">
        <v>132</v>
      </c>
      <c r="H53" s="87">
        <v>-0.71526837931712417</v>
      </c>
      <c r="I53" s="22">
        <v>29067026.944583628</v>
      </c>
      <c r="J53" s="10"/>
      <c r="K53" s="10"/>
      <c r="L53" s="49"/>
      <c r="M53" s="10"/>
      <c r="N53" s="67" t="s">
        <v>131</v>
      </c>
      <c r="O53" s="72">
        <v>-10.296883910046652</v>
      </c>
      <c r="P53" s="73">
        <v>3.23</v>
      </c>
      <c r="Q53" s="593">
        <f t="shared" si="1"/>
        <v>-7.5167252543340561</v>
      </c>
      <c r="R53" s="74">
        <f t="shared" si="2"/>
        <v>-0.2838</v>
      </c>
    </row>
    <row r="54" spans="1:18">
      <c r="A54" s="67" t="s">
        <v>133</v>
      </c>
      <c r="B54" s="68">
        <v>-7.3456352697581382</v>
      </c>
      <c r="C54" s="69">
        <v>1675.913916901716</v>
      </c>
      <c r="D54" s="70">
        <f t="shared" si="0"/>
        <v>5.070627182321065E-14</v>
      </c>
      <c r="E54" s="71">
        <f t="shared" si="0"/>
        <v>5.070627182321065E-14</v>
      </c>
      <c r="G54" s="67" t="s">
        <v>134</v>
      </c>
      <c r="H54" s="88">
        <v>0</v>
      </c>
      <c r="I54" s="22">
        <v>150892965.05271903</v>
      </c>
      <c r="J54" s="10"/>
      <c r="K54" s="10"/>
      <c r="L54" s="49"/>
      <c r="M54" s="10"/>
      <c r="N54" s="67" t="s">
        <v>133</v>
      </c>
      <c r="O54" s="72">
        <v>-9.3191380425482659</v>
      </c>
      <c r="P54" s="73">
        <v>3.23</v>
      </c>
      <c r="Q54" s="593">
        <f t="shared" si="1"/>
        <v>-6.8029707710602336</v>
      </c>
      <c r="R54" s="74">
        <f t="shared" si="2"/>
        <v>-0.2838</v>
      </c>
    </row>
    <row r="55" spans="1:18">
      <c r="A55" s="67" t="s">
        <v>135</v>
      </c>
      <c r="B55" s="68">
        <v>4.790627826020228</v>
      </c>
      <c r="C55" s="69">
        <v>-2391.1523629446024</v>
      </c>
      <c r="D55" s="70">
        <f t="shared" si="0"/>
        <v>1.1839350856086541E-15</v>
      </c>
      <c r="E55" s="71">
        <f t="shared" si="0"/>
        <v>1.1839350856086541E-15</v>
      </c>
      <c r="G55" s="67" t="s">
        <v>136</v>
      </c>
      <c r="H55" s="87">
        <v>1.0641316954688826</v>
      </c>
      <c r="I55" s="22">
        <v>1749043810.7400751</v>
      </c>
      <c r="J55" s="10"/>
      <c r="K55" s="10"/>
      <c r="L55" s="49"/>
      <c r="M55" s="10"/>
      <c r="N55" s="67" t="s">
        <v>135</v>
      </c>
      <c r="O55" s="72">
        <v>-10.293984810877951</v>
      </c>
      <c r="P55" s="73">
        <v>3.23</v>
      </c>
      <c r="Q55" s="593">
        <f t="shared" si="1"/>
        <v>-7.5146089119409041</v>
      </c>
      <c r="R55" s="74">
        <f t="shared" si="2"/>
        <v>-0.2838</v>
      </c>
    </row>
    <row r="56" spans="1:18">
      <c r="A56" s="67" t="s">
        <v>137</v>
      </c>
      <c r="B56" s="68">
        <v>4.5281560541558319</v>
      </c>
      <c r="C56" s="69">
        <v>-2391.1523629446024</v>
      </c>
      <c r="D56" s="70">
        <f t="shared" si="0"/>
        <v>6.4692825418167934E-16</v>
      </c>
      <c r="E56" s="71">
        <f t="shared" si="0"/>
        <v>6.4692825418167934E-16</v>
      </c>
      <c r="G56" s="67" t="s">
        <v>138</v>
      </c>
      <c r="H56" s="87">
        <v>0.96707500152156955</v>
      </c>
      <c r="I56" s="22">
        <v>1398762543.2667451</v>
      </c>
      <c r="J56" s="10"/>
      <c r="K56" s="10"/>
      <c r="L56" s="49"/>
      <c r="M56" s="10"/>
      <c r="N56" s="67" t="s">
        <v>137</v>
      </c>
      <c r="O56" s="72">
        <v>-10.556456582742348</v>
      </c>
      <c r="P56" s="73">
        <v>3.23</v>
      </c>
      <c r="Q56" s="593">
        <f t="shared" si="1"/>
        <v>-7.7062133054019135</v>
      </c>
      <c r="R56" s="74">
        <f t="shared" si="2"/>
        <v>-0.2838</v>
      </c>
    </row>
    <row r="57" spans="1:18">
      <c r="A57" s="67" t="s">
        <v>139</v>
      </c>
      <c r="B57" s="68">
        <v>-11.944357782475985</v>
      </c>
      <c r="C57" s="69">
        <v>1675.913916901716</v>
      </c>
      <c r="D57" s="70">
        <f t="shared" si="0"/>
        <v>1.2774360484590854E-18</v>
      </c>
      <c r="E57" s="71">
        <f t="shared" si="0"/>
        <v>1.2774360484590854E-18</v>
      </c>
      <c r="G57" s="67" t="s">
        <v>140</v>
      </c>
      <c r="H57" s="87">
        <v>2.0658582536438961</v>
      </c>
      <c r="I57" s="22">
        <v>17560110569.489304</v>
      </c>
      <c r="J57" s="10"/>
      <c r="K57" s="10"/>
      <c r="L57" s="49"/>
      <c r="M57" s="10"/>
      <c r="N57" s="67" t="s">
        <v>139</v>
      </c>
      <c r="O57" s="72">
        <v>-13.91786055526611</v>
      </c>
      <c r="P57" s="73">
        <v>3.23</v>
      </c>
      <c r="Q57" s="593">
        <f t="shared" si="1"/>
        <v>-10.160038205344259</v>
      </c>
      <c r="R57" s="74">
        <f t="shared" si="2"/>
        <v>-0.2838</v>
      </c>
    </row>
    <row r="58" spans="1:18">
      <c r="A58" s="67" t="s">
        <v>141</v>
      </c>
      <c r="B58" s="68">
        <v>-5.9288727556362133</v>
      </c>
      <c r="C58" s="69">
        <v>1675.913916901716</v>
      </c>
      <c r="D58" s="70">
        <f t="shared" si="0"/>
        <v>1.3238055403677801E-12</v>
      </c>
      <c r="E58" s="71">
        <f t="shared" si="0"/>
        <v>1.3238055403677801E-12</v>
      </c>
      <c r="G58" s="67" t="s">
        <v>142</v>
      </c>
      <c r="H58" s="87">
        <v>2.263842822177458</v>
      </c>
      <c r="I58" s="22">
        <v>27702043997.748554</v>
      </c>
      <c r="J58" s="10"/>
      <c r="K58" s="10"/>
      <c r="L58" s="49"/>
      <c r="M58" s="10"/>
      <c r="N58" s="67" t="s">
        <v>141</v>
      </c>
      <c r="O58" s="72">
        <v>-7.9023755284263411</v>
      </c>
      <c r="P58" s="73">
        <v>3.23</v>
      </c>
      <c r="Q58" s="593">
        <f t="shared" si="1"/>
        <v>-5.7687341357512292</v>
      </c>
      <c r="R58" s="74">
        <f t="shared" si="2"/>
        <v>-0.2838</v>
      </c>
    </row>
    <row r="59" spans="1:18" ht="15.75" thickBot="1">
      <c r="A59" s="89" t="s">
        <v>143</v>
      </c>
      <c r="B59" s="90">
        <v>-0.45923375149611695</v>
      </c>
      <c r="C59" s="91">
        <v>0</v>
      </c>
      <c r="D59" s="92">
        <f t="shared" si="0"/>
        <v>8.2811715305335334E-13</v>
      </c>
      <c r="E59" s="93">
        <f t="shared" si="0"/>
        <v>8.2811715305335334E-13</v>
      </c>
      <c r="G59" s="89" t="s">
        <v>144</v>
      </c>
      <c r="H59" s="94">
        <v>2.0113140188640672</v>
      </c>
      <c r="I59" s="95">
        <v>15487560339.216837</v>
      </c>
      <c r="J59" s="96"/>
      <c r="K59" s="96"/>
      <c r="L59" s="97"/>
      <c r="M59" s="10"/>
      <c r="N59" s="67" t="s">
        <v>143</v>
      </c>
      <c r="O59" s="72">
        <v>-7.8354248444078305</v>
      </c>
      <c r="P59" s="73">
        <v>3.23</v>
      </c>
      <c r="Q59" s="593">
        <f t="shared" si="1"/>
        <v>-5.719860136417716</v>
      </c>
      <c r="R59" s="74">
        <f t="shared" si="2"/>
        <v>-0.2838</v>
      </c>
    </row>
    <row r="64" spans="1:18">
      <c r="A64" s="9" t="s">
        <v>145</v>
      </c>
    </row>
    <row r="65" spans="1:10" ht="30" thickBot="1">
      <c r="A65" s="98" t="s">
        <v>146</v>
      </c>
      <c r="B65" s="99" t="s">
        <v>147</v>
      </c>
      <c r="C65" s="100" t="s">
        <v>148</v>
      </c>
      <c r="D65" s="100" t="s">
        <v>149</v>
      </c>
      <c r="E65" s="100" t="s">
        <v>150</v>
      </c>
      <c r="F65" s="100" t="s">
        <v>151</v>
      </c>
      <c r="G65" s="100" t="s">
        <v>152</v>
      </c>
      <c r="H65" s="100" t="s">
        <v>153</v>
      </c>
      <c r="I65" s="100" t="s">
        <v>154</v>
      </c>
      <c r="J65" s="101" t="s">
        <v>155</v>
      </c>
    </row>
    <row r="66" spans="1:10" ht="16.5" thickTop="1" thickBot="1">
      <c r="A66" s="102" t="s">
        <v>156</v>
      </c>
      <c r="B66" s="103" t="s">
        <v>157</v>
      </c>
      <c r="C66" s="104" t="s">
        <v>157</v>
      </c>
      <c r="D66" s="104" t="s">
        <v>158</v>
      </c>
      <c r="E66" s="104" t="s">
        <v>158</v>
      </c>
      <c r="F66" s="104" t="s">
        <v>158</v>
      </c>
      <c r="G66" s="104" t="s">
        <v>158</v>
      </c>
      <c r="H66" s="104" t="s">
        <v>159</v>
      </c>
      <c r="I66" s="104"/>
      <c r="J66" s="105"/>
    </row>
    <row r="67" spans="1:10" ht="15.75" thickBot="1">
      <c r="A67" s="106" t="s">
        <v>160</v>
      </c>
      <c r="B67" s="107" t="s">
        <v>157</v>
      </c>
      <c r="C67" s="108" t="s">
        <v>161</v>
      </c>
      <c r="D67" s="108" t="s">
        <v>158</v>
      </c>
      <c r="E67" s="108" t="s">
        <v>158</v>
      </c>
      <c r="F67" s="108" t="s">
        <v>158</v>
      </c>
      <c r="G67" s="108" t="s">
        <v>158</v>
      </c>
      <c r="H67" s="108" t="s">
        <v>162</v>
      </c>
      <c r="I67" s="108" t="s">
        <v>157</v>
      </c>
      <c r="J67" s="109"/>
    </row>
    <row r="68" spans="1:10" ht="150.75" thickBot="1">
      <c r="A68" s="106" t="s">
        <v>163</v>
      </c>
      <c r="B68" s="107" t="s">
        <v>164</v>
      </c>
      <c r="C68" s="108" t="s">
        <v>157</v>
      </c>
      <c r="D68" s="108" t="s">
        <v>158</v>
      </c>
      <c r="E68" s="108" t="s">
        <v>158</v>
      </c>
      <c r="F68" s="108" t="s">
        <v>158</v>
      </c>
      <c r="G68" s="108" t="s">
        <v>158</v>
      </c>
      <c r="H68" s="108" t="s">
        <v>165</v>
      </c>
      <c r="I68" s="108" t="s">
        <v>166</v>
      </c>
      <c r="J68" s="109"/>
    </row>
    <row r="69" spans="1:10" ht="90.75" thickBot="1">
      <c r="A69" s="106" t="s">
        <v>167</v>
      </c>
      <c r="B69" s="107" t="s">
        <v>168</v>
      </c>
      <c r="C69" s="108" t="s">
        <v>157</v>
      </c>
      <c r="D69" s="108" t="s">
        <v>158</v>
      </c>
      <c r="E69" s="108" t="s">
        <v>158</v>
      </c>
      <c r="F69" s="108" t="s">
        <v>158</v>
      </c>
      <c r="G69" s="108" t="s">
        <v>158</v>
      </c>
      <c r="H69" s="108" t="s">
        <v>169</v>
      </c>
      <c r="I69" s="108" t="s">
        <v>166</v>
      </c>
      <c r="J69" s="109"/>
    </row>
    <row r="70" spans="1:10" ht="105.75" thickBot="1">
      <c r="A70" s="106" t="s">
        <v>170</v>
      </c>
      <c r="B70" s="107" t="s">
        <v>171</v>
      </c>
      <c r="C70" s="108" t="s">
        <v>172</v>
      </c>
      <c r="D70" s="107" t="s">
        <v>173</v>
      </c>
      <c r="E70" s="107" t="s">
        <v>174</v>
      </c>
      <c r="F70" s="107" t="s">
        <v>173</v>
      </c>
      <c r="G70" s="107" t="s">
        <v>173</v>
      </c>
      <c r="H70" s="107" t="s">
        <v>173</v>
      </c>
      <c r="I70" s="107" t="s">
        <v>166</v>
      </c>
      <c r="J70" s="110"/>
    </row>
    <row r="71" spans="1:10" ht="135.75" thickBot="1">
      <c r="A71" s="106" t="s">
        <v>175</v>
      </c>
      <c r="B71" s="107" t="s">
        <v>176</v>
      </c>
      <c r="C71" s="108" t="s">
        <v>172</v>
      </c>
      <c r="D71" s="107" t="s">
        <v>177</v>
      </c>
      <c r="E71" s="108" t="s">
        <v>178</v>
      </c>
      <c r="F71" s="108" t="s">
        <v>179</v>
      </c>
      <c r="G71" s="108" t="s">
        <v>180</v>
      </c>
      <c r="H71" s="108" t="s">
        <v>180</v>
      </c>
      <c r="I71" s="108" t="s">
        <v>181</v>
      </c>
      <c r="J71" s="109"/>
    </row>
    <row r="72" spans="1:10" ht="135.75" thickBot="1">
      <c r="A72" s="106" t="s">
        <v>182</v>
      </c>
      <c r="B72" s="107" t="s">
        <v>183</v>
      </c>
      <c r="C72" s="108" t="s">
        <v>184</v>
      </c>
      <c r="D72" s="108" t="s">
        <v>185</v>
      </c>
      <c r="E72" s="108" t="s">
        <v>186</v>
      </c>
      <c r="F72" s="108" t="s">
        <v>187</v>
      </c>
      <c r="G72" s="108" t="s">
        <v>188</v>
      </c>
      <c r="H72" s="108" t="s">
        <v>188</v>
      </c>
      <c r="I72" s="108" t="s">
        <v>181</v>
      </c>
      <c r="J72" s="109"/>
    </row>
    <row r="73" spans="1:10" ht="180.75" thickBot="1">
      <c r="A73" s="106" t="s">
        <v>189</v>
      </c>
      <c r="B73" s="107" t="s">
        <v>190</v>
      </c>
      <c r="C73" s="108" t="s">
        <v>191</v>
      </c>
      <c r="D73" s="108" t="s">
        <v>192</v>
      </c>
      <c r="E73" s="108" t="s">
        <v>193</v>
      </c>
      <c r="F73" s="108" t="s">
        <v>194</v>
      </c>
      <c r="G73" s="108" t="s">
        <v>195</v>
      </c>
      <c r="H73" s="108" t="s">
        <v>196</v>
      </c>
      <c r="I73" s="108" t="s">
        <v>197</v>
      </c>
      <c r="J73" s="109"/>
    </row>
    <row r="74" spans="1:10" ht="60.75" thickBot="1">
      <c r="A74" s="106" t="s">
        <v>198</v>
      </c>
      <c r="B74" s="107" t="s">
        <v>199</v>
      </c>
      <c r="C74" s="108" t="s">
        <v>157</v>
      </c>
      <c r="D74" s="108" t="s">
        <v>200</v>
      </c>
      <c r="E74" s="108" t="s">
        <v>157</v>
      </c>
      <c r="F74" s="108" t="s">
        <v>200</v>
      </c>
      <c r="G74" s="108" t="s">
        <v>200</v>
      </c>
      <c r="H74" s="108" t="s">
        <v>200</v>
      </c>
      <c r="I74" s="108" t="s">
        <v>166</v>
      </c>
      <c r="J74" s="109"/>
    </row>
    <row r="75" spans="1:10" ht="210.75" thickBot="1">
      <c r="A75" s="106" t="s">
        <v>201</v>
      </c>
      <c r="B75" s="107" t="s">
        <v>202</v>
      </c>
      <c r="C75" s="107" t="s">
        <v>203</v>
      </c>
      <c r="D75" s="107" t="s">
        <v>204</v>
      </c>
      <c r="E75" s="108" t="s">
        <v>205</v>
      </c>
      <c r="F75" s="107" t="s">
        <v>206</v>
      </c>
      <c r="G75" s="107" t="s">
        <v>207</v>
      </c>
      <c r="H75" s="108" t="s">
        <v>208</v>
      </c>
      <c r="I75" s="108" t="s">
        <v>197</v>
      </c>
      <c r="J75" s="109"/>
    </row>
    <row r="76" spans="1:10" ht="180.75" thickBot="1">
      <c r="A76" s="106" t="s">
        <v>209</v>
      </c>
      <c r="B76" s="107" t="s">
        <v>210</v>
      </c>
      <c r="C76" s="108" t="s">
        <v>157</v>
      </c>
      <c r="D76" s="108" t="s">
        <v>211</v>
      </c>
      <c r="E76" s="108" t="s">
        <v>212</v>
      </c>
      <c r="F76" s="108" t="s">
        <v>213</v>
      </c>
      <c r="G76" s="108" t="s">
        <v>214</v>
      </c>
      <c r="H76" s="107" t="s">
        <v>215</v>
      </c>
      <c r="I76" s="108" t="s">
        <v>166</v>
      </c>
      <c r="J76" s="110"/>
    </row>
    <row r="77" spans="1:10" ht="75.75" thickBot="1">
      <c r="A77" s="106" t="s">
        <v>216</v>
      </c>
      <c r="B77" s="107" t="s">
        <v>217</v>
      </c>
      <c r="C77" s="108" t="s">
        <v>218</v>
      </c>
      <c r="D77" s="107" t="s">
        <v>219</v>
      </c>
      <c r="E77" s="107" t="s">
        <v>220</v>
      </c>
      <c r="F77" s="107" t="s">
        <v>221</v>
      </c>
      <c r="G77" s="107" t="s">
        <v>222</v>
      </c>
      <c r="H77" s="108" t="s">
        <v>223</v>
      </c>
      <c r="I77" s="107" t="s">
        <v>224</v>
      </c>
      <c r="J77" s="110"/>
    </row>
    <row r="78" spans="1:10" ht="30.75" thickBot="1">
      <c r="A78" s="106" t="s">
        <v>225</v>
      </c>
      <c r="B78" s="108" t="s">
        <v>226</v>
      </c>
      <c r="C78" s="108" t="s">
        <v>157</v>
      </c>
      <c r="D78" s="108" t="s">
        <v>158</v>
      </c>
      <c r="E78" s="108" t="s">
        <v>158</v>
      </c>
      <c r="F78" s="108" t="s">
        <v>158</v>
      </c>
      <c r="G78" s="108" t="s">
        <v>158</v>
      </c>
      <c r="H78" s="108" t="s">
        <v>227</v>
      </c>
      <c r="I78" s="107" t="s">
        <v>228</v>
      </c>
      <c r="J78" s="109"/>
    </row>
    <row r="79" spans="1:10" ht="45.75" thickBot="1">
      <c r="A79" s="106" t="s">
        <v>229</v>
      </c>
      <c r="B79" s="107" t="s">
        <v>230</v>
      </c>
      <c r="C79" s="108" t="s">
        <v>172</v>
      </c>
      <c r="D79" s="107" t="s">
        <v>231</v>
      </c>
      <c r="E79" s="107" t="s">
        <v>157</v>
      </c>
      <c r="F79" s="107" t="s">
        <v>231</v>
      </c>
      <c r="G79" s="107" t="s">
        <v>231</v>
      </c>
      <c r="H79" s="108" t="s">
        <v>231</v>
      </c>
      <c r="I79" s="107" t="s">
        <v>166</v>
      </c>
      <c r="J79" s="109"/>
    </row>
    <row r="80" spans="1:10" ht="15.75" thickBot="1">
      <c r="A80" s="106" t="s">
        <v>232</v>
      </c>
      <c r="B80" s="107" t="s">
        <v>233</v>
      </c>
      <c r="C80" s="108" t="s">
        <v>172</v>
      </c>
      <c r="D80" s="107" t="s">
        <v>157</v>
      </c>
      <c r="E80" s="108" t="s">
        <v>157</v>
      </c>
      <c r="F80" s="107" t="s">
        <v>157</v>
      </c>
      <c r="G80" s="107" t="s">
        <v>157</v>
      </c>
      <c r="H80" s="108" t="s">
        <v>157</v>
      </c>
      <c r="I80" s="108"/>
      <c r="J80" s="109"/>
    </row>
    <row r="81" spans="1:10" ht="45.75" thickBot="1">
      <c r="A81" s="106" t="s">
        <v>234</v>
      </c>
      <c r="B81" s="107" t="s">
        <v>235</v>
      </c>
      <c r="C81" s="108" t="s">
        <v>236</v>
      </c>
      <c r="D81" s="107" t="s">
        <v>237</v>
      </c>
      <c r="E81" s="108" t="s">
        <v>157</v>
      </c>
      <c r="F81" s="108" t="s">
        <v>237</v>
      </c>
      <c r="G81" s="107" t="s">
        <v>237</v>
      </c>
      <c r="H81" s="108" t="s">
        <v>237</v>
      </c>
      <c r="I81" s="108" t="s">
        <v>224</v>
      </c>
      <c r="J81" s="109"/>
    </row>
    <row r="82" spans="1:10">
      <c r="A82" s="111" t="s">
        <v>238</v>
      </c>
      <c r="B82" s="112" t="s">
        <v>239</v>
      </c>
      <c r="C82" s="113" t="s">
        <v>157</v>
      </c>
      <c r="D82" s="113" t="s">
        <v>158</v>
      </c>
      <c r="E82" s="113" t="s">
        <v>158</v>
      </c>
      <c r="F82" s="113" t="s">
        <v>158</v>
      </c>
      <c r="G82" s="113" t="s">
        <v>158</v>
      </c>
      <c r="H82" s="113" t="s">
        <v>158</v>
      </c>
      <c r="I82" s="113"/>
      <c r="J82" s="114"/>
    </row>
  </sheetData>
  <sheetProtection sheet="1" objects="1" scenarios="1" formatCells="0" formatColumns="0" formatRows="0"/>
  <mergeCells count="6">
    <mergeCell ref="N4:Q6"/>
    <mergeCell ref="Q8:Q10"/>
    <mergeCell ref="O9:O10"/>
    <mergeCell ref="N21:R22"/>
    <mergeCell ref="A23:B26"/>
    <mergeCell ref="G24:K27"/>
  </mergeCells>
  <hyperlinks>
    <hyperlink ref="A17" r:id="rId1" xr:uid="{AC478C20-E2E5-480D-9A12-961BCA9490E9}"/>
    <hyperlink ref="N17" r:id="rId2" display="https://doi.org/10.1038%2Fs41370-021-00354-0" xr:uid="{69566450-DAB7-4FDD-8855-2C9E7052CAEE}"/>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0964-DC47-4176-BFED-CAA12317EE45}">
  <sheetPr codeName="Sheet5"/>
  <dimension ref="A1:D12"/>
  <sheetViews>
    <sheetView zoomScale="98" zoomScaleNormal="100" workbookViewId="0">
      <pane ySplit="1" topLeftCell="A2" activePane="bottomLeft" state="frozen"/>
      <selection pane="bottomLeft" activeCell="D6" sqref="D6"/>
      <selection activeCell="G6" sqref="G6"/>
    </sheetView>
  </sheetViews>
  <sheetFormatPr defaultColWidth="8.7109375" defaultRowHeight="15"/>
  <cols>
    <col min="1" max="1" width="37.7109375" style="122" customWidth="1"/>
    <col min="2" max="2" width="26.28515625" style="10" customWidth="1"/>
    <col min="3" max="3" width="49.140625" style="10" customWidth="1"/>
    <col min="4" max="4" width="92.42578125" style="10" customWidth="1"/>
    <col min="5" max="5" width="50.7109375" style="10" customWidth="1"/>
    <col min="6" max="16384" width="8.7109375" style="10"/>
  </cols>
  <sheetData>
    <row r="1" spans="1:4" ht="18.75">
      <c r="A1" s="115" t="s">
        <v>240</v>
      </c>
      <c r="B1" s="116" t="s">
        <v>241</v>
      </c>
      <c r="C1" s="117" t="s">
        <v>5</v>
      </c>
      <c r="D1" s="118" t="s">
        <v>242</v>
      </c>
    </row>
    <row r="2" spans="1:4" ht="76.5">
      <c r="A2" s="609" t="s">
        <v>243</v>
      </c>
      <c r="B2" s="609" t="s">
        <v>244</v>
      </c>
      <c r="C2" s="609" t="s">
        <v>245</v>
      </c>
      <c r="D2" s="609" t="s">
        <v>246</v>
      </c>
    </row>
    <row r="3" spans="1:4" ht="89.25">
      <c r="A3" s="119" t="s">
        <v>243</v>
      </c>
      <c r="B3" s="120" t="s">
        <v>247</v>
      </c>
      <c r="C3" s="609" t="s">
        <v>248</v>
      </c>
      <c r="D3" s="609" t="s">
        <v>249</v>
      </c>
    </row>
    <row r="4" spans="1:4" ht="78" customHeight="1">
      <c r="A4" s="574" t="s">
        <v>250</v>
      </c>
      <c r="B4" s="609" t="s">
        <v>251</v>
      </c>
      <c r="C4" s="609" t="s">
        <v>252</v>
      </c>
      <c r="D4" s="609" t="s">
        <v>253</v>
      </c>
    </row>
    <row r="5" spans="1:4" ht="76.5">
      <c r="A5" s="574" t="s">
        <v>250</v>
      </c>
      <c r="B5" s="120" t="s">
        <v>254</v>
      </c>
      <c r="C5" s="120" t="s">
        <v>255</v>
      </c>
      <c r="D5" s="609" t="s">
        <v>256</v>
      </c>
    </row>
    <row r="6" spans="1:4" ht="51">
      <c r="A6" s="609" t="s">
        <v>257</v>
      </c>
      <c r="B6" s="121" t="s">
        <v>258</v>
      </c>
      <c r="C6" s="609" t="s">
        <v>259</v>
      </c>
      <c r="D6" s="609" t="s">
        <v>260</v>
      </c>
    </row>
    <row r="7" spans="1:4" ht="63.75">
      <c r="A7" s="609" t="s">
        <v>257</v>
      </c>
      <c r="B7" s="121" t="s">
        <v>261</v>
      </c>
      <c r="C7" s="609" t="s">
        <v>262</v>
      </c>
      <c r="D7" s="589" t="s">
        <v>263</v>
      </c>
    </row>
    <row r="8" spans="1:4" ht="77.099999999999994" customHeight="1">
      <c r="A8" s="609" t="s">
        <v>257</v>
      </c>
      <c r="B8" s="609" t="s">
        <v>264</v>
      </c>
      <c r="C8" s="609" t="s">
        <v>265</v>
      </c>
      <c r="D8" s="589" t="s">
        <v>266</v>
      </c>
    </row>
    <row r="9" spans="1:4" ht="114.75">
      <c r="A9" s="574" t="s">
        <v>267</v>
      </c>
      <c r="B9" s="609" t="s">
        <v>268</v>
      </c>
      <c r="C9" s="609" t="s">
        <v>269</v>
      </c>
      <c r="D9" s="609" t="s">
        <v>270</v>
      </c>
    </row>
    <row r="10" spans="1:4" ht="89.25">
      <c r="A10" s="609" t="s">
        <v>267</v>
      </c>
      <c r="B10" s="609" t="s">
        <v>271</v>
      </c>
      <c r="C10" s="609" t="s">
        <v>272</v>
      </c>
      <c r="D10" s="609" t="s">
        <v>273</v>
      </c>
    </row>
    <row r="11" spans="1:4" ht="73.5" customHeight="1">
      <c r="A11" s="574" t="s">
        <v>267</v>
      </c>
      <c r="B11" s="609" t="s">
        <v>274</v>
      </c>
      <c r="C11" s="609" t="s">
        <v>275</v>
      </c>
      <c r="D11" s="609" t="s">
        <v>276</v>
      </c>
    </row>
    <row r="12" spans="1:4" ht="89.25">
      <c r="A12" s="119" t="s">
        <v>267</v>
      </c>
      <c r="B12" s="609" t="s">
        <v>277</v>
      </c>
      <c r="C12" s="609" t="s">
        <v>278</v>
      </c>
      <c r="D12" s="609" t="s">
        <v>279</v>
      </c>
    </row>
  </sheetData>
  <sheetProtection sheet="1" objects="1" scenarios="1" formatCells="0" formatColumns="0" formatRows="0"/>
  <sortState xmlns:xlrd2="http://schemas.microsoft.com/office/spreadsheetml/2017/richdata2" ref="A2:D12">
    <sortCondition ref="A2:A12"/>
    <sortCondition ref="B2:B12"/>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4739-461F-4E13-9BC3-674A888591C7}">
  <sheetPr codeName="Sheet6"/>
  <dimension ref="A1:U65"/>
  <sheetViews>
    <sheetView workbookViewId="0">
      <selection activeCell="D2" sqref="D2"/>
    </sheetView>
  </sheetViews>
  <sheetFormatPr defaultColWidth="9.140625" defaultRowHeight="15" outlineLevelCol="1"/>
  <cols>
    <col min="1" max="1" width="16.7109375" style="124" customWidth="1"/>
    <col min="2" max="2" width="37.42578125" style="124" customWidth="1"/>
    <col min="3" max="3" width="21.7109375" style="124" bestFit="1" customWidth="1"/>
    <col min="4" max="4" width="73.140625" style="124" bestFit="1" customWidth="1"/>
    <col min="5" max="5" width="30.85546875" style="124" customWidth="1"/>
    <col min="6" max="6" width="18.7109375" style="124" customWidth="1"/>
    <col min="7" max="9" width="8.7109375" style="124" customWidth="1" outlineLevel="1"/>
    <col min="10" max="12" width="8.7109375" style="124" customWidth="1"/>
    <col min="13" max="13" width="9.140625" style="124"/>
    <col min="14" max="14" width="14" style="124" customWidth="1"/>
    <col min="15" max="15" width="8.85546875" style="124" bestFit="1" customWidth="1"/>
    <col min="16" max="16" width="10.5703125" style="124" customWidth="1"/>
    <col min="17" max="17" width="14.42578125" style="124" customWidth="1"/>
    <col min="18" max="18" width="16" style="124" customWidth="1"/>
    <col min="19" max="19" width="98.140625" style="124" customWidth="1"/>
    <col min="20" max="20" width="25.85546875" style="124" customWidth="1"/>
    <col min="21" max="21" width="28.7109375" style="124" customWidth="1"/>
    <col min="22" max="16384" width="9.140625" style="124"/>
  </cols>
  <sheetData>
    <row r="1" spans="1:20" ht="108.75">
      <c r="A1" s="123" t="s">
        <v>280</v>
      </c>
      <c r="B1" s="123" t="s">
        <v>281</v>
      </c>
      <c r="C1" s="123" t="s">
        <v>282</v>
      </c>
      <c r="D1" s="123" t="s">
        <v>283</v>
      </c>
      <c r="E1" s="123" t="s">
        <v>284</v>
      </c>
      <c r="F1" s="123" t="s">
        <v>285</v>
      </c>
      <c r="G1" s="123" t="s">
        <v>286</v>
      </c>
      <c r="H1" s="123" t="s">
        <v>287</v>
      </c>
      <c r="I1" s="123" t="s">
        <v>288</v>
      </c>
      <c r="J1" s="123" t="s">
        <v>289</v>
      </c>
      <c r="K1" s="123" t="s">
        <v>290</v>
      </c>
      <c r="L1" s="123" t="s">
        <v>291</v>
      </c>
      <c r="M1" s="123" t="s">
        <v>292</v>
      </c>
      <c r="N1" s="123" t="s">
        <v>293</v>
      </c>
      <c r="O1" s="123" t="s">
        <v>294</v>
      </c>
      <c r="P1" s="123" t="s">
        <v>295</v>
      </c>
      <c r="Q1" s="123" t="s">
        <v>296</v>
      </c>
      <c r="R1" s="123" t="s">
        <v>297</v>
      </c>
      <c r="S1" s="123" t="s">
        <v>298</v>
      </c>
      <c r="T1" s="123" t="s">
        <v>299</v>
      </c>
    </row>
    <row r="2" spans="1:20" ht="60">
      <c r="A2" s="125" t="s">
        <v>300</v>
      </c>
      <c r="B2" s="125" t="s">
        <v>301</v>
      </c>
      <c r="C2" s="125" t="s">
        <v>302</v>
      </c>
      <c r="D2" s="126" t="s">
        <v>303</v>
      </c>
      <c r="E2" s="125" t="s">
        <v>304</v>
      </c>
      <c r="F2" s="125" t="s">
        <v>305</v>
      </c>
      <c r="G2" s="125">
        <v>4</v>
      </c>
      <c r="H2" s="125">
        <f>AVERAGE(G2,I2)</f>
        <v>7</v>
      </c>
      <c r="I2" s="125">
        <v>10</v>
      </c>
      <c r="J2" s="125">
        <f>G2/100</f>
        <v>0.04</v>
      </c>
      <c r="K2" s="125">
        <f>H2/100</f>
        <v>7.0000000000000007E-2</v>
      </c>
      <c r="L2" s="125">
        <f>I2/100</f>
        <v>0.1</v>
      </c>
      <c r="M2" s="125" t="s">
        <v>306</v>
      </c>
      <c r="N2" s="125" t="s">
        <v>307</v>
      </c>
      <c r="O2" s="125" t="s">
        <v>308</v>
      </c>
      <c r="P2" s="125" t="s">
        <v>309</v>
      </c>
      <c r="Q2" s="125" t="s">
        <v>310</v>
      </c>
      <c r="R2" s="127" t="s">
        <v>311</v>
      </c>
      <c r="S2" s="128" t="s">
        <v>312</v>
      </c>
      <c r="T2" s="125" t="s">
        <v>313</v>
      </c>
    </row>
    <row r="3" spans="1:20" ht="60">
      <c r="A3" s="125" t="s">
        <v>300</v>
      </c>
      <c r="B3" s="125" t="s">
        <v>314</v>
      </c>
      <c r="C3" s="125" t="s">
        <v>302</v>
      </c>
      <c r="D3" s="125" t="s">
        <v>315</v>
      </c>
      <c r="E3" s="125" t="s">
        <v>316</v>
      </c>
      <c r="F3" s="125" t="s">
        <v>317</v>
      </c>
      <c r="G3" s="125">
        <v>1</v>
      </c>
      <c r="H3" s="125">
        <f t="shared" ref="H3:H10" si="0">AVERAGE(G3,I3)</f>
        <v>1.5</v>
      </c>
      <c r="I3" s="125">
        <v>2</v>
      </c>
      <c r="J3" s="125">
        <f t="shared" ref="J3:L10" si="1">G3/100</f>
        <v>0.01</v>
      </c>
      <c r="K3" s="125">
        <f t="shared" si="1"/>
        <v>1.4999999999999999E-2</v>
      </c>
      <c r="L3" s="125">
        <f t="shared" si="1"/>
        <v>0.02</v>
      </c>
      <c r="M3" s="125" t="s">
        <v>306</v>
      </c>
      <c r="N3" s="125" t="s">
        <v>307</v>
      </c>
      <c r="O3" s="125" t="s">
        <v>318</v>
      </c>
      <c r="P3" s="125" t="s">
        <v>319</v>
      </c>
      <c r="Q3" s="125" t="s">
        <v>320</v>
      </c>
      <c r="R3" s="127" t="s">
        <v>311</v>
      </c>
      <c r="S3" s="128" t="s">
        <v>321</v>
      </c>
      <c r="T3" s="125"/>
    </row>
    <row r="4" spans="1:20" ht="150">
      <c r="A4" s="125" t="s">
        <v>300</v>
      </c>
      <c r="B4" s="125" t="s">
        <v>322</v>
      </c>
      <c r="C4" s="125" t="s">
        <v>302</v>
      </c>
      <c r="D4" s="125" t="s">
        <v>323</v>
      </c>
      <c r="E4" s="125" t="s">
        <v>324</v>
      </c>
      <c r="F4" s="125" t="s">
        <v>325</v>
      </c>
      <c r="G4" s="125">
        <v>3.85</v>
      </c>
      <c r="H4" s="125">
        <f t="shared" si="0"/>
        <v>3.85</v>
      </c>
      <c r="I4" s="125">
        <v>3.85</v>
      </c>
      <c r="J4" s="125">
        <f t="shared" si="1"/>
        <v>3.85E-2</v>
      </c>
      <c r="K4" s="125">
        <f t="shared" si="1"/>
        <v>3.85E-2</v>
      </c>
      <c r="L4" s="125">
        <f t="shared" si="1"/>
        <v>3.85E-2</v>
      </c>
      <c r="M4" s="125" t="s">
        <v>306</v>
      </c>
      <c r="N4" s="125" t="s">
        <v>307</v>
      </c>
      <c r="O4" s="125" t="s">
        <v>308</v>
      </c>
      <c r="P4" s="125" t="s">
        <v>326</v>
      </c>
      <c r="Q4" s="125" t="s">
        <v>327</v>
      </c>
      <c r="R4" s="127" t="s">
        <v>311</v>
      </c>
      <c r="S4" s="128" t="s">
        <v>328</v>
      </c>
      <c r="T4" s="125" t="s">
        <v>329</v>
      </c>
    </row>
    <row r="5" spans="1:20" ht="180">
      <c r="A5" s="125" t="s">
        <v>300</v>
      </c>
      <c r="B5" s="125" t="s">
        <v>330</v>
      </c>
      <c r="C5" s="125" t="s">
        <v>302</v>
      </c>
      <c r="D5" s="125" t="s">
        <v>331</v>
      </c>
      <c r="E5" s="125" t="s">
        <v>316</v>
      </c>
      <c r="F5" s="125" t="s">
        <v>332</v>
      </c>
      <c r="G5" s="125">
        <v>1</v>
      </c>
      <c r="H5" s="125">
        <f t="shared" si="0"/>
        <v>1.5</v>
      </c>
      <c r="I5" s="125">
        <v>2</v>
      </c>
      <c r="J5" s="125">
        <f t="shared" si="1"/>
        <v>0.01</v>
      </c>
      <c r="K5" s="125">
        <f t="shared" si="1"/>
        <v>1.4999999999999999E-2</v>
      </c>
      <c r="L5" s="125">
        <f t="shared" si="1"/>
        <v>0.02</v>
      </c>
      <c r="M5" s="125" t="s">
        <v>306</v>
      </c>
      <c r="N5" s="125" t="s">
        <v>333</v>
      </c>
      <c r="O5" s="125" t="s">
        <v>334</v>
      </c>
      <c r="P5" s="125" t="s">
        <v>335</v>
      </c>
      <c r="Q5" s="125" t="s">
        <v>310</v>
      </c>
      <c r="R5" s="127" t="s">
        <v>336</v>
      </c>
      <c r="S5" s="128" t="s">
        <v>337</v>
      </c>
      <c r="T5" s="125"/>
    </row>
    <row r="6" spans="1:20" ht="105">
      <c r="A6" s="125" t="s">
        <v>338</v>
      </c>
      <c r="B6" s="125" t="s">
        <v>339</v>
      </c>
      <c r="C6" s="125" t="s">
        <v>302</v>
      </c>
      <c r="D6" s="125" t="s">
        <v>340</v>
      </c>
      <c r="E6" s="125" t="s">
        <v>341</v>
      </c>
      <c r="F6" s="125" t="s">
        <v>342</v>
      </c>
      <c r="G6" s="125">
        <v>0</v>
      </c>
      <c r="H6" s="125">
        <f t="shared" si="0"/>
        <v>1.5</v>
      </c>
      <c r="I6" s="125">
        <v>3</v>
      </c>
      <c r="J6" s="125">
        <f t="shared" si="1"/>
        <v>0</v>
      </c>
      <c r="K6" s="125">
        <f t="shared" si="1"/>
        <v>1.4999999999999999E-2</v>
      </c>
      <c r="L6" s="125">
        <f t="shared" si="1"/>
        <v>0.03</v>
      </c>
      <c r="M6" s="125" t="s">
        <v>306</v>
      </c>
      <c r="N6" s="125" t="s">
        <v>343</v>
      </c>
      <c r="O6" s="125" t="s">
        <v>308</v>
      </c>
      <c r="P6" s="125" t="s">
        <v>344</v>
      </c>
      <c r="Q6" s="125" t="s">
        <v>320</v>
      </c>
      <c r="R6" s="127" t="s">
        <v>311</v>
      </c>
      <c r="S6" s="128" t="s">
        <v>345</v>
      </c>
      <c r="T6" s="125"/>
    </row>
    <row r="7" spans="1:20" ht="195">
      <c r="A7" s="125" t="s">
        <v>300</v>
      </c>
      <c r="B7" s="125" t="s">
        <v>346</v>
      </c>
      <c r="C7" s="125" t="s">
        <v>302</v>
      </c>
      <c r="D7" s="125" t="s">
        <v>347</v>
      </c>
      <c r="E7" s="125" t="s">
        <v>348</v>
      </c>
      <c r="F7" s="125" t="s">
        <v>349</v>
      </c>
      <c r="G7" s="125">
        <v>10</v>
      </c>
      <c r="H7" s="125">
        <f t="shared" si="0"/>
        <v>20</v>
      </c>
      <c r="I7" s="125">
        <v>30</v>
      </c>
      <c r="J7" s="125">
        <f t="shared" si="1"/>
        <v>0.1</v>
      </c>
      <c r="K7" s="125">
        <f t="shared" si="1"/>
        <v>0.2</v>
      </c>
      <c r="L7" s="125">
        <f t="shared" si="1"/>
        <v>0.3</v>
      </c>
      <c r="M7" s="125" t="s">
        <v>306</v>
      </c>
      <c r="N7" s="125" t="s">
        <v>333</v>
      </c>
      <c r="O7" s="125" t="s">
        <v>308</v>
      </c>
      <c r="P7" s="125" t="s">
        <v>350</v>
      </c>
      <c r="Q7" s="125" t="s">
        <v>310</v>
      </c>
      <c r="R7" s="127" t="s">
        <v>311</v>
      </c>
      <c r="S7" s="128" t="s">
        <v>351</v>
      </c>
      <c r="T7" s="125"/>
    </row>
    <row r="8" spans="1:20" ht="75">
      <c r="A8" s="125" t="s">
        <v>300</v>
      </c>
      <c r="B8" s="125" t="s">
        <v>352</v>
      </c>
      <c r="C8" s="125" t="s">
        <v>302</v>
      </c>
      <c r="D8" s="125" t="s">
        <v>353</v>
      </c>
      <c r="E8" s="125" t="s">
        <v>316</v>
      </c>
      <c r="F8" s="125" t="s">
        <v>354</v>
      </c>
      <c r="G8" s="125">
        <v>1</v>
      </c>
      <c r="H8" s="125">
        <f t="shared" si="0"/>
        <v>1.5</v>
      </c>
      <c r="I8" s="125">
        <v>2</v>
      </c>
      <c r="J8" s="125">
        <f t="shared" si="1"/>
        <v>0.01</v>
      </c>
      <c r="K8" s="125">
        <f t="shared" si="1"/>
        <v>1.4999999999999999E-2</v>
      </c>
      <c r="L8" s="125">
        <f t="shared" si="1"/>
        <v>0.02</v>
      </c>
      <c r="M8" s="125" t="s">
        <v>306</v>
      </c>
      <c r="N8" s="125" t="s">
        <v>307</v>
      </c>
      <c r="O8" s="125" t="s">
        <v>355</v>
      </c>
      <c r="P8" s="125" t="s">
        <v>319</v>
      </c>
      <c r="Q8" s="125" t="s">
        <v>310</v>
      </c>
      <c r="R8" s="127" t="s">
        <v>336</v>
      </c>
      <c r="S8" s="125" t="s">
        <v>356</v>
      </c>
      <c r="T8" s="125"/>
    </row>
    <row r="9" spans="1:20" ht="150">
      <c r="A9" s="125" t="s">
        <v>338</v>
      </c>
      <c r="B9" s="125" t="s">
        <v>357</v>
      </c>
      <c r="C9" s="125" t="s">
        <v>358</v>
      </c>
      <c r="D9" s="125" t="s">
        <v>359</v>
      </c>
      <c r="E9" s="125" t="s">
        <v>360</v>
      </c>
      <c r="F9" s="125" t="s">
        <v>361</v>
      </c>
      <c r="G9" s="125">
        <v>5</v>
      </c>
      <c r="H9" s="125">
        <f t="shared" si="0"/>
        <v>7.5</v>
      </c>
      <c r="I9" s="125">
        <v>10</v>
      </c>
      <c r="J9" s="125">
        <f t="shared" si="1"/>
        <v>0.05</v>
      </c>
      <c r="K9" s="125">
        <f t="shared" si="1"/>
        <v>7.4999999999999997E-2</v>
      </c>
      <c r="L9" s="125">
        <f t="shared" si="1"/>
        <v>0.1</v>
      </c>
      <c r="M9" s="125" t="s">
        <v>306</v>
      </c>
      <c r="N9" s="125" t="s">
        <v>343</v>
      </c>
      <c r="O9" s="125">
        <v>0.91</v>
      </c>
      <c r="P9" s="125" t="s">
        <v>362</v>
      </c>
      <c r="Q9" s="125" t="s">
        <v>310</v>
      </c>
      <c r="R9" s="127" t="s">
        <v>311</v>
      </c>
      <c r="S9" s="128" t="s">
        <v>363</v>
      </c>
      <c r="T9" s="125" t="s">
        <v>364</v>
      </c>
    </row>
    <row r="10" spans="1:20" ht="90">
      <c r="A10" s="125" t="s">
        <v>365</v>
      </c>
      <c r="B10" s="125" t="s">
        <v>366</v>
      </c>
      <c r="C10" s="125" t="s">
        <v>358</v>
      </c>
      <c r="D10" s="126" t="s">
        <v>367</v>
      </c>
      <c r="E10" s="125" t="s">
        <v>368</v>
      </c>
      <c r="F10" s="125" t="s">
        <v>369</v>
      </c>
      <c r="G10" s="125">
        <v>30</v>
      </c>
      <c r="H10" s="125">
        <f t="shared" si="0"/>
        <v>45</v>
      </c>
      <c r="I10" s="125">
        <v>60</v>
      </c>
      <c r="J10" s="125">
        <f t="shared" si="1"/>
        <v>0.3</v>
      </c>
      <c r="K10" s="125">
        <f t="shared" si="1"/>
        <v>0.45</v>
      </c>
      <c r="L10" s="125">
        <f t="shared" si="1"/>
        <v>0.6</v>
      </c>
      <c r="M10" s="125" t="s">
        <v>306</v>
      </c>
      <c r="N10" s="125" t="s">
        <v>343</v>
      </c>
      <c r="O10" s="125">
        <v>1.36</v>
      </c>
      <c r="P10" s="125" t="s">
        <v>370</v>
      </c>
      <c r="Q10" s="125" t="s">
        <v>320</v>
      </c>
      <c r="R10" s="127" t="s">
        <v>371</v>
      </c>
      <c r="S10" s="125" t="s">
        <v>372</v>
      </c>
      <c r="T10" s="125" t="s">
        <v>373</v>
      </c>
    </row>
    <row r="11" spans="1:20" s="130" customFormat="1" ht="30">
      <c r="A11" s="125"/>
      <c r="B11" s="125" t="s">
        <v>374</v>
      </c>
      <c r="C11" s="125" t="s">
        <v>375</v>
      </c>
      <c r="D11" s="125" t="s">
        <v>376</v>
      </c>
      <c r="E11" s="125" t="s">
        <v>377</v>
      </c>
      <c r="F11" s="125" t="s">
        <v>378</v>
      </c>
      <c r="G11" s="125"/>
      <c r="H11" s="125"/>
      <c r="I11" s="125"/>
      <c r="J11" s="125"/>
      <c r="K11" s="125"/>
      <c r="L11" s="125"/>
      <c r="M11" s="125" t="s">
        <v>379</v>
      </c>
      <c r="N11" s="125"/>
      <c r="O11" s="125"/>
      <c r="P11" s="125"/>
      <c r="Q11" s="125"/>
      <c r="R11" s="129"/>
      <c r="S11" s="125"/>
      <c r="T11" s="125" t="s">
        <v>380</v>
      </c>
    </row>
    <row r="12" spans="1:20" s="130" customFormat="1" ht="30">
      <c r="A12" s="125"/>
      <c r="B12" s="125" t="s">
        <v>374</v>
      </c>
      <c r="C12" s="125" t="s">
        <v>375</v>
      </c>
      <c r="D12" s="125" t="s">
        <v>376</v>
      </c>
      <c r="E12" s="125" t="s">
        <v>381</v>
      </c>
      <c r="F12" s="125" t="s">
        <v>382</v>
      </c>
      <c r="G12" s="125"/>
      <c r="H12" s="125"/>
      <c r="I12" s="125"/>
      <c r="J12" s="125"/>
      <c r="K12" s="125"/>
      <c r="L12" s="125"/>
      <c r="M12" s="125" t="s">
        <v>379</v>
      </c>
      <c r="N12" s="125"/>
      <c r="O12" s="125"/>
      <c r="P12" s="125"/>
      <c r="Q12" s="125"/>
      <c r="R12" s="129"/>
      <c r="S12" s="125"/>
      <c r="T12" s="125" t="s">
        <v>380</v>
      </c>
    </row>
    <row r="13" spans="1:20" s="130" customFormat="1" ht="30">
      <c r="A13" s="125"/>
      <c r="B13" s="125" t="s">
        <v>374</v>
      </c>
      <c r="C13" s="125" t="s">
        <v>375</v>
      </c>
      <c r="D13" s="125" t="s">
        <v>383</v>
      </c>
      <c r="E13" s="125" t="s">
        <v>381</v>
      </c>
      <c r="F13" s="125" t="s">
        <v>382</v>
      </c>
      <c r="G13" s="125"/>
      <c r="H13" s="125"/>
      <c r="I13" s="125"/>
      <c r="J13" s="125"/>
      <c r="K13" s="125"/>
      <c r="L13" s="125"/>
      <c r="M13" s="125" t="s">
        <v>379</v>
      </c>
      <c r="N13" s="125"/>
      <c r="O13" s="125"/>
      <c r="P13" s="125"/>
      <c r="Q13" s="125"/>
      <c r="R13" s="129"/>
      <c r="S13" s="125"/>
      <c r="T13" s="125" t="s">
        <v>380</v>
      </c>
    </row>
    <row r="14" spans="1:20" ht="120">
      <c r="A14" s="125" t="s">
        <v>300</v>
      </c>
      <c r="B14" s="125" t="s">
        <v>384</v>
      </c>
      <c r="C14" s="125" t="s">
        <v>358</v>
      </c>
      <c r="D14" s="126" t="s">
        <v>385</v>
      </c>
      <c r="E14" s="125" t="s">
        <v>386</v>
      </c>
      <c r="F14" s="125" t="s">
        <v>387</v>
      </c>
      <c r="G14" s="125">
        <v>1</v>
      </c>
      <c r="H14" s="125">
        <f>AVERAGE(G14,I14)</f>
        <v>3</v>
      </c>
      <c r="I14" s="125">
        <v>5</v>
      </c>
      <c r="J14" s="125">
        <f>G14/100</f>
        <v>0.01</v>
      </c>
      <c r="K14" s="125">
        <f>H14/100</f>
        <v>0.03</v>
      </c>
      <c r="L14" s="125">
        <f>I14/100</f>
        <v>0.05</v>
      </c>
      <c r="M14" s="125" t="s">
        <v>306</v>
      </c>
      <c r="N14" s="125" t="s">
        <v>388</v>
      </c>
      <c r="O14" s="125" t="s">
        <v>308</v>
      </c>
      <c r="P14" s="125" t="s">
        <v>389</v>
      </c>
      <c r="Q14" s="125" t="s">
        <v>390</v>
      </c>
      <c r="R14" s="127" t="s">
        <v>336</v>
      </c>
      <c r="S14" s="125" t="s">
        <v>391</v>
      </c>
      <c r="T14" s="125" t="s">
        <v>392</v>
      </c>
    </row>
    <row r="15" spans="1:20" s="130" customFormat="1">
      <c r="A15" s="125"/>
      <c r="B15" s="125" t="s">
        <v>393</v>
      </c>
      <c r="C15" s="125" t="s">
        <v>375</v>
      </c>
      <c r="D15" s="125" t="s">
        <v>394</v>
      </c>
      <c r="E15" s="125" t="s">
        <v>395</v>
      </c>
      <c r="F15" s="125" t="s">
        <v>396</v>
      </c>
      <c r="G15" s="125"/>
      <c r="H15" s="125"/>
      <c r="I15" s="125"/>
      <c r="J15" s="125"/>
      <c r="K15" s="125"/>
      <c r="L15" s="125"/>
      <c r="M15" s="125" t="s">
        <v>379</v>
      </c>
      <c r="N15" s="125"/>
      <c r="O15" s="125"/>
      <c r="P15" s="125"/>
      <c r="Q15" s="125"/>
      <c r="R15" s="129"/>
      <c r="S15" s="125"/>
      <c r="T15" s="125" t="s">
        <v>380</v>
      </c>
    </row>
    <row r="16" spans="1:20" s="130" customFormat="1" ht="30">
      <c r="A16" s="125"/>
      <c r="B16" s="125" t="s">
        <v>397</v>
      </c>
      <c r="C16" s="125" t="s">
        <v>358</v>
      </c>
      <c r="D16" s="125" t="s">
        <v>398</v>
      </c>
      <c r="E16" s="125" t="s">
        <v>399</v>
      </c>
      <c r="F16" s="125" t="s">
        <v>400</v>
      </c>
      <c r="G16" s="125"/>
      <c r="H16" s="125"/>
      <c r="I16" s="125"/>
      <c r="J16" s="125"/>
      <c r="K16" s="125"/>
      <c r="L16" s="125"/>
      <c r="M16" s="125" t="s">
        <v>379</v>
      </c>
      <c r="N16" s="125"/>
      <c r="O16" s="125"/>
      <c r="P16" s="125"/>
      <c r="Q16" s="125"/>
      <c r="R16" s="129"/>
      <c r="S16" s="125"/>
      <c r="T16" s="125" t="s">
        <v>380</v>
      </c>
    </row>
    <row r="17" spans="1:20" s="130" customFormat="1">
      <c r="A17" s="125"/>
      <c r="B17" s="125" t="s">
        <v>401</v>
      </c>
      <c r="C17" s="125" t="s">
        <v>375</v>
      </c>
      <c r="D17" s="125" t="s">
        <v>402</v>
      </c>
      <c r="E17" s="125" t="s">
        <v>403</v>
      </c>
      <c r="F17" s="125" t="s">
        <v>404</v>
      </c>
      <c r="G17" s="125"/>
      <c r="H17" s="125"/>
      <c r="I17" s="125"/>
      <c r="J17" s="125"/>
      <c r="K17" s="125"/>
      <c r="L17" s="125"/>
      <c r="M17" s="125" t="s">
        <v>379</v>
      </c>
      <c r="N17" s="125"/>
      <c r="O17" s="125"/>
      <c r="P17" s="125"/>
      <c r="Q17" s="125"/>
      <c r="R17" s="129"/>
      <c r="S17" s="125"/>
      <c r="T17" s="125" t="s">
        <v>405</v>
      </c>
    </row>
    <row r="18" spans="1:20" s="130" customFormat="1">
      <c r="A18" s="125"/>
      <c r="B18" s="125" t="s">
        <v>401</v>
      </c>
      <c r="C18" s="125" t="s">
        <v>375</v>
      </c>
      <c r="D18" s="125" t="s">
        <v>406</v>
      </c>
      <c r="E18" s="125" t="s">
        <v>395</v>
      </c>
      <c r="F18" s="125" t="s">
        <v>404</v>
      </c>
      <c r="G18" s="125"/>
      <c r="H18" s="125"/>
      <c r="I18" s="125"/>
      <c r="J18" s="125"/>
      <c r="K18" s="125"/>
      <c r="L18" s="125"/>
      <c r="M18" s="125" t="s">
        <v>379</v>
      </c>
      <c r="N18" s="125"/>
      <c r="O18" s="125"/>
      <c r="P18" s="125"/>
      <c r="Q18" s="125"/>
      <c r="R18" s="129"/>
      <c r="S18" s="125"/>
      <c r="T18" s="125" t="s">
        <v>380</v>
      </c>
    </row>
    <row r="19" spans="1:20" s="130" customFormat="1" ht="30">
      <c r="A19" s="125"/>
      <c r="B19" s="125" t="s">
        <v>374</v>
      </c>
      <c r="C19" s="125" t="s">
        <v>375</v>
      </c>
      <c r="D19" s="125" t="s">
        <v>407</v>
      </c>
      <c r="E19" s="125" t="s">
        <v>381</v>
      </c>
      <c r="F19" s="125" t="s">
        <v>408</v>
      </c>
      <c r="G19" s="125"/>
      <c r="H19" s="125"/>
      <c r="I19" s="125"/>
      <c r="J19" s="125"/>
      <c r="K19" s="125"/>
      <c r="L19" s="125"/>
      <c r="M19" s="125" t="s">
        <v>379</v>
      </c>
      <c r="N19" s="125"/>
      <c r="O19" s="125"/>
      <c r="P19" s="125"/>
      <c r="Q19" s="125"/>
      <c r="R19" s="127"/>
      <c r="S19" s="125"/>
      <c r="T19" s="125" t="s">
        <v>409</v>
      </c>
    </row>
    <row r="20" spans="1:20" s="130" customFormat="1" ht="30">
      <c r="A20" s="125"/>
      <c r="B20" s="125" t="s">
        <v>374</v>
      </c>
      <c r="C20" s="125" t="s">
        <v>375</v>
      </c>
      <c r="D20" s="125" t="s">
        <v>410</v>
      </c>
      <c r="E20" s="125" t="s">
        <v>381</v>
      </c>
      <c r="F20" s="125" t="s">
        <v>411</v>
      </c>
      <c r="G20" s="125"/>
      <c r="H20" s="125"/>
      <c r="I20" s="125"/>
      <c r="J20" s="125"/>
      <c r="K20" s="125"/>
      <c r="L20" s="125"/>
      <c r="M20" s="125" t="s">
        <v>379</v>
      </c>
      <c r="N20" s="125"/>
      <c r="O20" s="125"/>
      <c r="P20" s="125"/>
      <c r="Q20" s="125"/>
      <c r="R20" s="129"/>
      <c r="S20" s="125"/>
      <c r="T20" s="125" t="s">
        <v>409</v>
      </c>
    </row>
    <row r="21" spans="1:20" s="130" customFormat="1" ht="30">
      <c r="A21" s="125"/>
      <c r="B21" s="125" t="s">
        <v>401</v>
      </c>
      <c r="C21" s="125" t="s">
        <v>375</v>
      </c>
      <c r="D21" s="125" t="s">
        <v>412</v>
      </c>
      <c r="E21" s="125" t="s">
        <v>403</v>
      </c>
      <c r="F21" s="125" t="s">
        <v>404</v>
      </c>
      <c r="G21" s="125"/>
      <c r="H21" s="125"/>
      <c r="I21" s="125"/>
      <c r="J21" s="125"/>
      <c r="K21" s="125"/>
      <c r="L21" s="125"/>
      <c r="M21" s="125" t="s">
        <v>379</v>
      </c>
      <c r="N21" s="125"/>
      <c r="O21" s="125"/>
      <c r="P21" s="125"/>
      <c r="Q21" s="125"/>
      <c r="R21" s="129"/>
      <c r="S21" s="125"/>
      <c r="T21" s="125" t="s">
        <v>413</v>
      </c>
    </row>
    <row r="22" spans="1:20" s="130" customFormat="1" ht="30">
      <c r="A22" s="125"/>
      <c r="B22" s="125" t="s">
        <v>401</v>
      </c>
      <c r="C22" s="125" t="s">
        <v>375</v>
      </c>
      <c r="D22" s="125" t="s">
        <v>414</v>
      </c>
      <c r="E22" s="125" t="s">
        <v>403</v>
      </c>
      <c r="F22" s="125" t="s">
        <v>404</v>
      </c>
      <c r="G22" s="125"/>
      <c r="H22" s="125"/>
      <c r="I22" s="125"/>
      <c r="J22" s="125"/>
      <c r="K22" s="125"/>
      <c r="L22" s="125"/>
      <c r="M22" s="125" t="s">
        <v>379</v>
      </c>
      <c r="N22" s="125"/>
      <c r="O22" s="125"/>
      <c r="P22" s="125"/>
      <c r="Q22" s="125"/>
      <c r="R22" s="129"/>
      <c r="S22" s="125"/>
      <c r="T22" s="125" t="s">
        <v>413</v>
      </c>
    </row>
    <row r="23" spans="1:20" ht="150">
      <c r="A23" s="125" t="s">
        <v>300</v>
      </c>
      <c r="B23" s="125" t="s">
        <v>384</v>
      </c>
      <c r="C23" s="125" t="s">
        <v>358</v>
      </c>
      <c r="D23" s="126" t="s">
        <v>415</v>
      </c>
      <c r="E23" s="125" t="s">
        <v>416</v>
      </c>
      <c r="F23" s="125" t="s">
        <v>417</v>
      </c>
      <c r="G23" s="125">
        <v>10</v>
      </c>
      <c r="H23" s="125">
        <f>AVERAGE(G23,I23)</f>
        <v>15</v>
      </c>
      <c r="I23" s="125">
        <v>20</v>
      </c>
      <c r="J23" s="125">
        <f>G23/100</f>
        <v>0.1</v>
      </c>
      <c r="K23" s="125">
        <f>H23/100</f>
        <v>0.15</v>
      </c>
      <c r="L23" s="125">
        <f>I23/100</f>
        <v>0.2</v>
      </c>
      <c r="M23" s="125" t="s">
        <v>306</v>
      </c>
      <c r="N23" s="125" t="s">
        <v>307</v>
      </c>
      <c r="O23" s="125"/>
      <c r="P23" s="125" t="s">
        <v>418</v>
      </c>
      <c r="Q23" s="125" t="s">
        <v>320</v>
      </c>
      <c r="R23" s="127" t="s">
        <v>336</v>
      </c>
      <c r="S23" s="125" t="s">
        <v>419</v>
      </c>
      <c r="T23" s="125" t="s">
        <v>420</v>
      </c>
    </row>
    <row r="24" spans="1:20" s="130" customFormat="1" ht="45">
      <c r="A24" s="125"/>
      <c r="B24" s="125" t="s">
        <v>374</v>
      </c>
      <c r="C24" s="125" t="s">
        <v>375</v>
      </c>
      <c r="D24" s="126" t="s">
        <v>421</v>
      </c>
      <c r="E24" s="125" t="s">
        <v>381</v>
      </c>
      <c r="F24" s="125" t="s">
        <v>422</v>
      </c>
      <c r="G24" s="125"/>
      <c r="H24" s="125"/>
      <c r="I24" s="125"/>
      <c r="J24" s="125"/>
      <c r="K24" s="125"/>
      <c r="L24" s="125"/>
      <c r="M24" s="125" t="s">
        <v>379</v>
      </c>
      <c r="N24" s="125"/>
      <c r="O24" s="125"/>
      <c r="P24" s="125"/>
      <c r="Q24" s="125"/>
      <c r="R24" s="129"/>
      <c r="S24" s="125"/>
      <c r="T24" s="125" t="s">
        <v>423</v>
      </c>
    </row>
    <row r="25" spans="1:20" ht="90">
      <c r="A25" s="125" t="s">
        <v>300</v>
      </c>
      <c r="B25" s="125" t="s">
        <v>384</v>
      </c>
      <c r="C25" s="125" t="s">
        <v>358</v>
      </c>
      <c r="D25" s="126" t="s">
        <v>424</v>
      </c>
      <c r="E25" s="125" t="s">
        <v>425</v>
      </c>
      <c r="F25" s="125" t="s">
        <v>426</v>
      </c>
      <c r="G25" s="125">
        <v>15</v>
      </c>
      <c r="H25" s="125">
        <f>AVERAGE(G25,I25)</f>
        <v>27.5</v>
      </c>
      <c r="I25" s="125">
        <v>40</v>
      </c>
      <c r="J25" s="125">
        <f>G25/100</f>
        <v>0.15</v>
      </c>
      <c r="K25" s="125">
        <f>H25/100</f>
        <v>0.27500000000000002</v>
      </c>
      <c r="L25" s="125">
        <f>I25/100</f>
        <v>0.4</v>
      </c>
      <c r="M25" s="125" t="s">
        <v>306</v>
      </c>
      <c r="N25" s="125" t="s">
        <v>333</v>
      </c>
      <c r="O25" s="125">
        <v>1.5269999999999999</v>
      </c>
      <c r="P25" s="125" t="s">
        <v>350</v>
      </c>
      <c r="Q25" s="125" t="s">
        <v>320</v>
      </c>
      <c r="R25" s="127" t="s">
        <v>311</v>
      </c>
      <c r="S25" s="128" t="s">
        <v>427</v>
      </c>
      <c r="T25" s="125"/>
    </row>
    <row r="26" spans="1:20" s="130" customFormat="1" ht="30">
      <c r="A26" s="125"/>
      <c r="B26" s="125" t="s">
        <v>428</v>
      </c>
      <c r="C26" s="125" t="s">
        <v>429</v>
      </c>
      <c r="D26" s="125" t="s">
        <v>430</v>
      </c>
      <c r="E26" s="125" t="s">
        <v>431</v>
      </c>
      <c r="F26" s="125" t="s">
        <v>432</v>
      </c>
      <c r="G26" s="125"/>
      <c r="H26" s="125"/>
      <c r="I26" s="125"/>
      <c r="J26" s="125"/>
      <c r="K26" s="125"/>
      <c r="L26" s="125"/>
      <c r="M26" s="125" t="s">
        <v>379</v>
      </c>
      <c r="N26" s="125"/>
      <c r="O26" s="125"/>
      <c r="P26" s="125"/>
      <c r="Q26" s="125"/>
      <c r="R26" s="129"/>
      <c r="S26" s="125"/>
      <c r="T26" s="125" t="s">
        <v>433</v>
      </c>
    </row>
    <row r="27" spans="1:20" s="130" customFormat="1" ht="30">
      <c r="A27" s="125"/>
      <c r="B27" s="125" t="s">
        <v>384</v>
      </c>
      <c r="C27" s="125" t="s">
        <v>358</v>
      </c>
      <c r="D27" s="125" t="s">
        <v>434</v>
      </c>
      <c r="E27" s="125" t="s">
        <v>435</v>
      </c>
      <c r="F27" s="125" t="s">
        <v>436</v>
      </c>
      <c r="G27" s="125"/>
      <c r="H27" s="125"/>
      <c r="I27" s="125"/>
      <c r="J27" s="125"/>
      <c r="K27" s="125"/>
      <c r="L27" s="125"/>
      <c r="M27" s="125" t="s">
        <v>379</v>
      </c>
      <c r="N27" s="125"/>
      <c r="O27" s="125"/>
      <c r="P27" s="125"/>
      <c r="Q27" s="125"/>
      <c r="R27" s="127" t="s">
        <v>371</v>
      </c>
      <c r="S27" s="125"/>
      <c r="T27" s="125" t="s">
        <v>380</v>
      </c>
    </row>
    <row r="28" spans="1:20" ht="315">
      <c r="A28" s="125" t="s">
        <v>300</v>
      </c>
      <c r="B28" s="125" t="s">
        <v>384</v>
      </c>
      <c r="C28" s="125" t="s">
        <v>358</v>
      </c>
      <c r="D28" s="126" t="s">
        <v>437</v>
      </c>
      <c r="E28" s="125" t="s">
        <v>438</v>
      </c>
      <c r="F28" s="125" t="s">
        <v>439</v>
      </c>
      <c r="G28" s="125">
        <v>5</v>
      </c>
      <c r="H28" s="125">
        <f t="shared" ref="H28:H30" si="2">AVERAGE(G28,I28)</f>
        <v>7.5</v>
      </c>
      <c r="I28" s="125">
        <v>10</v>
      </c>
      <c r="J28" s="125">
        <f t="shared" ref="J28:L30" si="3">G28/100</f>
        <v>0.05</v>
      </c>
      <c r="K28" s="125">
        <f t="shared" si="3"/>
        <v>7.4999999999999997E-2</v>
      </c>
      <c r="L28" s="125">
        <f t="shared" si="3"/>
        <v>0.1</v>
      </c>
      <c r="M28" s="125" t="s">
        <v>306</v>
      </c>
      <c r="N28" s="125" t="s">
        <v>333</v>
      </c>
      <c r="O28" s="125">
        <v>1.4</v>
      </c>
      <c r="P28" s="125" t="s">
        <v>350</v>
      </c>
      <c r="Q28" s="125" t="s">
        <v>320</v>
      </c>
      <c r="R28" s="127" t="s">
        <v>336</v>
      </c>
      <c r="S28" s="128" t="s">
        <v>440</v>
      </c>
      <c r="T28" s="125" t="s">
        <v>441</v>
      </c>
    </row>
    <row r="29" spans="1:20" ht="60">
      <c r="A29" s="125" t="s">
        <v>365</v>
      </c>
      <c r="B29" s="125" t="s">
        <v>366</v>
      </c>
      <c r="C29" s="125" t="s">
        <v>358</v>
      </c>
      <c r="D29" s="126" t="s">
        <v>442</v>
      </c>
      <c r="E29" s="125" t="s">
        <v>443</v>
      </c>
      <c r="F29" s="125" t="s">
        <v>444</v>
      </c>
      <c r="G29" s="125">
        <v>15</v>
      </c>
      <c r="H29" s="125">
        <f t="shared" si="2"/>
        <v>20</v>
      </c>
      <c r="I29" s="125">
        <v>25</v>
      </c>
      <c r="J29" s="125">
        <f t="shared" si="3"/>
        <v>0.15</v>
      </c>
      <c r="K29" s="125">
        <f t="shared" si="3"/>
        <v>0.2</v>
      </c>
      <c r="L29" s="125">
        <f t="shared" si="3"/>
        <v>0.25</v>
      </c>
      <c r="M29" s="125" t="s">
        <v>306</v>
      </c>
      <c r="N29" s="125" t="s">
        <v>445</v>
      </c>
      <c r="O29" s="125" t="s">
        <v>446</v>
      </c>
      <c r="P29" s="125" t="s">
        <v>447</v>
      </c>
      <c r="Q29" s="125" t="s">
        <v>320</v>
      </c>
      <c r="R29" s="127" t="s">
        <v>448</v>
      </c>
      <c r="S29" s="125" t="s">
        <v>449</v>
      </c>
      <c r="T29" s="125"/>
    </row>
    <row r="30" spans="1:20" ht="180">
      <c r="A30" s="125" t="s">
        <v>300</v>
      </c>
      <c r="B30" s="125" t="s">
        <v>450</v>
      </c>
      <c r="C30" s="125" t="s">
        <v>429</v>
      </c>
      <c r="D30" s="125" t="s">
        <v>451</v>
      </c>
      <c r="E30" s="125" t="s">
        <v>452</v>
      </c>
      <c r="F30" s="125" t="s">
        <v>453</v>
      </c>
      <c r="G30" s="125">
        <v>5</v>
      </c>
      <c r="H30" s="125">
        <f t="shared" si="2"/>
        <v>7.5</v>
      </c>
      <c r="I30" s="125">
        <v>10</v>
      </c>
      <c r="J30" s="125">
        <f t="shared" si="3"/>
        <v>0.05</v>
      </c>
      <c r="K30" s="125">
        <f t="shared" si="3"/>
        <v>7.4999999999999997E-2</v>
      </c>
      <c r="L30" s="125">
        <f t="shared" si="3"/>
        <v>0.1</v>
      </c>
      <c r="M30" s="125" t="s">
        <v>306</v>
      </c>
      <c r="N30" s="125" t="s">
        <v>333</v>
      </c>
      <c r="O30" s="125">
        <v>1.5</v>
      </c>
      <c r="P30" s="125" t="s">
        <v>309</v>
      </c>
      <c r="Q30" s="125" t="s">
        <v>320</v>
      </c>
      <c r="R30" s="127" t="s">
        <v>336</v>
      </c>
      <c r="S30" s="128" t="s">
        <v>454</v>
      </c>
      <c r="T30" s="125"/>
    </row>
    <row r="31" spans="1:20" s="130" customFormat="1" ht="30">
      <c r="A31" s="125"/>
      <c r="B31" s="125" t="s">
        <v>384</v>
      </c>
      <c r="C31" s="125" t="s">
        <v>358</v>
      </c>
      <c r="D31" s="125" t="s">
        <v>455</v>
      </c>
      <c r="E31" s="125" t="s">
        <v>456</v>
      </c>
      <c r="F31" s="125" t="s">
        <v>457</v>
      </c>
      <c r="G31" s="125"/>
      <c r="H31" s="125"/>
      <c r="I31" s="125"/>
      <c r="J31" s="125"/>
      <c r="K31" s="125"/>
      <c r="L31" s="125"/>
      <c r="M31" s="125" t="s">
        <v>379</v>
      </c>
      <c r="N31" s="125"/>
      <c r="O31" s="125"/>
      <c r="P31" s="125"/>
      <c r="Q31" s="125"/>
      <c r="R31" s="129"/>
      <c r="S31" s="125"/>
      <c r="T31" s="125" t="s">
        <v>405</v>
      </c>
    </row>
    <row r="32" spans="1:20" s="130" customFormat="1" ht="30">
      <c r="A32" s="125"/>
      <c r="B32" s="125" t="s">
        <v>458</v>
      </c>
      <c r="C32" s="125" t="s">
        <v>358</v>
      </c>
      <c r="D32" s="125" t="s">
        <v>459</v>
      </c>
      <c r="E32" s="125" t="s">
        <v>460</v>
      </c>
      <c r="F32" s="125" t="s">
        <v>461</v>
      </c>
      <c r="G32" s="125"/>
      <c r="H32" s="125"/>
      <c r="I32" s="125"/>
      <c r="J32" s="125"/>
      <c r="K32" s="125"/>
      <c r="L32" s="125"/>
      <c r="M32" s="125" t="s">
        <v>379</v>
      </c>
      <c r="N32" s="125"/>
      <c r="O32" s="125"/>
      <c r="P32" s="125"/>
      <c r="Q32" s="125"/>
      <c r="R32" s="127"/>
      <c r="S32" s="125"/>
      <c r="T32" s="125" t="s">
        <v>462</v>
      </c>
    </row>
    <row r="33" spans="1:21" ht="75">
      <c r="A33" s="125" t="s">
        <v>463</v>
      </c>
      <c r="B33" s="125" t="s">
        <v>458</v>
      </c>
      <c r="C33" s="125" t="s">
        <v>358</v>
      </c>
      <c r="D33" s="125" t="s">
        <v>464</v>
      </c>
      <c r="E33" s="125" t="s">
        <v>465</v>
      </c>
      <c r="F33" s="125" t="s">
        <v>466</v>
      </c>
      <c r="G33" s="125">
        <v>2</v>
      </c>
      <c r="H33" s="125">
        <f t="shared" ref="H33:H34" si="4">AVERAGE(G33,I33)</f>
        <v>2</v>
      </c>
      <c r="I33" s="125">
        <v>2</v>
      </c>
      <c r="J33" s="125">
        <f t="shared" ref="J33:L34" si="5">G33/100</f>
        <v>0.02</v>
      </c>
      <c r="K33" s="125">
        <f t="shared" si="5"/>
        <v>0.02</v>
      </c>
      <c r="L33" s="125">
        <f t="shared" si="5"/>
        <v>0.02</v>
      </c>
      <c r="M33" s="125" t="s">
        <v>306</v>
      </c>
      <c r="N33" s="125" t="s">
        <v>343</v>
      </c>
      <c r="O33" s="125">
        <v>1.1263700000000001</v>
      </c>
      <c r="P33" s="125" t="s">
        <v>389</v>
      </c>
      <c r="Q33" s="125" t="s">
        <v>320</v>
      </c>
      <c r="R33" s="127" t="s">
        <v>336</v>
      </c>
      <c r="S33" s="125" t="s">
        <v>467</v>
      </c>
      <c r="T33" s="125"/>
    </row>
    <row r="34" spans="1:21" ht="165">
      <c r="A34" s="125" t="s">
        <v>463</v>
      </c>
      <c r="B34" s="125" t="s">
        <v>458</v>
      </c>
      <c r="C34" s="125" t="s">
        <v>358</v>
      </c>
      <c r="D34" s="125" t="s">
        <v>468</v>
      </c>
      <c r="E34" s="125" t="s">
        <v>469</v>
      </c>
      <c r="F34" s="125" t="s">
        <v>470</v>
      </c>
      <c r="G34" s="125">
        <v>5</v>
      </c>
      <c r="H34" s="125">
        <f t="shared" si="4"/>
        <v>5</v>
      </c>
      <c r="I34" s="125">
        <v>5</v>
      </c>
      <c r="J34" s="125">
        <f t="shared" si="5"/>
        <v>0.05</v>
      </c>
      <c r="K34" s="125">
        <f t="shared" si="5"/>
        <v>0.05</v>
      </c>
      <c r="L34" s="125">
        <f t="shared" si="5"/>
        <v>0.05</v>
      </c>
      <c r="M34" s="125" t="s">
        <v>306</v>
      </c>
      <c r="N34" s="125" t="s">
        <v>471</v>
      </c>
      <c r="O34" s="125"/>
      <c r="P34" s="125" t="s">
        <v>472</v>
      </c>
      <c r="Q34" s="125" t="s">
        <v>320</v>
      </c>
      <c r="R34" s="127" t="s">
        <v>336</v>
      </c>
      <c r="S34" s="125" t="s">
        <v>473</v>
      </c>
      <c r="T34" s="125"/>
    </row>
    <row r="35" spans="1:21" s="130" customFormat="1" ht="30">
      <c r="A35" s="125"/>
      <c r="B35" s="125" t="s">
        <v>384</v>
      </c>
      <c r="C35" s="125" t="s">
        <v>358</v>
      </c>
      <c r="D35" s="125" t="s">
        <v>474</v>
      </c>
      <c r="E35" s="125" t="s">
        <v>435</v>
      </c>
      <c r="F35" s="125" t="s">
        <v>475</v>
      </c>
      <c r="G35" s="125"/>
      <c r="H35" s="125"/>
      <c r="I35" s="125"/>
      <c r="J35" s="125"/>
      <c r="K35" s="125"/>
      <c r="L35" s="125"/>
      <c r="M35" s="125" t="s">
        <v>379</v>
      </c>
      <c r="N35" s="125"/>
      <c r="O35" s="125"/>
      <c r="P35" s="125"/>
      <c r="Q35" s="125"/>
      <c r="R35" s="127" t="s">
        <v>371</v>
      </c>
      <c r="S35" s="125" t="s">
        <v>380</v>
      </c>
      <c r="T35" s="125"/>
    </row>
    <row r="36" spans="1:21" ht="90">
      <c r="A36" s="125" t="s">
        <v>365</v>
      </c>
      <c r="B36" s="125" t="s">
        <v>384</v>
      </c>
      <c r="C36" s="125" t="s">
        <v>358</v>
      </c>
      <c r="D36" s="126" t="s">
        <v>476</v>
      </c>
      <c r="E36" s="125" t="s">
        <v>435</v>
      </c>
      <c r="F36" s="125" t="s">
        <v>477</v>
      </c>
      <c r="G36" s="125">
        <v>5</v>
      </c>
      <c r="H36" s="125">
        <f>AVERAGE(G36,I36)</f>
        <v>10</v>
      </c>
      <c r="I36" s="125">
        <v>15</v>
      </c>
      <c r="J36" s="125">
        <f>G36/100</f>
        <v>0.05</v>
      </c>
      <c r="K36" s="125">
        <f>H36/100</f>
        <v>0.1</v>
      </c>
      <c r="L36" s="125">
        <f>I36/100</f>
        <v>0.15</v>
      </c>
      <c r="M36" s="125" t="s">
        <v>306</v>
      </c>
      <c r="N36" s="125" t="s">
        <v>343</v>
      </c>
      <c r="O36" s="125" t="s">
        <v>478</v>
      </c>
      <c r="P36" s="125" t="s">
        <v>479</v>
      </c>
      <c r="Q36" s="125" t="s">
        <v>320</v>
      </c>
      <c r="R36" s="127" t="s">
        <v>311</v>
      </c>
      <c r="S36" s="125" t="s">
        <v>480</v>
      </c>
      <c r="T36" s="125" t="s">
        <v>481</v>
      </c>
      <c r="U36" s="131" t="s">
        <v>482</v>
      </c>
    </row>
    <row r="37" spans="1:21" s="130" customFormat="1" ht="30">
      <c r="A37" s="125"/>
      <c r="B37" s="125" t="s">
        <v>384</v>
      </c>
      <c r="C37" s="125" t="s">
        <v>358</v>
      </c>
      <c r="D37" s="125" t="s">
        <v>483</v>
      </c>
      <c r="E37" s="125" t="s">
        <v>435</v>
      </c>
      <c r="F37" s="125" t="s">
        <v>484</v>
      </c>
      <c r="G37" s="125"/>
      <c r="H37" s="125"/>
      <c r="I37" s="125"/>
      <c r="J37" s="125"/>
      <c r="K37" s="125"/>
      <c r="L37" s="125"/>
      <c r="M37" s="125" t="s">
        <v>379</v>
      </c>
      <c r="N37" s="125"/>
      <c r="O37" s="125"/>
      <c r="P37" s="125"/>
      <c r="Q37" s="125"/>
      <c r="R37" s="127" t="s">
        <v>371</v>
      </c>
      <c r="S37" s="125" t="s">
        <v>380</v>
      </c>
      <c r="T37" s="125"/>
    </row>
    <row r="38" spans="1:21" s="130" customFormat="1">
      <c r="A38" s="125"/>
      <c r="B38" s="125" t="s">
        <v>401</v>
      </c>
      <c r="C38" s="125" t="s">
        <v>375</v>
      </c>
      <c r="D38" s="125" t="s">
        <v>485</v>
      </c>
      <c r="E38" s="125" t="s">
        <v>486</v>
      </c>
      <c r="F38" s="125" t="s">
        <v>487</v>
      </c>
      <c r="G38" s="125"/>
      <c r="H38" s="125"/>
      <c r="I38" s="125"/>
      <c r="J38" s="125"/>
      <c r="K38" s="125"/>
      <c r="L38" s="125"/>
      <c r="M38" s="125" t="s">
        <v>379</v>
      </c>
      <c r="N38" s="125"/>
      <c r="O38" s="125"/>
      <c r="P38" s="125"/>
      <c r="Q38" s="125"/>
      <c r="R38" s="127" t="s">
        <v>371</v>
      </c>
      <c r="S38" s="125" t="s">
        <v>380</v>
      </c>
      <c r="T38" s="125"/>
    </row>
    <row r="39" spans="1:21" s="130" customFormat="1" ht="30">
      <c r="A39" s="125"/>
      <c r="B39" s="125" t="s">
        <v>384</v>
      </c>
      <c r="C39" s="125" t="s">
        <v>358</v>
      </c>
      <c r="D39" s="125" t="s">
        <v>488</v>
      </c>
      <c r="E39" s="125" t="s">
        <v>489</v>
      </c>
      <c r="F39" s="125" t="s">
        <v>490</v>
      </c>
      <c r="G39" s="125"/>
      <c r="H39" s="125"/>
      <c r="I39" s="125"/>
      <c r="J39" s="125"/>
      <c r="K39" s="125"/>
      <c r="L39" s="125"/>
      <c r="M39" s="125" t="s">
        <v>379</v>
      </c>
      <c r="N39" s="125"/>
      <c r="O39" s="125"/>
      <c r="P39" s="125"/>
      <c r="Q39" s="125"/>
      <c r="R39" s="129"/>
      <c r="S39" s="125" t="s">
        <v>405</v>
      </c>
      <c r="T39" s="125"/>
    </row>
    <row r="40" spans="1:21" s="130" customFormat="1" ht="30">
      <c r="A40" s="125"/>
      <c r="B40" s="125" t="s">
        <v>384</v>
      </c>
      <c r="C40" s="125" t="s">
        <v>358</v>
      </c>
      <c r="D40" s="125" t="s">
        <v>491</v>
      </c>
      <c r="E40" s="125" t="s">
        <v>395</v>
      </c>
      <c r="F40" s="125" t="s">
        <v>492</v>
      </c>
      <c r="G40" s="125"/>
      <c r="H40" s="125"/>
      <c r="I40" s="125"/>
      <c r="J40" s="125"/>
      <c r="K40" s="125"/>
      <c r="L40" s="125"/>
      <c r="M40" s="125" t="s">
        <v>379</v>
      </c>
      <c r="N40" s="125"/>
      <c r="O40" s="125"/>
      <c r="P40" s="125"/>
      <c r="Q40" s="125"/>
      <c r="R40" s="129"/>
      <c r="T40" s="125" t="s">
        <v>493</v>
      </c>
    </row>
    <row r="41" spans="1:21" ht="75">
      <c r="A41" s="125" t="s">
        <v>300</v>
      </c>
      <c r="B41" s="125" t="s">
        <v>384</v>
      </c>
      <c r="C41" s="125" t="s">
        <v>358</v>
      </c>
      <c r="D41" s="125" t="s">
        <v>494</v>
      </c>
      <c r="E41" s="125" t="s">
        <v>495</v>
      </c>
      <c r="F41" s="125" t="s">
        <v>496</v>
      </c>
      <c r="G41" s="125">
        <v>10</v>
      </c>
      <c r="H41" s="125">
        <f t="shared" ref="H41:H43" si="6">AVERAGE(G41,I41)</f>
        <v>20</v>
      </c>
      <c r="I41" s="125">
        <v>30</v>
      </c>
      <c r="J41" s="125">
        <f t="shared" ref="J41:L43" si="7">G41/100</f>
        <v>0.1</v>
      </c>
      <c r="K41" s="125">
        <f t="shared" si="7"/>
        <v>0.2</v>
      </c>
      <c r="L41" s="125">
        <f t="shared" si="7"/>
        <v>0.3</v>
      </c>
      <c r="M41" s="125" t="s">
        <v>306</v>
      </c>
      <c r="N41" s="125" t="s">
        <v>333</v>
      </c>
      <c r="O41" s="125" t="s">
        <v>497</v>
      </c>
      <c r="P41" s="125" t="s">
        <v>350</v>
      </c>
      <c r="Q41" s="125" t="s">
        <v>320</v>
      </c>
      <c r="R41" s="127" t="s">
        <v>336</v>
      </c>
      <c r="S41" s="125" t="s">
        <v>498</v>
      </c>
      <c r="T41" s="125"/>
    </row>
    <row r="42" spans="1:21" ht="120">
      <c r="A42" s="125" t="s">
        <v>463</v>
      </c>
      <c r="B42" s="125" t="s">
        <v>499</v>
      </c>
      <c r="C42" s="125" t="s">
        <v>429</v>
      </c>
      <c r="D42" s="125" t="s">
        <v>500</v>
      </c>
      <c r="E42" s="125" t="s">
        <v>501</v>
      </c>
      <c r="F42" s="125" t="s">
        <v>502</v>
      </c>
      <c r="G42" s="125">
        <v>0.1</v>
      </c>
      <c r="H42" s="125">
        <f t="shared" si="6"/>
        <v>0.55000000000000004</v>
      </c>
      <c r="I42" s="125">
        <v>1</v>
      </c>
      <c r="J42" s="125">
        <f t="shared" si="7"/>
        <v>1E-3</v>
      </c>
      <c r="K42" s="125">
        <f t="shared" si="7"/>
        <v>5.5000000000000005E-3</v>
      </c>
      <c r="L42" s="125">
        <f t="shared" si="7"/>
        <v>0.01</v>
      </c>
      <c r="M42" s="125" t="s">
        <v>306</v>
      </c>
      <c r="N42" s="125" t="s">
        <v>388</v>
      </c>
      <c r="O42" s="125">
        <v>0.75730299999999995</v>
      </c>
      <c r="P42" s="125" t="s">
        <v>503</v>
      </c>
      <c r="Q42" s="125" t="s">
        <v>310</v>
      </c>
      <c r="R42" s="127" t="s">
        <v>311</v>
      </c>
      <c r="S42" s="128" t="s">
        <v>504</v>
      </c>
      <c r="T42" s="125" t="s">
        <v>505</v>
      </c>
    </row>
    <row r="43" spans="1:21" ht="45">
      <c r="A43" s="125" t="s">
        <v>463</v>
      </c>
      <c r="B43" s="125" t="s">
        <v>458</v>
      </c>
      <c r="C43" s="125" t="s">
        <v>358</v>
      </c>
      <c r="D43" s="125" t="s">
        <v>506</v>
      </c>
      <c r="E43" s="125" t="s">
        <v>460</v>
      </c>
      <c r="F43" s="125" t="s">
        <v>507</v>
      </c>
      <c r="G43" s="125">
        <v>0.1</v>
      </c>
      <c r="H43" s="125">
        <f t="shared" si="6"/>
        <v>0.55000000000000004</v>
      </c>
      <c r="I43" s="125">
        <v>1</v>
      </c>
      <c r="J43" s="125">
        <f t="shared" si="7"/>
        <v>1E-3</v>
      </c>
      <c r="K43" s="125">
        <f t="shared" si="7"/>
        <v>5.5000000000000005E-3</v>
      </c>
      <c r="L43" s="125">
        <f t="shared" si="7"/>
        <v>0.01</v>
      </c>
      <c r="M43" s="125" t="s">
        <v>306</v>
      </c>
      <c r="N43" s="125" t="s">
        <v>471</v>
      </c>
      <c r="O43" s="125" t="s">
        <v>497</v>
      </c>
      <c r="P43" s="125" t="s">
        <v>508</v>
      </c>
      <c r="Q43" s="125" t="s">
        <v>320</v>
      </c>
      <c r="R43" s="127" t="s">
        <v>336</v>
      </c>
      <c r="S43" s="125" t="s">
        <v>509</v>
      </c>
      <c r="T43" s="125"/>
    </row>
    <row r="44" spans="1:21" s="130" customFormat="1">
      <c r="A44" s="125"/>
      <c r="B44" s="125" t="s">
        <v>510</v>
      </c>
      <c r="C44" s="125" t="s">
        <v>375</v>
      </c>
      <c r="D44" s="125" t="s">
        <v>511</v>
      </c>
      <c r="E44" s="125" t="s">
        <v>435</v>
      </c>
      <c r="F44" s="125" t="s">
        <v>512</v>
      </c>
      <c r="G44" s="125"/>
      <c r="H44" s="125"/>
      <c r="I44" s="125"/>
      <c r="J44" s="125"/>
      <c r="K44" s="125"/>
      <c r="L44" s="125"/>
      <c r="M44" s="125" t="s">
        <v>379</v>
      </c>
      <c r="N44" s="125"/>
      <c r="O44" s="125"/>
      <c r="P44" s="125"/>
      <c r="Q44" s="125"/>
      <c r="R44" s="127"/>
      <c r="S44" s="125"/>
      <c r="T44" s="125" t="s">
        <v>380</v>
      </c>
    </row>
    <row r="45" spans="1:21" s="130" customFormat="1">
      <c r="A45" s="125"/>
      <c r="B45" s="132" t="s">
        <v>513</v>
      </c>
      <c r="C45" s="132" t="s">
        <v>358</v>
      </c>
      <c r="D45" s="132" t="s">
        <v>514</v>
      </c>
      <c r="E45" s="132" t="s">
        <v>425</v>
      </c>
      <c r="F45" s="132" t="s">
        <v>515</v>
      </c>
      <c r="G45" s="132"/>
      <c r="H45" s="132"/>
      <c r="I45" s="132"/>
      <c r="J45" s="132"/>
      <c r="K45" s="132"/>
      <c r="L45" s="132"/>
      <c r="M45" s="125" t="s">
        <v>379</v>
      </c>
      <c r="N45" s="125"/>
      <c r="O45" s="125"/>
      <c r="P45" s="125"/>
      <c r="Q45" s="125"/>
      <c r="R45" s="127"/>
      <c r="S45" s="125"/>
      <c r="T45" s="125" t="s">
        <v>380</v>
      </c>
    </row>
    <row r="46" spans="1:21" s="130" customFormat="1" ht="30">
      <c r="A46" s="125"/>
      <c r="B46" s="132" t="s">
        <v>513</v>
      </c>
      <c r="C46" s="132" t="s">
        <v>358</v>
      </c>
      <c r="D46" s="132" t="s">
        <v>516</v>
      </c>
      <c r="E46" s="132" t="s">
        <v>517</v>
      </c>
      <c r="F46" s="132" t="s">
        <v>439</v>
      </c>
      <c r="G46" s="132"/>
      <c r="H46" s="132"/>
      <c r="I46" s="132"/>
      <c r="J46" s="132"/>
      <c r="K46" s="132"/>
      <c r="L46" s="132"/>
      <c r="M46" s="125" t="s">
        <v>379</v>
      </c>
      <c r="N46" s="125"/>
      <c r="O46" s="125"/>
      <c r="P46" s="125"/>
      <c r="Q46" s="125"/>
      <c r="R46" s="129"/>
      <c r="S46" s="125"/>
      <c r="T46" s="125" t="s">
        <v>518</v>
      </c>
    </row>
    <row r="47" spans="1:21" s="130" customFormat="1" ht="30">
      <c r="A47" s="125"/>
      <c r="B47" s="132" t="s">
        <v>519</v>
      </c>
      <c r="C47" s="132" t="s">
        <v>358</v>
      </c>
      <c r="D47" s="132" t="s">
        <v>520</v>
      </c>
      <c r="E47" s="132" t="s">
        <v>521</v>
      </c>
      <c r="F47" s="132" t="s">
        <v>522</v>
      </c>
      <c r="G47" s="132"/>
      <c r="H47" s="132"/>
      <c r="I47" s="132"/>
      <c r="J47" s="132"/>
      <c r="K47" s="132"/>
      <c r="L47" s="132"/>
      <c r="M47" s="125" t="s">
        <v>379</v>
      </c>
      <c r="N47" s="125"/>
      <c r="O47" s="125"/>
      <c r="P47" s="125"/>
      <c r="Q47" s="125"/>
      <c r="R47" s="127"/>
      <c r="S47" s="128"/>
      <c r="T47" s="125" t="s">
        <v>518</v>
      </c>
    </row>
    <row r="48" spans="1:21" s="130" customFormat="1" ht="30">
      <c r="A48" s="125"/>
      <c r="B48" s="132" t="s">
        <v>519</v>
      </c>
      <c r="C48" s="132" t="s">
        <v>358</v>
      </c>
      <c r="D48" s="132" t="s">
        <v>523</v>
      </c>
      <c r="E48" s="132" t="s">
        <v>524</v>
      </c>
      <c r="F48" s="132" t="s">
        <v>525</v>
      </c>
      <c r="G48" s="132"/>
      <c r="H48" s="132"/>
      <c r="I48" s="132"/>
      <c r="J48" s="132"/>
      <c r="K48" s="132"/>
      <c r="L48" s="132"/>
      <c r="M48" s="125" t="s">
        <v>379</v>
      </c>
      <c r="N48" s="125"/>
      <c r="O48" s="125"/>
      <c r="P48" s="125"/>
      <c r="Q48" s="125"/>
      <c r="R48" s="129"/>
      <c r="S48" s="125"/>
      <c r="T48" s="125" t="s">
        <v>518</v>
      </c>
    </row>
    <row r="49" spans="1:20" s="130" customFormat="1">
      <c r="A49" s="125"/>
      <c r="B49" s="132" t="s">
        <v>513</v>
      </c>
      <c r="C49" s="132" t="s">
        <v>358</v>
      </c>
      <c r="D49" s="132" t="s">
        <v>526</v>
      </c>
      <c r="E49" s="132" t="s">
        <v>435</v>
      </c>
      <c r="F49" s="132" t="s">
        <v>527</v>
      </c>
      <c r="G49" s="132"/>
      <c r="H49" s="132"/>
      <c r="I49" s="132"/>
      <c r="J49" s="132"/>
      <c r="K49" s="132"/>
      <c r="L49" s="132"/>
      <c r="M49" s="125" t="s">
        <v>379</v>
      </c>
      <c r="N49" s="125"/>
      <c r="O49" s="125"/>
      <c r="P49" s="125"/>
      <c r="Q49" s="125"/>
      <c r="R49" s="129"/>
      <c r="S49" s="125"/>
      <c r="T49" s="125" t="s">
        <v>380</v>
      </c>
    </row>
    <row r="50" spans="1:20" s="130" customFormat="1">
      <c r="A50" s="125"/>
      <c r="B50" s="132" t="s">
        <v>528</v>
      </c>
      <c r="C50" s="132" t="s">
        <v>375</v>
      </c>
      <c r="D50" s="132" t="s">
        <v>529</v>
      </c>
      <c r="E50" s="132" t="s">
        <v>368</v>
      </c>
      <c r="F50" s="132" t="s">
        <v>530</v>
      </c>
      <c r="G50" s="132"/>
      <c r="H50" s="132"/>
      <c r="I50" s="132"/>
      <c r="J50" s="132"/>
      <c r="K50" s="132"/>
      <c r="L50" s="132"/>
      <c r="M50" s="125" t="s">
        <v>379</v>
      </c>
      <c r="N50" s="125"/>
      <c r="O50" s="125"/>
      <c r="P50" s="125"/>
      <c r="Q50" s="125"/>
      <c r="R50" s="129"/>
      <c r="S50" s="125"/>
      <c r="T50" s="125" t="s">
        <v>380</v>
      </c>
    </row>
    <row r="51" spans="1:20" s="130" customFormat="1">
      <c r="A51" s="125"/>
      <c r="B51" s="132" t="s">
        <v>528</v>
      </c>
      <c r="C51" s="132" t="s">
        <v>375</v>
      </c>
      <c r="D51" s="133" t="s">
        <v>531</v>
      </c>
      <c r="E51" s="132" t="s">
        <v>368</v>
      </c>
      <c r="F51" s="132" t="s">
        <v>387</v>
      </c>
      <c r="G51" s="132"/>
      <c r="H51" s="132"/>
      <c r="I51" s="132"/>
      <c r="J51" s="132"/>
      <c r="K51" s="132"/>
      <c r="L51" s="132"/>
      <c r="M51" s="125" t="s">
        <v>379</v>
      </c>
      <c r="N51" s="125"/>
      <c r="O51" s="125"/>
      <c r="P51" s="125"/>
      <c r="Q51" s="125"/>
      <c r="R51" s="127"/>
      <c r="S51" s="125"/>
      <c r="T51" s="125" t="s">
        <v>380</v>
      </c>
    </row>
    <row r="52" spans="1:20" s="130" customFormat="1">
      <c r="A52" s="125"/>
      <c r="B52" s="132" t="s">
        <v>528</v>
      </c>
      <c r="C52" s="132" t="s">
        <v>375</v>
      </c>
      <c r="D52" s="133" t="s">
        <v>532</v>
      </c>
      <c r="E52" s="132" t="s">
        <v>368</v>
      </c>
      <c r="F52" s="132" t="s">
        <v>475</v>
      </c>
      <c r="G52" s="132"/>
      <c r="H52" s="132"/>
      <c r="I52" s="132"/>
      <c r="J52" s="132"/>
      <c r="K52" s="132"/>
      <c r="L52" s="132"/>
      <c r="M52" s="125" t="s">
        <v>379</v>
      </c>
      <c r="N52" s="125"/>
      <c r="O52" s="125"/>
      <c r="P52" s="125"/>
      <c r="Q52" s="125"/>
      <c r="R52" s="129"/>
      <c r="S52" s="125"/>
      <c r="T52" s="125" t="s">
        <v>380</v>
      </c>
    </row>
    <row r="53" spans="1:20" s="130" customFormat="1">
      <c r="A53" s="125"/>
      <c r="B53" s="132" t="s">
        <v>528</v>
      </c>
      <c r="C53" s="132" t="s">
        <v>375</v>
      </c>
      <c r="D53" s="132" t="s">
        <v>533</v>
      </c>
      <c r="E53" s="132" t="s">
        <v>368</v>
      </c>
      <c r="F53" s="132" t="s">
        <v>475</v>
      </c>
      <c r="G53" s="132"/>
      <c r="H53" s="132"/>
      <c r="I53" s="132"/>
      <c r="J53" s="132"/>
      <c r="K53" s="132"/>
      <c r="L53" s="132"/>
      <c r="M53" s="125" t="s">
        <v>379</v>
      </c>
      <c r="N53" s="125"/>
      <c r="O53" s="125"/>
      <c r="P53" s="125"/>
      <c r="Q53" s="125"/>
      <c r="R53" s="129"/>
      <c r="S53" s="125"/>
      <c r="T53" s="125" t="s">
        <v>380</v>
      </c>
    </row>
    <row r="54" spans="1:20" s="130" customFormat="1">
      <c r="A54" s="125"/>
      <c r="B54" s="132" t="s">
        <v>528</v>
      </c>
      <c r="C54" s="132" t="s">
        <v>375</v>
      </c>
      <c r="D54" s="132" t="s">
        <v>534</v>
      </c>
      <c r="E54" s="132" t="s">
        <v>368</v>
      </c>
      <c r="F54" s="132" t="s">
        <v>475</v>
      </c>
      <c r="G54" s="132"/>
      <c r="H54" s="132"/>
      <c r="I54" s="132"/>
      <c r="J54" s="132"/>
      <c r="K54" s="132"/>
      <c r="L54" s="132"/>
      <c r="M54" s="125" t="s">
        <v>379</v>
      </c>
      <c r="N54" s="125"/>
      <c r="O54" s="125"/>
      <c r="P54" s="125"/>
      <c r="Q54" s="125"/>
      <c r="R54" s="129"/>
      <c r="S54" s="125"/>
      <c r="T54" s="125" t="s">
        <v>380</v>
      </c>
    </row>
    <row r="55" spans="1:20" s="130" customFormat="1">
      <c r="A55" s="125"/>
      <c r="B55" s="132" t="s">
        <v>528</v>
      </c>
      <c r="C55" s="132" t="s">
        <v>375</v>
      </c>
      <c r="D55" s="132" t="s">
        <v>535</v>
      </c>
      <c r="E55" s="132" t="s">
        <v>368</v>
      </c>
      <c r="F55" s="132" t="s">
        <v>475</v>
      </c>
      <c r="G55" s="132"/>
      <c r="H55" s="132"/>
      <c r="I55" s="132"/>
      <c r="J55" s="132"/>
      <c r="K55" s="132"/>
      <c r="L55" s="132"/>
      <c r="M55" s="125" t="s">
        <v>379</v>
      </c>
      <c r="N55" s="125"/>
      <c r="O55" s="125"/>
      <c r="P55" s="125"/>
      <c r="Q55" s="125"/>
      <c r="R55" s="129"/>
      <c r="S55" s="125"/>
      <c r="T55" s="125" t="s">
        <v>380</v>
      </c>
    </row>
    <row r="56" spans="1:20" s="130" customFormat="1" ht="30">
      <c r="A56" s="125"/>
      <c r="B56" s="132" t="s">
        <v>536</v>
      </c>
      <c r="C56" s="132" t="s">
        <v>375</v>
      </c>
      <c r="D56" s="132" t="s">
        <v>537</v>
      </c>
      <c r="E56" s="132" t="s">
        <v>425</v>
      </c>
      <c r="F56" s="132" t="s">
        <v>538</v>
      </c>
      <c r="G56" s="132"/>
      <c r="H56" s="132"/>
      <c r="I56" s="132"/>
      <c r="J56" s="132"/>
      <c r="K56" s="132"/>
      <c r="L56" s="132"/>
      <c r="M56" s="125" t="s">
        <v>379</v>
      </c>
      <c r="N56" s="125"/>
      <c r="O56" s="125"/>
      <c r="P56" s="125"/>
      <c r="Q56" s="125"/>
      <c r="R56" s="129"/>
      <c r="S56" s="125"/>
      <c r="T56" s="125" t="s">
        <v>518</v>
      </c>
    </row>
    <row r="57" spans="1:20" ht="60">
      <c r="A57" s="125" t="s">
        <v>300</v>
      </c>
      <c r="B57" s="125" t="s">
        <v>450</v>
      </c>
      <c r="C57" s="125" t="s">
        <v>429</v>
      </c>
      <c r="D57" s="125" t="s">
        <v>539</v>
      </c>
      <c r="E57" s="125" t="s">
        <v>540</v>
      </c>
      <c r="F57" s="125" t="s">
        <v>515</v>
      </c>
      <c r="G57" s="125">
        <v>7</v>
      </c>
      <c r="H57" s="125">
        <f>AVERAGE(G57,I57)</f>
        <v>10</v>
      </c>
      <c r="I57" s="125">
        <v>13</v>
      </c>
      <c r="J57" s="125">
        <f>G57/100</f>
        <v>7.0000000000000007E-2</v>
      </c>
      <c r="K57" s="125">
        <f>H57/100</f>
        <v>0.1</v>
      </c>
      <c r="L57" s="125">
        <f>I57/100</f>
        <v>0.13</v>
      </c>
      <c r="M57" s="125" t="s">
        <v>306</v>
      </c>
      <c r="N57" s="125" t="s">
        <v>333</v>
      </c>
      <c r="O57" s="125"/>
      <c r="P57" s="125" t="s">
        <v>541</v>
      </c>
      <c r="Q57" s="125" t="s">
        <v>320</v>
      </c>
      <c r="R57" s="127" t="s">
        <v>336</v>
      </c>
      <c r="S57" s="125" t="s">
        <v>542</v>
      </c>
      <c r="T57" s="125"/>
    </row>
    <row r="58" spans="1:20" s="130" customFormat="1">
      <c r="A58" s="132"/>
      <c r="B58" s="132"/>
      <c r="C58" s="132"/>
      <c r="D58" s="132"/>
      <c r="E58" s="132"/>
      <c r="F58" s="132"/>
      <c r="G58" s="132"/>
      <c r="H58" s="132"/>
      <c r="I58" s="132"/>
      <c r="J58" s="132"/>
      <c r="K58" s="132"/>
      <c r="L58" s="132"/>
      <c r="M58" s="125"/>
      <c r="N58" s="125"/>
      <c r="O58" s="125"/>
      <c r="P58" s="125"/>
      <c r="Q58" s="125"/>
      <c r="R58" s="129"/>
      <c r="S58" s="125"/>
      <c r="T58" s="125"/>
    </row>
    <row r="59" spans="1:20" s="130" customFormat="1">
      <c r="A59" s="132"/>
      <c r="B59" s="132"/>
      <c r="C59" s="132"/>
      <c r="D59" s="132"/>
      <c r="E59" s="132"/>
      <c r="F59" s="132"/>
      <c r="G59" s="132"/>
      <c r="H59" s="132"/>
      <c r="I59" s="132"/>
      <c r="J59" s="132"/>
      <c r="K59" s="132"/>
      <c r="L59" s="132"/>
      <c r="M59" s="125"/>
      <c r="N59" s="125"/>
      <c r="O59" s="125"/>
      <c r="P59" s="125"/>
      <c r="Q59" s="125"/>
      <c r="R59" s="129"/>
      <c r="S59" s="125"/>
      <c r="T59" s="125"/>
    </row>
    <row r="60" spans="1:20" s="130" customFormat="1">
      <c r="A60" s="132"/>
      <c r="B60" s="132"/>
      <c r="C60" s="132"/>
      <c r="D60" s="132"/>
      <c r="E60" s="132"/>
      <c r="F60" s="132"/>
      <c r="G60" s="132"/>
      <c r="H60" s="132"/>
      <c r="I60" s="132"/>
      <c r="J60" s="132"/>
      <c r="K60" s="132"/>
      <c r="L60" s="132"/>
      <c r="M60" s="125"/>
      <c r="N60" s="125"/>
      <c r="O60" s="125"/>
      <c r="P60" s="125"/>
      <c r="Q60" s="125"/>
      <c r="R60" s="129"/>
      <c r="S60" s="125"/>
      <c r="T60" s="125"/>
    </row>
    <row r="61" spans="1:20" s="130" customFormat="1">
      <c r="A61" s="132"/>
      <c r="B61" s="132"/>
      <c r="C61" s="132"/>
      <c r="D61" s="132"/>
      <c r="E61" s="132"/>
      <c r="F61" s="132"/>
      <c r="G61" s="132"/>
      <c r="H61" s="132"/>
      <c r="I61" s="132"/>
      <c r="J61" s="132"/>
      <c r="K61" s="132"/>
      <c r="L61" s="132"/>
      <c r="M61" s="125"/>
      <c r="N61" s="125"/>
      <c r="O61" s="125"/>
      <c r="P61" s="125"/>
      <c r="Q61" s="125"/>
      <c r="R61" s="129"/>
      <c r="S61" s="125"/>
      <c r="T61" s="125"/>
    </row>
    <row r="62" spans="1:20" s="130" customFormat="1">
      <c r="A62" s="132"/>
      <c r="B62" s="132"/>
      <c r="C62" s="132"/>
      <c r="D62" s="132"/>
      <c r="E62" s="132"/>
      <c r="F62" s="132"/>
      <c r="G62" s="132"/>
      <c r="H62" s="132"/>
      <c r="I62" s="132"/>
      <c r="J62" s="132"/>
      <c r="K62" s="132"/>
      <c r="L62" s="132"/>
      <c r="M62" s="125"/>
      <c r="N62" s="125"/>
      <c r="O62" s="125"/>
      <c r="P62" s="125"/>
      <c r="Q62" s="125"/>
      <c r="R62" s="129"/>
      <c r="S62" s="125"/>
      <c r="T62" s="125"/>
    </row>
    <row r="63" spans="1:20" s="130" customFormat="1">
      <c r="A63" s="132"/>
      <c r="B63" s="132"/>
      <c r="C63" s="132"/>
      <c r="D63" s="132"/>
      <c r="E63" s="132"/>
      <c r="F63" s="132"/>
      <c r="G63" s="132"/>
      <c r="H63" s="132"/>
      <c r="I63" s="132"/>
      <c r="J63" s="132"/>
      <c r="K63" s="132"/>
      <c r="L63" s="132"/>
      <c r="M63" s="125"/>
      <c r="N63" s="125"/>
      <c r="O63" s="125"/>
      <c r="P63" s="125"/>
      <c r="Q63" s="125"/>
      <c r="R63" s="129"/>
      <c r="S63" s="125"/>
      <c r="T63" s="125"/>
    </row>
    <row r="64" spans="1:20" s="130" customFormat="1">
      <c r="A64" s="132"/>
      <c r="B64" s="132"/>
      <c r="C64" s="132"/>
      <c r="D64" s="132"/>
      <c r="E64" s="132"/>
      <c r="F64" s="132"/>
      <c r="G64" s="132"/>
      <c r="H64" s="132"/>
      <c r="I64" s="132"/>
      <c r="J64" s="132"/>
      <c r="K64" s="132"/>
      <c r="L64" s="132"/>
      <c r="M64" s="125"/>
      <c r="N64" s="125"/>
      <c r="O64" s="125"/>
      <c r="P64" s="125"/>
      <c r="Q64" s="125"/>
      <c r="R64" s="129"/>
      <c r="S64" s="125"/>
      <c r="T64" s="125"/>
    </row>
    <row r="65" spans="1:20" s="130" customFormat="1" ht="60">
      <c r="A65" s="130" t="s">
        <v>365</v>
      </c>
      <c r="D65" s="130" t="s">
        <v>543</v>
      </c>
      <c r="E65" s="130" t="s">
        <v>544</v>
      </c>
      <c r="F65" s="130" t="s">
        <v>545</v>
      </c>
      <c r="S65" s="124" t="s">
        <v>546</v>
      </c>
      <c r="T65" s="134" t="s">
        <v>547</v>
      </c>
    </row>
  </sheetData>
  <sheetProtection sheet="1" objects="1" scenarios="1" formatCells="0" formatColumns="0" formatRows="0"/>
  <dataValidations count="3">
    <dataValidation type="list" allowBlank="1" showInputMessage="1" showErrorMessage="1" sqref="Q2:Q64" xr:uid="{979446DA-E6B2-4B60-9D3E-98B9555F1D97}">
      <formula1>"Indoor, Outdoor, Indoor/Outdoor, Unclear"</formula1>
    </dataValidation>
    <dataValidation type="list" allowBlank="1" showInputMessage="1" showErrorMessage="1" sqref="N2:N64" xr:uid="{EB6C7D4B-9292-4CEE-B376-D33D1E9026C4}">
      <formula1>"Paste (caulk gun), Paste (putty knife or hand application), Liquid (rolled or brushed on), Liquid (sprayed on), Liquid (added to water), Liquid (poured), Solid, Other"</formula1>
    </dataValidation>
    <dataValidation type="list" allowBlank="1" showInputMessage="1" showErrorMessage="1" sqref="M2:M64" xr:uid="{88BEAA06-047C-4627-9A2D-EAB6D4E02E54}">
      <formula1>"Yes, No, Unclear"</formula1>
    </dataValidation>
  </dataValidations>
  <hyperlinks>
    <hyperlink ref="R2" r:id="rId1" xr:uid="{B704BDDE-06C5-4BE3-B266-819C5994E482}"/>
    <hyperlink ref="R3" r:id="rId2" xr:uid="{EA833F8E-94C4-418A-977F-DDEB8F01985E}"/>
    <hyperlink ref="R4" r:id="rId3" xr:uid="{E791F0A8-0EFA-47CC-93E6-9B16554F2F87}"/>
    <hyperlink ref="R5" r:id="rId4" xr:uid="{BA795AE0-602A-4D40-BA7E-95045BB19E76}"/>
    <hyperlink ref="R6" r:id="rId5" xr:uid="{1E01EBF0-14AC-4D91-A98B-AA8B23F79019}"/>
    <hyperlink ref="R7" r:id="rId6" xr:uid="{C27D2E3D-0763-4E06-AC91-3E708482D8AD}"/>
    <hyperlink ref="R8" r:id="rId7" xr:uid="{A810382D-FE15-4841-B7EA-FC17917AE37C}"/>
    <hyperlink ref="R9" r:id="rId8" xr:uid="{05719EDB-60BE-46BB-B9FA-AF54353D5C24}"/>
    <hyperlink ref="R10" r:id="rId9" xr:uid="{9377DEE3-600D-4FF4-8AA5-946768441FBB}"/>
    <hyperlink ref="R14" r:id="rId10" xr:uid="{9A2F6FC9-BF43-4F37-9221-7BCC81E5CA65}"/>
    <hyperlink ref="R23" r:id="rId11" xr:uid="{A832D614-8921-4525-98C3-AFB585E48218}"/>
    <hyperlink ref="R25" r:id="rId12" xr:uid="{C698B78D-B052-4CB0-9D26-7020BCC45E36}"/>
    <hyperlink ref="R27" r:id="rId13" xr:uid="{C4D2DE62-A5C1-49A4-A477-E5E3CED1DBDC}"/>
    <hyperlink ref="R28" r:id="rId14" xr:uid="{40E96AC1-CA71-47B7-BC6F-BD4AD3507C74}"/>
    <hyperlink ref="R30" r:id="rId15" xr:uid="{9F70AE21-C529-4A4F-AEFD-5F260E070732}"/>
    <hyperlink ref="R33" r:id="rId16" xr:uid="{91B5DF81-F568-4567-B67C-25678F54E117}"/>
    <hyperlink ref="R34" r:id="rId17" xr:uid="{AA77D32D-F658-4929-9ECD-92BA80912470}"/>
    <hyperlink ref="R35" r:id="rId18" xr:uid="{AD7BBC32-A40C-4F25-8F1C-809BB11634A9}"/>
    <hyperlink ref="R37" r:id="rId19" xr:uid="{AAAE6DC0-B236-424E-8915-5B608C604927}"/>
    <hyperlink ref="R38" r:id="rId20" xr:uid="{CC078620-8C08-4628-8F4A-3518EE1949D5}"/>
    <hyperlink ref="R41" r:id="rId21" xr:uid="{106E52EF-EC18-4558-8D36-AABF351CC7C4}"/>
    <hyperlink ref="R42" r:id="rId22" xr:uid="{6515F8F2-278F-457C-B8B5-921AAAA3F6E2}"/>
    <hyperlink ref="R43" r:id="rId23" xr:uid="{3579340F-D21C-47FA-BF28-33DC3DBC42DA}"/>
    <hyperlink ref="R57" r:id="rId24" xr:uid="{B9B78EDD-4968-44F7-84C6-B60AA3FBF009}"/>
    <hyperlink ref="R29" r:id="rId25" location="Description" xr:uid="{57D4DC71-C284-44DB-A481-8BF33F645D52}"/>
    <hyperlink ref="R36" r:id="rId26" xr:uid="{688B0764-7A11-4148-9DAF-E3964373D089}"/>
    <hyperlink ref="T65" r:id="rId27" display="https://www.whatsinproducts.com/types/type_detail/1/19980/standard/div id=%22cke_pastebin%22%3ERust-Oleum American Accents Craft &amp;amp; Hobby Enamel, Silver-08/25/2016/div%3E/18-010-319" xr:uid="{6A88B35E-7BBF-4297-90DA-C2BDA1CDA9C5}"/>
  </hyperlinks>
  <pageMargins left="0.7" right="0.7" top="0.75" bottom="0.75" header="0.3" footer="0.3"/>
  <pageSetup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957DF-5109-4F06-B6D0-AADA65D5C9CC}">
  <sheetPr codeName="Sheet7"/>
  <dimension ref="A1:J42"/>
  <sheetViews>
    <sheetView workbookViewId="0">
      <selection activeCell="A40" sqref="A40"/>
    </sheetView>
  </sheetViews>
  <sheetFormatPr defaultColWidth="9.140625" defaultRowHeight="15"/>
  <cols>
    <col min="1" max="1" width="94.42578125" style="57" customWidth="1"/>
    <col min="2" max="2" width="15.42578125" style="57" customWidth="1"/>
    <col min="3" max="3" width="11.140625" style="12" bestFit="1" customWidth="1"/>
    <col min="4" max="4" width="36.140625" style="4" customWidth="1"/>
    <col min="5" max="5" width="12.42578125" style="12" customWidth="1"/>
    <col min="6" max="6" width="8.5703125" style="12" customWidth="1"/>
    <col min="7" max="7" width="12.140625" style="12" bestFit="1" customWidth="1"/>
    <col min="8" max="8" width="12.7109375" style="12" customWidth="1"/>
    <col min="9" max="9" width="46.28515625" style="12" bestFit="1" customWidth="1"/>
    <col min="10" max="16384" width="9.140625" style="12"/>
  </cols>
  <sheetData>
    <row r="1" spans="1:10" ht="45">
      <c r="A1" s="583" t="s">
        <v>548</v>
      </c>
      <c r="B1" s="583" t="s">
        <v>549</v>
      </c>
      <c r="C1" s="583" t="s">
        <v>550</v>
      </c>
      <c r="D1" s="135" t="s">
        <v>551</v>
      </c>
      <c r="E1" s="85" t="s">
        <v>552</v>
      </c>
      <c r="F1" s="612" t="s">
        <v>553</v>
      </c>
      <c r="G1" s="612" t="s">
        <v>554</v>
      </c>
      <c r="H1" s="612" t="s">
        <v>555</v>
      </c>
      <c r="I1" s="594"/>
      <c r="J1" s="594"/>
    </row>
    <row r="2" spans="1:10">
      <c r="A2" s="627" t="s">
        <v>556</v>
      </c>
      <c r="B2" s="627"/>
      <c r="C2" s="627"/>
      <c r="D2" s="627"/>
      <c r="E2" s="627"/>
      <c r="F2" s="627"/>
      <c r="G2" s="627"/>
      <c r="H2" s="627"/>
      <c r="I2" s="614"/>
      <c r="J2" s="594" t="s">
        <v>557</v>
      </c>
    </row>
    <row r="3" spans="1:10" ht="60">
      <c r="A3" s="136" t="s">
        <v>558</v>
      </c>
      <c r="B3" s="614" t="s">
        <v>559</v>
      </c>
      <c r="C3" s="594" t="s">
        <v>560</v>
      </c>
      <c r="D3" s="137" t="s">
        <v>561</v>
      </c>
      <c r="E3" s="138">
        <v>39820</v>
      </c>
      <c r="F3" s="594" t="s">
        <v>562</v>
      </c>
      <c r="G3" s="594">
        <f>E3/1000000</f>
        <v>3.9820000000000001E-2</v>
      </c>
      <c r="H3" s="594" t="s">
        <v>563</v>
      </c>
      <c r="I3" s="4" t="s">
        <v>564</v>
      </c>
      <c r="J3" s="594"/>
    </row>
    <row r="4" spans="1:10">
      <c r="A4" s="136"/>
      <c r="B4" s="614" t="s">
        <v>559</v>
      </c>
      <c r="C4" s="594" t="s">
        <v>560</v>
      </c>
      <c r="D4" s="137" t="s">
        <v>561</v>
      </c>
      <c r="E4" s="138">
        <v>1730</v>
      </c>
      <c r="F4" s="594" t="s">
        <v>562</v>
      </c>
      <c r="G4" s="594">
        <f>E4/1000000</f>
        <v>1.73E-3</v>
      </c>
      <c r="H4" s="594" t="s">
        <v>563</v>
      </c>
      <c r="I4" s="4"/>
      <c r="J4" s="594"/>
    </row>
    <row r="5" spans="1:10">
      <c r="A5" s="134" t="s">
        <v>565</v>
      </c>
      <c r="B5" s="614" t="s">
        <v>559</v>
      </c>
      <c r="C5" s="594" t="s">
        <v>560</v>
      </c>
      <c r="D5" s="137" t="s">
        <v>566</v>
      </c>
      <c r="E5" s="139">
        <v>1.5</v>
      </c>
      <c r="F5" s="594" t="s">
        <v>567</v>
      </c>
      <c r="G5" s="594">
        <f>E5/100</f>
        <v>1.4999999999999999E-2</v>
      </c>
      <c r="H5" s="594" t="s">
        <v>568</v>
      </c>
      <c r="I5" s="4" t="s">
        <v>569</v>
      </c>
      <c r="J5" s="594"/>
    </row>
    <row r="6" spans="1:10">
      <c r="A6" s="136"/>
      <c r="B6" s="614" t="s">
        <v>559</v>
      </c>
      <c r="C6" s="594" t="s">
        <v>560</v>
      </c>
      <c r="D6" s="137" t="s">
        <v>570</v>
      </c>
      <c r="E6" s="139">
        <v>0.2</v>
      </c>
      <c r="F6" s="594" t="s">
        <v>567</v>
      </c>
      <c r="G6" s="594">
        <f>E6/100</f>
        <v>2E-3</v>
      </c>
      <c r="H6" s="594" t="s">
        <v>568</v>
      </c>
      <c r="I6" s="4"/>
      <c r="J6" s="594"/>
    </row>
    <row r="7" spans="1:10">
      <c r="A7" s="627" t="s">
        <v>571</v>
      </c>
      <c r="B7" s="627"/>
      <c r="C7" s="627"/>
      <c r="D7" s="627"/>
      <c r="E7" s="627"/>
      <c r="F7" s="627"/>
      <c r="G7" s="627"/>
      <c r="H7" s="627"/>
      <c r="I7" s="594"/>
      <c r="J7" s="594" t="s">
        <v>557</v>
      </c>
    </row>
    <row r="8" spans="1:10">
      <c r="A8" s="594">
        <v>1325358</v>
      </c>
      <c r="B8" s="594" t="s">
        <v>572</v>
      </c>
      <c r="C8" s="594" t="s">
        <v>560</v>
      </c>
      <c r="D8" s="4" t="s">
        <v>573</v>
      </c>
      <c r="E8" s="594">
        <v>100</v>
      </c>
      <c r="F8" s="594" t="s">
        <v>574</v>
      </c>
      <c r="G8" s="594">
        <f>E8/1000000</f>
        <v>1E-4</v>
      </c>
      <c r="H8" s="594" t="s">
        <v>575</v>
      </c>
      <c r="I8" s="594"/>
      <c r="J8" s="594"/>
    </row>
    <row r="9" spans="1:10">
      <c r="A9" s="614">
        <v>1062241</v>
      </c>
      <c r="B9" s="614" t="s">
        <v>559</v>
      </c>
      <c r="C9" s="594" t="s">
        <v>576</v>
      </c>
      <c r="D9" s="4" t="s">
        <v>577</v>
      </c>
      <c r="E9" s="594">
        <v>652</v>
      </c>
      <c r="F9" s="594" t="s">
        <v>578</v>
      </c>
      <c r="G9" s="70">
        <f t="shared" ref="G9:G10" si="0">E9/1000000</f>
        <v>6.5200000000000002E-4</v>
      </c>
      <c r="H9" s="594" t="s">
        <v>563</v>
      </c>
      <c r="I9" s="594"/>
      <c r="J9" s="594"/>
    </row>
    <row r="10" spans="1:10">
      <c r="A10" s="614">
        <v>1062241</v>
      </c>
      <c r="B10" s="614" t="s">
        <v>559</v>
      </c>
      <c r="C10" s="594" t="s">
        <v>576</v>
      </c>
      <c r="D10" s="4" t="s">
        <v>577</v>
      </c>
      <c r="E10" s="594">
        <v>124</v>
      </c>
      <c r="F10" s="594" t="s">
        <v>578</v>
      </c>
      <c r="G10" s="70">
        <f t="shared" si="0"/>
        <v>1.2400000000000001E-4</v>
      </c>
      <c r="H10" s="594" t="s">
        <v>563</v>
      </c>
      <c r="I10" s="594"/>
      <c r="J10" s="594"/>
    </row>
    <row r="11" spans="1:10">
      <c r="A11" s="627" t="s">
        <v>579</v>
      </c>
      <c r="B11" s="627"/>
      <c r="C11" s="627"/>
      <c r="D11" s="627"/>
      <c r="E11" s="627"/>
      <c r="F11" s="627"/>
      <c r="G11" s="627"/>
      <c r="H11" s="627"/>
      <c r="I11" s="594"/>
      <c r="J11" s="594" t="s">
        <v>557</v>
      </c>
    </row>
    <row r="12" spans="1:10">
      <c r="A12" s="140" t="s">
        <v>580</v>
      </c>
      <c r="B12" s="614" t="s">
        <v>559</v>
      </c>
      <c r="C12" s="594" t="s">
        <v>581</v>
      </c>
      <c r="D12" s="4" t="s">
        <v>582</v>
      </c>
      <c r="E12" s="594">
        <v>0.64</v>
      </c>
      <c r="F12" s="594" t="s">
        <v>567</v>
      </c>
      <c r="G12" s="594">
        <f>E12/100</f>
        <v>6.4000000000000003E-3</v>
      </c>
      <c r="H12" s="594" t="s">
        <v>575</v>
      </c>
      <c r="I12" s="594"/>
      <c r="J12" s="594"/>
    </row>
    <row r="13" spans="1:10">
      <c r="A13" s="140" t="s">
        <v>580</v>
      </c>
      <c r="B13" s="614" t="s">
        <v>559</v>
      </c>
      <c r="C13" s="594" t="s">
        <v>581</v>
      </c>
      <c r="D13" s="4" t="s">
        <v>583</v>
      </c>
      <c r="E13" s="594">
        <v>0.89</v>
      </c>
      <c r="F13" s="594" t="s">
        <v>567</v>
      </c>
      <c r="G13" s="594">
        <f t="shared" ref="G13:G14" si="1">E13/100</f>
        <v>8.8999999999999999E-3</v>
      </c>
      <c r="H13" s="594" t="s">
        <v>575</v>
      </c>
      <c r="I13" s="594"/>
      <c r="J13" s="594"/>
    </row>
    <row r="14" spans="1:10">
      <c r="A14" s="140" t="s">
        <v>580</v>
      </c>
      <c r="B14" s="614" t="s">
        <v>559</v>
      </c>
      <c r="C14" s="594" t="s">
        <v>581</v>
      </c>
      <c r="D14" s="4" t="s">
        <v>584</v>
      </c>
      <c r="E14" s="594">
        <v>0.44</v>
      </c>
      <c r="F14" s="594" t="s">
        <v>567</v>
      </c>
      <c r="G14" s="594">
        <f t="shared" si="1"/>
        <v>4.4000000000000003E-3</v>
      </c>
      <c r="H14" s="594" t="s">
        <v>575</v>
      </c>
      <c r="I14" s="594"/>
      <c r="J14" s="594"/>
    </row>
    <row r="15" spans="1:10">
      <c r="A15" s="614">
        <v>1062241</v>
      </c>
      <c r="B15" s="614" t="s">
        <v>559</v>
      </c>
      <c r="C15" s="594" t="s">
        <v>576</v>
      </c>
      <c r="D15" s="4" t="s">
        <v>585</v>
      </c>
      <c r="E15" s="594">
        <v>113</v>
      </c>
      <c r="F15" s="594" t="s">
        <v>578</v>
      </c>
      <c r="G15" s="70">
        <f>E15/1000000</f>
        <v>1.13E-4</v>
      </c>
      <c r="H15" s="594" t="s">
        <v>563</v>
      </c>
      <c r="I15" s="594"/>
      <c r="J15" s="594"/>
    </row>
    <row r="16" spans="1:10">
      <c r="A16" s="627" t="s">
        <v>586</v>
      </c>
      <c r="B16" s="627"/>
      <c r="C16" s="627"/>
      <c r="D16" s="627"/>
      <c r="E16" s="627"/>
      <c r="F16" s="627"/>
      <c r="G16" s="627"/>
      <c r="H16" s="627"/>
      <c r="I16" s="594"/>
      <c r="J16" s="594" t="s">
        <v>557</v>
      </c>
    </row>
    <row r="17" spans="1:10">
      <c r="A17" s="594" t="s">
        <v>587</v>
      </c>
      <c r="B17" s="594" t="s">
        <v>588</v>
      </c>
      <c r="C17" s="594" t="s">
        <v>560</v>
      </c>
      <c r="D17" s="4" t="s">
        <v>586</v>
      </c>
      <c r="E17" s="594">
        <v>26</v>
      </c>
      <c r="F17" s="594" t="s">
        <v>562</v>
      </c>
      <c r="G17" s="594">
        <f t="shared" ref="G17" si="2">E17*10^-6</f>
        <v>2.5999999999999998E-5</v>
      </c>
      <c r="H17" s="594" t="s">
        <v>563</v>
      </c>
      <c r="I17" s="594"/>
      <c r="J17" s="594"/>
    </row>
    <row r="18" spans="1:10">
      <c r="A18" s="627" t="s">
        <v>589</v>
      </c>
      <c r="B18" s="627"/>
      <c r="C18" s="627"/>
      <c r="D18" s="627"/>
      <c r="E18" s="627"/>
      <c r="F18" s="627"/>
      <c r="G18" s="627"/>
      <c r="H18" s="627"/>
      <c r="I18" s="594"/>
      <c r="J18" s="594" t="s">
        <v>557</v>
      </c>
    </row>
    <row r="19" spans="1:10">
      <c r="A19" s="594">
        <v>1325358</v>
      </c>
      <c r="B19" s="594" t="s">
        <v>572</v>
      </c>
      <c r="C19" s="594" t="s">
        <v>560</v>
      </c>
      <c r="D19" s="4" t="s">
        <v>590</v>
      </c>
      <c r="E19" s="594">
        <v>100</v>
      </c>
      <c r="F19" s="594" t="s">
        <v>574</v>
      </c>
      <c r="G19" s="594">
        <f>E19/1000000</f>
        <v>1E-4</v>
      </c>
      <c r="H19" s="594" t="s">
        <v>575</v>
      </c>
      <c r="I19" s="594"/>
      <c r="J19" s="594"/>
    </row>
    <row r="20" spans="1:10">
      <c r="A20" s="627" t="s">
        <v>591</v>
      </c>
      <c r="B20" s="627"/>
      <c r="C20" s="627"/>
      <c r="D20" s="627"/>
      <c r="E20" s="627"/>
      <c r="F20" s="627"/>
      <c r="G20" s="627"/>
      <c r="H20" s="627"/>
      <c r="I20" s="4" t="s">
        <v>592</v>
      </c>
      <c r="J20" s="594"/>
    </row>
    <row r="21" spans="1:10">
      <c r="A21" s="614" t="s">
        <v>593</v>
      </c>
      <c r="B21" s="614" t="s">
        <v>559</v>
      </c>
      <c r="C21" s="594" t="s">
        <v>594</v>
      </c>
      <c r="D21" s="4" t="s">
        <v>591</v>
      </c>
      <c r="E21" s="594">
        <v>5</v>
      </c>
      <c r="F21" s="594" t="s">
        <v>562</v>
      </c>
      <c r="G21" s="594">
        <f t="shared" ref="G21:G23" si="3">E21/1000000</f>
        <v>5.0000000000000004E-6</v>
      </c>
      <c r="H21" s="594" t="s">
        <v>595</v>
      </c>
      <c r="I21" s="594"/>
      <c r="J21" s="594"/>
    </row>
    <row r="22" spans="1:10">
      <c r="A22" s="614" t="s">
        <v>593</v>
      </c>
      <c r="B22" s="614" t="s">
        <v>559</v>
      </c>
      <c r="C22" s="594" t="s">
        <v>594</v>
      </c>
      <c r="D22" s="4" t="s">
        <v>591</v>
      </c>
      <c r="E22" s="594">
        <v>55</v>
      </c>
      <c r="F22" s="594" t="s">
        <v>562</v>
      </c>
      <c r="G22" s="594">
        <f t="shared" si="3"/>
        <v>5.5000000000000002E-5</v>
      </c>
      <c r="H22" s="594" t="s">
        <v>596</v>
      </c>
      <c r="I22" s="594"/>
      <c r="J22" s="594"/>
    </row>
    <row r="23" spans="1:10">
      <c r="A23" s="614" t="s">
        <v>593</v>
      </c>
      <c r="B23" s="614" t="s">
        <v>559</v>
      </c>
      <c r="C23" s="594" t="s">
        <v>594</v>
      </c>
      <c r="D23" s="4" t="s">
        <v>591</v>
      </c>
      <c r="E23" s="594">
        <v>1900</v>
      </c>
      <c r="F23" s="594" t="s">
        <v>562</v>
      </c>
      <c r="G23" s="594">
        <f t="shared" si="3"/>
        <v>1.9E-3</v>
      </c>
      <c r="H23" s="594" t="s">
        <v>597</v>
      </c>
      <c r="I23" s="594"/>
      <c r="J23" s="594"/>
    </row>
    <row r="24" spans="1:10">
      <c r="A24" s="627" t="s">
        <v>598</v>
      </c>
      <c r="B24" s="627"/>
      <c r="C24" s="627"/>
      <c r="D24" s="627"/>
      <c r="E24" s="627"/>
      <c r="F24" s="627"/>
      <c r="G24" s="627"/>
      <c r="H24" s="627"/>
      <c r="I24" s="594"/>
      <c r="J24" s="594"/>
    </row>
    <row r="25" spans="1:10">
      <c r="A25" s="614" t="s">
        <v>599</v>
      </c>
      <c r="B25" s="614" t="s">
        <v>559</v>
      </c>
      <c r="C25" s="594" t="s">
        <v>600</v>
      </c>
      <c r="D25" s="4" t="s">
        <v>601</v>
      </c>
      <c r="E25" s="594">
        <v>20000</v>
      </c>
      <c r="F25" s="594" t="s">
        <v>578</v>
      </c>
      <c r="G25" s="594">
        <f>E25/1000000</f>
        <v>0.02</v>
      </c>
      <c r="H25" s="594" t="s">
        <v>602</v>
      </c>
      <c r="I25" s="594"/>
      <c r="J25" s="594"/>
    </row>
    <row r="26" spans="1:10">
      <c r="A26" s="614" t="s">
        <v>599</v>
      </c>
      <c r="B26" s="614" t="s">
        <v>559</v>
      </c>
      <c r="C26" s="594" t="s">
        <v>600</v>
      </c>
      <c r="D26" s="4" t="s">
        <v>601</v>
      </c>
      <c r="E26" s="594">
        <v>26750</v>
      </c>
      <c r="F26" s="594" t="s">
        <v>578</v>
      </c>
      <c r="G26" s="594">
        <f t="shared" ref="G26:G27" si="4">E26/1000000</f>
        <v>2.6749999999999999E-2</v>
      </c>
      <c r="H26" s="594" t="s">
        <v>42</v>
      </c>
      <c r="I26" s="594"/>
      <c r="J26" s="594"/>
    </row>
    <row r="27" spans="1:10">
      <c r="A27" s="614" t="s">
        <v>599</v>
      </c>
      <c r="B27" s="614" t="s">
        <v>559</v>
      </c>
      <c r="C27" s="594" t="s">
        <v>600</v>
      </c>
      <c r="D27" s="4" t="s">
        <v>601</v>
      </c>
      <c r="E27" s="594">
        <v>33000</v>
      </c>
      <c r="F27" s="594" t="s">
        <v>578</v>
      </c>
      <c r="G27" s="594">
        <f t="shared" si="4"/>
        <v>3.3000000000000002E-2</v>
      </c>
      <c r="H27" s="594" t="s">
        <v>603</v>
      </c>
      <c r="I27" s="594"/>
      <c r="J27" s="594"/>
    </row>
    <row r="28" spans="1:10">
      <c r="A28" s="627" t="s">
        <v>604</v>
      </c>
      <c r="B28" s="627"/>
      <c r="C28" s="627"/>
      <c r="D28" s="627"/>
      <c r="E28" s="627"/>
      <c r="F28" s="627"/>
      <c r="G28" s="627"/>
      <c r="H28" s="627"/>
      <c r="I28" s="594"/>
      <c r="J28" s="594" t="s">
        <v>557</v>
      </c>
    </row>
    <row r="29" spans="1:10">
      <c r="A29" s="614">
        <v>11374030</v>
      </c>
      <c r="B29" s="614" t="s">
        <v>572</v>
      </c>
      <c r="C29" s="594" t="s">
        <v>576</v>
      </c>
      <c r="D29" s="130" t="s">
        <v>605</v>
      </c>
      <c r="E29" s="594">
        <v>50</v>
      </c>
      <c r="F29" s="594" t="s">
        <v>578</v>
      </c>
      <c r="G29" s="594">
        <f>E29/1000000</f>
        <v>5.0000000000000002E-5</v>
      </c>
      <c r="H29" s="594" t="s">
        <v>563</v>
      </c>
      <c r="I29" s="594"/>
      <c r="J29" s="594"/>
    </row>
    <row r="30" spans="1:10">
      <c r="A30" s="627" t="s">
        <v>606</v>
      </c>
      <c r="B30" s="627"/>
      <c r="C30" s="627"/>
      <c r="D30" s="627"/>
      <c r="E30" s="627"/>
      <c r="F30" s="627"/>
      <c r="G30" s="627"/>
      <c r="H30" s="627"/>
      <c r="I30" s="594"/>
      <c r="J30" s="594"/>
    </row>
    <row r="32" spans="1:10">
      <c r="A32" s="594"/>
      <c r="B32" s="594"/>
      <c r="C32" s="594"/>
      <c r="E32" s="594"/>
      <c r="F32" s="594"/>
      <c r="G32" s="70"/>
      <c r="H32" s="594"/>
      <c r="I32" s="594"/>
      <c r="J32" s="594"/>
    </row>
    <row r="33" spans="1:9">
      <c r="A33" s="594"/>
      <c r="B33" s="594"/>
      <c r="C33" s="594"/>
      <c r="E33" s="594"/>
      <c r="F33" s="594"/>
      <c r="G33" s="594"/>
      <c r="H33" s="594"/>
      <c r="I33" s="594"/>
    </row>
    <row r="34" spans="1:9">
      <c r="A34" s="594"/>
      <c r="B34" s="594"/>
      <c r="C34" s="594"/>
      <c r="E34" s="594"/>
      <c r="F34" s="594"/>
      <c r="G34" s="594"/>
      <c r="H34" s="594"/>
      <c r="I34" s="594"/>
    </row>
    <row r="35" spans="1:9">
      <c r="A35" s="141" t="s">
        <v>607</v>
      </c>
      <c r="B35" s="141"/>
      <c r="C35" s="142" t="s">
        <v>608</v>
      </c>
      <c r="D35" s="143" t="s">
        <v>609</v>
      </c>
      <c r="E35" s="142" t="s">
        <v>610</v>
      </c>
      <c r="F35" s="142" t="s">
        <v>567</v>
      </c>
      <c r="G35" s="142"/>
      <c r="H35" s="142"/>
      <c r="I35" s="594" t="s">
        <v>611</v>
      </c>
    </row>
    <row r="36" spans="1:9" ht="30">
      <c r="A36" s="141" t="s">
        <v>612</v>
      </c>
      <c r="B36" s="141"/>
      <c r="C36" s="142" t="s">
        <v>613</v>
      </c>
      <c r="D36" s="143" t="s">
        <v>614</v>
      </c>
      <c r="E36" s="142">
        <v>448</v>
      </c>
      <c r="F36" s="142" t="s">
        <v>574</v>
      </c>
      <c r="G36" s="142"/>
      <c r="H36" s="142"/>
      <c r="I36" s="594" t="s">
        <v>611</v>
      </c>
    </row>
    <row r="37" spans="1:9">
      <c r="A37" s="142" t="s">
        <v>615</v>
      </c>
      <c r="B37" s="141"/>
      <c r="C37" s="142" t="s">
        <v>616</v>
      </c>
      <c r="D37" s="143" t="s">
        <v>617</v>
      </c>
      <c r="E37" s="142" t="s">
        <v>618</v>
      </c>
      <c r="F37" s="142" t="s">
        <v>567</v>
      </c>
      <c r="G37" s="142"/>
      <c r="H37" s="142"/>
      <c r="I37" s="594" t="s">
        <v>611</v>
      </c>
    </row>
    <row r="38" spans="1:9" ht="30">
      <c r="A38" s="144" t="s">
        <v>619</v>
      </c>
      <c r="B38" s="144"/>
      <c r="C38" s="145" t="s">
        <v>620</v>
      </c>
      <c r="D38" s="146" t="s">
        <v>621</v>
      </c>
      <c r="E38" s="145">
        <v>32349</v>
      </c>
      <c r="F38" s="145" t="s">
        <v>574</v>
      </c>
      <c r="G38" s="145"/>
      <c r="H38" s="145"/>
      <c r="I38" s="594" t="s">
        <v>622</v>
      </c>
    </row>
    <row r="39" spans="1:9" ht="30">
      <c r="A39" s="144" t="s">
        <v>619</v>
      </c>
      <c r="B39" s="144"/>
      <c r="C39" s="145" t="s">
        <v>620</v>
      </c>
      <c r="D39" s="146" t="s">
        <v>623</v>
      </c>
      <c r="E39" s="145">
        <v>3.6</v>
      </c>
      <c r="F39" s="145" t="s">
        <v>574</v>
      </c>
      <c r="G39" s="145"/>
      <c r="H39" s="145"/>
      <c r="I39" s="594" t="s">
        <v>622</v>
      </c>
    </row>
    <row r="40" spans="1:9" ht="30">
      <c r="A40" s="144" t="s">
        <v>624</v>
      </c>
      <c r="B40" s="144"/>
      <c r="C40" s="145" t="s">
        <v>625</v>
      </c>
      <c r="D40" s="146" t="s">
        <v>626</v>
      </c>
      <c r="E40" s="145">
        <v>220</v>
      </c>
      <c r="F40" s="145" t="s">
        <v>574</v>
      </c>
      <c r="G40" s="145"/>
      <c r="H40" s="145"/>
      <c r="I40" s="594" t="s">
        <v>627</v>
      </c>
    </row>
    <row r="41" spans="1:9">
      <c r="A41" s="144" t="s">
        <v>580</v>
      </c>
      <c r="B41" s="144"/>
      <c r="C41" s="145" t="s">
        <v>620</v>
      </c>
      <c r="D41" s="146" t="s">
        <v>628</v>
      </c>
      <c r="E41" s="144" t="s">
        <v>629</v>
      </c>
      <c r="F41" s="145" t="s">
        <v>578</v>
      </c>
      <c r="G41" s="145"/>
      <c r="H41" s="145"/>
      <c r="I41" s="4" t="s">
        <v>630</v>
      </c>
    </row>
    <row r="42" spans="1:9" ht="30">
      <c r="A42" s="144" t="s">
        <v>631</v>
      </c>
      <c r="B42" s="144"/>
      <c r="C42" s="145" t="s">
        <v>632</v>
      </c>
      <c r="D42" s="146" t="s">
        <v>591</v>
      </c>
      <c r="E42" s="144" t="s">
        <v>633</v>
      </c>
      <c r="F42" s="145" t="s">
        <v>574</v>
      </c>
      <c r="G42" s="145"/>
      <c r="H42" s="145"/>
      <c r="I42" s="4" t="s">
        <v>634</v>
      </c>
    </row>
  </sheetData>
  <sheetProtection sheet="1" objects="1" scenarios="1" formatCells="0" formatColumns="0" formatRows="0"/>
  <mergeCells count="9">
    <mergeCell ref="A24:H24"/>
    <mergeCell ref="A28:H28"/>
    <mergeCell ref="A30:H30"/>
    <mergeCell ref="A2:H2"/>
    <mergeCell ref="A7:H7"/>
    <mergeCell ref="A11:H11"/>
    <mergeCell ref="A16:H16"/>
    <mergeCell ref="A18:H18"/>
    <mergeCell ref="A20:H20"/>
  </mergeCells>
  <hyperlinks>
    <hyperlink ref="A17" r:id="rId1" display="https://doi.org/10.1186%2Fs43591-023-00054-6" xr:uid="{102A426C-C23C-4F81-A728-B3168D4D278E}"/>
    <hyperlink ref="A3" r:id="rId2" display="CPSC 2010 cited Stopford, W., J. Turner, D. Cappellini. 2003. Determination of the magnitude of clay to skin and skin to mouth transfer of phthalates associated with the use of polymer clays. Department of Community &amp; Family Medicine, Division of Occupational &amp; Environmental Medicine, Duke University Medical Center. Durham, NC, 2003" xr:uid="{7BAF8E03-9B65-48FB-883B-0C75B7D1D65F}"/>
    <hyperlink ref="A5" r:id="rId3" display="https://publicinterestnetwork.org/wp-content/uploads/2013/05/Hidden_Hazards_USPIRG.pdf" xr:uid="{C21BBE5F-9704-4938-8E91-97F8FCB071D0}"/>
  </hyperlink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574E-4AAF-4B79-861B-6490917AA399}">
  <sheetPr codeName="Sheet8"/>
  <dimension ref="A1:AB622"/>
  <sheetViews>
    <sheetView workbookViewId="0">
      <selection activeCell="B14" sqref="B14"/>
    </sheetView>
  </sheetViews>
  <sheetFormatPr defaultColWidth="23.28515625" defaultRowHeight="15"/>
  <cols>
    <col min="1" max="16384" width="23.28515625" style="148"/>
  </cols>
  <sheetData>
    <row r="1" spans="1:28" ht="50.45" customHeight="1">
      <c r="A1" s="147" t="s">
        <v>635</v>
      </c>
    </row>
    <row r="2" spans="1:28" ht="2.1" customHeight="1"/>
    <row r="3" spans="1:28" ht="15" customHeight="1">
      <c r="A3" s="149" t="s">
        <v>636</v>
      </c>
    </row>
    <row r="4" spans="1:28" ht="18" customHeight="1">
      <c r="A4" s="150" t="s">
        <v>637</v>
      </c>
      <c r="B4" s="151"/>
      <c r="C4" s="151"/>
      <c r="D4" s="151"/>
      <c r="E4" s="152"/>
    </row>
    <row r="5" spans="1:28" ht="15" customHeight="1">
      <c r="A5" s="153" t="s">
        <v>638</v>
      </c>
      <c r="B5" s="154" t="s">
        <v>639</v>
      </c>
      <c r="C5" s="151"/>
      <c r="D5" s="151"/>
      <c r="E5" s="152"/>
    </row>
    <row r="6" spans="1:28" ht="15" customHeight="1">
      <c r="A6" s="155" t="s">
        <v>640</v>
      </c>
      <c r="B6" s="156" t="s">
        <v>641</v>
      </c>
      <c r="C6" s="151"/>
      <c r="D6" s="151"/>
      <c r="E6" s="152"/>
    </row>
    <row r="7" spans="1:28" ht="15" customHeight="1">
      <c r="A7" s="153" t="s">
        <v>642</v>
      </c>
      <c r="B7" s="154" t="s">
        <v>643</v>
      </c>
      <c r="C7" s="151"/>
      <c r="D7" s="151"/>
      <c r="E7" s="152"/>
    </row>
    <row r="8" spans="1:28" ht="15" customHeight="1">
      <c r="A8" s="155" t="s">
        <v>644</v>
      </c>
      <c r="B8" s="156" t="s">
        <v>645</v>
      </c>
      <c r="C8" s="151"/>
      <c r="D8" s="151"/>
      <c r="E8" s="152"/>
    </row>
    <row r="9" spans="1:28" ht="15" customHeight="1">
      <c r="A9" s="153" t="s">
        <v>646</v>
      </c>
      <c r="B9" s="154" t="s">
        <v>647</v>
      </c>
      <c r="C9" s="151"/>
      <c r="D9" s="151"/>
      <c r="E9" s="152"/>
    </row>
    <row r="10" spans="1:28" ht="15" customHeight="1">
      <c r="A10" s="155" t="s">
        <v>648</v>
      </c>
      <c r="B10" s="156" t="s">
        <v>649</v>
      </c>
      <c r="C10" s="151"/>
      <c r="D10" s="151"/>
      <c r="E10" s="152"/>
    </row>
    <row r="11" spans="1:28" ht="15" customHeight="1">
      <c r="A11" s="153" t="s">
        <v>650</v>
      </c>
      <c r="B11" s="154" t="s">
        <v>651</v>
      </c>
      <c r="C11" s="151"/>
      <c r="D11" s="151"/>
      <c r="E11" s="152"/>
    </row>
    <row r="12" spans="1:28" ht="33.6" customHeight="1"/>
    <row r="13" spans="1:28" ht="25.5" customHeight="1">
      <c r="A13" s="150" t="s">
        <v>652</v>
      </c>
      <c r="B13" s="150" t="s">
        <v>653</v>
      </c>
      <c r="C13" s="151"/>
      <c r="D13" s="157" t="s">
        <v>654</v>
      </c>
      <c r="E13" s="157" t="s">
        <v>655</v>
      </c>
      <c r="F13" s="157" t="s">
        <v>656</v>
      </c>
      <c r="G13" s="157" t="s">
        <v>657</v>
      </c>
      <c r="H13" s="157" t="s">
        <v>658</v>
      </c>
      <c r="I13" s="150" t="s">
        <v>659</v>
      </c>
      <c r="J13" s="152"/>
      <c r="K13" s="152" t="s">
        <v>554</v>
      </c>
      <c r="L13" s="150" t="s">
        <v>660</v>
      </c>
      <c r="M13" s="152"/>
      <c r="N13" s="157" t="s">
        <v>661</v>
      </c>
      <c r="O13" s="157" t="s">
        <v>662</v>
      </c>
      <c r="P13" s="157" t="s">
        <v>663</v>
      </c>
      <c r="Q13" s="157" t="s">
        <v>664</v>
      </c>
      <c r="R13" s="157" t="s">
        <v>665</v>
      </c>
      <c r="S13" s="150" t="s">
        <v>666</v>
      </c>
      <c r="T13" s="152"/>
      <c r="V13" s="158" t="s">
        <v>667</v>
      </c>
    </row>
    <row r="14" spans="1:28" ht="51" customHeight="1">
      <c r="A14" s="159" t="s">
        <v>668</v>
      </c>
      <c r="B14" s="160" t="s">
        <v>669</v>
      </c>
      <c r="C14" s="154" t="s">
        <v>670</v>
      </c>
      <c r="D14" s="161" t="s">
        <v>671</v>
      </c>
      <c r="E14" s="161" t="s">
        <v>672</v>
      </c>
      <c r="F14" s="161" t="s">
        <v>673</v>
      </c>
      <c r="G14" s="161" t="s">
        <v>674</v>
      </c>
      <c r="H14" s="161" t="s">
        <v>675</v>
      </c>
      <c r="I14" s="160">
        <v>9.23</v>
      </c>
      <c r="J14" s="154" t="s">
        <v>574</v>
      </c>
      <c r="K14" s="162">
        <f>I14/1000000</f>
        <v>9.2299999999999997E-6</v>
      </c>
      <c r="L14" s="163"/>
      <c r="M14" s="164"/>
      <c r="N14" s="165" t="s">
        <v>676</v>
      </c>
      <c r="O14" s="165"/>
      <c r="P14" s="165"/>
      <c r="Q14" s="165"/>
      <c r="R14" s="165"/>
      <c r="S14" s="166" t="s">
        <v>677</v>
      </c>
      <c r="T14" s="165" t="s">
        <v>678</v>
      </c>
      <c r="U14" s="148" t="s">
        <v>679</v>
      </c>
      <c r="V14" s="167" t="s">
        <v>680</v>
      </c>
      <c r="W14" s="167" t="s">
        <v>681</v>
      </c>
      <c r="X14" s="168" t="s">
        <v>682</v>
      </c>
      <c r="Y14" s="167" t="s">
        <v>683</v>
      </c>
    </row>
    <row r="15" spans="1:28" ht="51" customHeight="1">
      <c r="A15" s="169" t="s">
        <v>668</v>
      </c>
      <c r="B15" s="170" t="s">
        <v>669</v>
      </c>
      <c r="C15" s="156" t="s">
        <v>670</v>
      </c>
      <c r="D15" s="171" t="s">
        <v>684</v>
      </c>
      <c r="E15" s="171" t="s">
        <v>685</v>
      </c>
      <c r="F15" s="171" t="s">
        <v>673</v>
      </c>
      <c r="G15" s="171" t="s">
        <v>686</v>
      </c>
      <c r="H15" s="171" t="s">
        <v>675</v>
      </c>
      <c r="I15" s="170">
        <v>16.7</v>
      </c>
      <c r="J15" s="156" t="s">
        <v>574</v>
      </c>
      <c r="K15" s="162">
        <f t="shared" ref="K15:K26" si="0">I15/1000000</f>
        <v>1.6699999999999999E-5</v>
      </c>
      <c r="L15" s="172"/>
      <c r="M15" s="173"/>
      <c r="N15" s="174" t="s">
        <v>676</v>
      </c>
      <c r="O15" s="174"/>
      <c r="P15" s="174"/>
      <c r="Q15" s="174"/>
      <c r="R15" s="174"/>
      <c r="S15" s="175" t="s">
        <v>687</v>
      </c>
      <c r="T15" s="174" t="s">
        <v>678</v>
      </c>
      <c r="U15" s="148" t="s">
        <v>679</v>
      </c>
      <c r="V15" s="176" t="s">
        <v>688</v>
      </c>
      <c r="W15" s="177">
        <f>_xlfn.MINIFS(I$14:I$800,U$14:U$800,V15)</f>
        <v>37</v>
      </c>
      <c r="X15" s="178">
        <f>AVERAGEIF(U$14:U$798,"vinyl liner", I$14:I$798)</f>
        <v>37</v>
      </c>
      <c r="Y15" s="177">
        <f>_xlfn.MAXIFS(I$14:I$800,U$14:U$800,V15)</f>
        <v>37</v>
      </c>
      <c r="Z15" s="614">
        <f t="shared" ref="Z15:AB19" si="1">W15/1000000</f>
        <v>3.6999999999999998E-5</v>
      </c>
      <c r="AA15" s="179">
        <f t="shared" si="1"/>
        <v>3.6999999999999998E-5</v>
      </c>
      <c r="AB15" s="614">
        <f t="shared" si="1"/>
        <v>3.6999999999999998E-5</v>
      </c>
    </row>
    <row r="16" spans="1:28" ht="51" customHeight="1">
      <c r="A16" s="159" t="s">
        <v>668</v>
      </c>
      <c r="B16" s="160" t="s">
        <v>669</v>
      </c>
      <c r="C16" s="154" t="s">
        <v>670</v>
      </c>
      <c r="D16" s="161" t="s">
        <v>689</v>
      </c>
      <c r="E16" s="161" t="s">
        <v>690</v>
      </c>
      <c r="F16" s="161" t="s">
        <v>673</v>
      </c>
      <c r="G16" s="161" t="s">
        <v>691</v>
      </c>
      <c r="H16" s="161" t="s">
        <v>692</v>
      </c>
      <c r="I16" s="160">
        <v>25.2</v>
      </c>
      <c r="J16" s="154" t="s">
        <v>574</v>
      </c>
      <c r="K16" s="162">
        <f t="shared" si="0"/>
        <v>2.5199999999999999E-5</v>
      </c>
      <c r="L16" s="163"/>
      <c r="M16" s="164"/>
      <c r="N16" s="165" t="s">
        <v>676</v>
      </c>
      <c r="O16" s="165"/>
      <c r="P16" s="165"/>
      <c r="Q16" s="165"/>
      <c r="R16" s="165"/>
      <c r="S16" s="166" t="s">
        <v>693</v>
      </c>
      <c r="T16" s="165" t="s">
        <v>678</v>
      </c>
      <c r="U16" s="148" t="s">
        <v>679</v>
      </c>
      <c r="V16" s="180" t="s">
        <v>694</v>
      </c>
      <c r="W16" s="177">
        <f t="shared" ref="W16:W19" si="2">_xlfn.MINIFS(I$14:I$800,U$14:U$800,V16)</f>
        <v>13</v>
      </c>
      <c r="X16" s="178">
        <f>AVERAGEIF(U$14:U$798,"Clothing (exterior)", I$14:I$798)</f>
        <v>13</v>
      </c>
      <c r="Y16" s="177">
        <f>_xlfn.MAXIFS(I$14:I$800,U$14:U$800,V16)</f>
        <v>13</v>
      </c>
      <c r="Z16" s="614">
        <f t="shared" si="1"/>
        <v>1.2999999999999999E-5</v>
      </c>
      <c r="AA16" s="179">
        <f t="shared" si="1"/>
        <v>1.2999999999999999E-5</v>
      </c>
      <c r="AB16" s="614">
        <f t="shared" si="1"/>
        <v>1.2999999999999999E-5</v>
      </c>
    </row>
    <row r="17" spans="1:28" ht="51" customHeight="1">
      <c r="A17" s="169" t="s">
        <v>668</v>
      </c>
      <c r="B17" s="170" t="s">
        <v>669</v>
      </c>
      <c r="C17" s="156" t="s">
        <v>670</v>
      </c>
      <c r="D17" s="171" t="s">
        <v>695</v>
      </c>
      <c r="E17" s="171" t="s">
        <v>696</v>
      </c>
      <c r="F17" s="171" t="s">
        <v>673</v>
      </c>
      <c r="G17" s="171" t="s">
        <v>697</v>
      </c>
      <c r="H17" s="171" t="s">
        <v>692</v>
      </c>
      <c r="I17" s="170">
        <v>11.5</v>
      </c>
      <c r="J17" s="156" t="s">
        <v>574</v>
      </c>
      <c r="K17" s="162">
        <f t="shared" si="0"/>
        <v>1.15E-5</v>
      </c>
      <c r="L17" s="172"/>
      <c r="M17" s="173"/>
      <c r="N17" s="174" t="s">
        <v>676</v>
      </c>
      <c r="O17" s="174"/>
      <c r="P17" s="174"/>
      <c r="Q17" s="174"/>
      <c r="R17" s="174"/>
      <c r="S17" s="175" t="s">
        <v>698</v>
      </c>
      <c r="T17" s="174" t="s">
        <v>678</v>
      </c>
      <c r="U17" s="148" t="s">
        <v>679</v>
      </c>
      <c r="V17" s="180" t="s">
        <v>699</v>
      </c>
      <c r="W17" s="177">
        <f t="shared" si="2"/>
        <v>12.9</v>
      </c>
      <c r="X17" s="178">
        <f>AVERAGEIF(U$14:U$798,"footwear", I$14:I$798)</f>
        <v>12.9</v>
      </c>
      <c r="Y17" s="177">
        <f>_xlfn.MAXIFS(I$14:I$800,U$14:U$800,V17)</f>
        <v>12.9</v>
      </c>
      <c r="Z17" s="614">
        <f t="shared" si="1"/>
        <v>1.29E-5</v>
      </c>
      <c r="AA17" s="179">
        <f t="shared" si="1"/>
        <v>1.29E-5</v>
      </c>
      <c r="AB17" s="614">
        <f t="shared" si="1"/>
        <v>1.29E-5</v>
      </c>
    </row>
    <row r="18" spans="1:28" ht="63.75" customHeight="1">
      <c r="A18" s="159" t="s">
        <v>668</v>
      </c>
      <c r="B18" s="160" t="s">
        <v>669</v>
      </c>
      <c r="C18" s="154" t="s">
        <v>670</v>
      </c>
      <c r="D18" s="161" t="s">
        <v>700</v>
      </c>
      <c r="E18" s="161" t="s">
        <v>701</v>
      </c>
      <c r="F18" s="161" t="s">
        <v>673</v>
      </c>
      <c r="G18" s="161" t="s">
        <v>691</v>
      </c>
      <c r="H18" s="161" t="s">
        <v>692</v>
      </c>
      <c r="I18" s="160">
        <v>748</v>
      </c>
      <c r="J18" s="154" t="s">
        <v>574</v>
      </c>
      <c r="K18" s="162">
        <f t="shared" si="0"/>
        <v>7.4799999999999997E-4</v>
      </c>
      <c r="L18" s="163"/>
      <c r="M18" s="164"/>
      <c r="N18" s="165" t="s">
        <v>676</v>
      </c>
      <c r="O18" s="165"/>
      <c r="P18" s="165"/>
      <c r="Q18" s="165"/>
      <c r="R18" s="165"/>
      <c r="S18" s="166" t="s">
        <v>702</v>
      </c>
      <c r="T18" s="165" t="s">
        <v>678</v>
      </c>
      <c r="U18" s="148" t="s">
        <v>679</v>
      </c>
      <c r="V18" s="180" t="s">
        <v>703</v>
      </c>
      <c r="W18" s="177">
        <f t="shared" si="2"/>
        <v>9.23</v>
      </c>
      <c r="X18" s="178">
        <f>AVERAGEIF(U$14:U$798,"packaging", I$14:I$798)</f>
        <v>257.00428571428569</v>
      </c>
      <c r="Y18" s="177">
        <f>_xlfn.MAXIFS(I$14:I$800,U$14:U$800,V18)</f>
        <v>978</v>
      </c>
      <c r="Z18" s="181">
        <f t="shared" si="1"/>
        <v>9.2299999999999997E-6</v>
      </c>
      <c r="AA18" s="181">
        <f t="shared" si="1"/>
        <v>2.5700428571428569E-4</v>
      </c>
      <c r="AB18" s="181">
        <f t="shared" si="1"/>
        <v>9.7799999999999992E-4</v>
      </c>
    </row>
    <row r="19" spans="1:28" ht="76.5" customHeight="1">
      <c r="A19" s="169" t="s">
        <v>668</v>
      </c>
      <c r="B19" s="170" t="s">
        <v>669</v>
      </c>
      <c r="C19" s="156" t="s">
        <v>670</v>
      </c>
      <c r="D19" s="171" t="s">
        <v>704</v>
      </c>
      <c r="E19" s="171" t="s">
        <v>705</v>
      </c>
      <c r="F19" s="171" t="s">
        <v>706</v>
      </c>
      <c r="G19" s="171" t="s">
        <v>707</v>
      </c>
      <c r="H19" s="171" t="s">
        <v>692</v>
      </c>
      <c r="I19" s="170">
        <v>10.4</v>
      </c>
      <c r="J19" s="156" t="s">
        <v>574</v>
      </c>
      <c r="K19" s="162">
        <f t="shared" si="0"/>
        <v>1.04E-5</v>
      </c>
      <c r="L19" s="172"/>
      <c r="M19" s="173"/>
      <c r="N19" s="174" t="s">
        <v>676</v>
      </c>
      <c r="O19" s="174"/>
      <c r="P19" s="174"/>
      <c r="Q19" s="174"/>
      <c r="R19" s="174"/>
      <c r="S19" s="175" t="s">
        <v>708</v>
      </c>
      <c r="T19" s="174" t="s">
        <v>678</v>
      </c>
      <c r="U19" s="148" t="s">
        <v>679</v>
      </c>
      <c r="V19" s="176" t="s">
        <v>709</v>
      </c>
      <c r="W19" s="177">
        <f t="shared" si="2"/>
        <v>11.9</v>
      </c>
      <c r="X19" s="178">
        <f>AVERAGEIF(U$14:U$798,"Plastic bag/pouch", I$14:I$798)</f>
        <v>12.899999999999999</v>
      </c>
      <c r="Y19" s="177">
        <f>_xlfn.MAXIFS(I$14:I$800,U$14:U$800,V19)</f>
        <v>13.7</v>
      </c>
      <c r="Z19" s="181">
        <f t="shared" si="1"/>
        <v>1.19E-5</v>
      </c>
      <c r="AA19" s="181">
        <f t="shared" si="1"/>
        <v>1.2899999999999998E-5</v>
      </c>
      <c r="AB19" s="181">
        <f t="shared" si="1"/>
        <v>1.3699999999999999E-5</v>
      </c>
    </row>
    <row r="20" spans="1:28" ht="63.75" customHeight="1">
      <c r="A20" s="159" t="s">
        <v>668</v>
      </c>
      <c r="B20" s="160" t="s">
        <v>669</v>
      </c>
      <c r="C20" s="154" t="s">
        <v>670</v>
      </c>
      <c r="D20" s="161" t="s">
        <v>710</v>
      </c>
      <c r="E20" s="161" t="s">
        <v>711</v>
      </c>
      <c r="F20" s="161" t="s">
        <v>673</v>
      </c>
      <c r="G20" s="161" t="s">
        <v>712</v>
      </c>
      <c r="H20" s="161" t="s">
        <v>692</v>
      </c>
      <c r="I20" s="160">
        <v>13.1</v>
      </c>
      <c r="J20" s="154" t="s">
        <v>574</v>
      </c>
      <c r="K20" s="162">
        <f t="shared" si="0"/>
        <v>1.31E-5</v>
      </c>
      <c r="L20" s="163"/>
      <c r="M20" s="164"/>
      <c r="N20" s="165" t="s">
        <v>676</v>
      </c>
      <c r="O20" s="165"/>
      <c r="P20" s="165"/>
      <c r="Q20" s="165"/>
      <c r="R20" s="165"/>
      <c r="S20" s="166" t="s">
        <v>713</v>
      </c>
      <c r="T20" s="165" t="s">
        <v>678</v>
      </c>
      <c r="U20" s="148" t="s">
        <v>709</v>
      </c>
    </row>
    <row r="21" spans="1:28" ht="51" customHeight="1">
      <c r="A21" s="169" t="s">
        <v>668</v>
      </c>
      <c r="B21" s="170" t="s">
        <v>669</v>
      </c>
      <c r="C21" s="156" t="s">
        <v>670</v>
      </c>
      <c r="D21" s="171" t="s">
        <v>714</v>
      </c>
      <c r="E21" s="171" t="s">
        <v>715</v>
      </c>
      <c r="F21" s="171" t="s">
        <v>673</v>
      </c>
      <c r="G21" s="171" t="s">
        <v>697</v>
      </c>
      <c r="H21" s="171" t="s">
        <v>716</v>
      </c>
      <c r="I21" s="170">
        <v>13.7</v>
      </c>
      <c r="J21" s="156" t="s">
        <v>574</v>
      </c>
      <c r="K21" s="162">
        <f t="shared" si="0"/>
        <v>1.3699999999999999E-5</v>
      </c>
      <c r="L21" s="172"/>
      <c r="M21" s="173"/>
      <c r="N21" s="174" t="s">
        <v>676</v>
      </c>
      <c r="O21" s="174"/>
      <c r="P21" s="174"/>
      <c r="Q21" s="174"/>
      <c r="R21" s="174"/>
      <c r="S21" s="175" t="s">
        <v>717</v>
      </c>
      <c r="T21" s="174" t="s">
        <v>678</v>
      </c>
      <c r="U21" s="148" t="s">
        <v>709</v>
      </c>
    </row>
    <row r="22" spans="1:28" ht="51" customHeight="1">
      <c r="A22" s="159" t="s">
        <v>668</v>
      </c>
      <c r="B22" s="160" t="s">
        <v>669</v>
      </c>
      <c r="C22" s="154" t="s">
        <v>670</v>
      </c>
      <c r="D22" s="161" t="s">
        <v>714</v>
      </c>
      <c r="E22" s="161" t="s">
        <v>718</v>
      </c>
      <c r="F22" s="161" t="s">
        <v>673</v>
      </c>
      <c r="G22" s="161" t="s">
        <v>697</v>
      </c>
      <c r="H22" s="161" t="s">
        <v>716</v>
      </c>
      <c r="I22" s="160">
        <v>11.9</v>
      </c>
      <c r="J22" s="154" t="s">
        <v>574</v>
      </c>
      <c r="K22" s="162">
        <f t="shared" si="0"/>
        <v>1.19E-5</v>
      </c>
      <c r="L22" s="163"/>
      <c r="M22" s="164"/>
      <c r="N22" s="165" t="s">
        <v>676</v>
      </c>
      <c r="O22" s="165"/>
      <c r="P22" s="165"/>
      <c r="Q22" s="165"/>
      <c r="R22" s="165"/>
      <c r="S22" s="166" t="s">
        <v>719</v>
      </c>
      <c r="T22" s="165" t="s">
        <v>678</v>
      </c>
      <c r="U22" s="148" t="s">
        <v>709</v>
      </c>
      <c r="V22" s="182"/>
      <c r="W22" s="177"/>
      <c r="X22" s="177"/>
      <c r="Y22" s="177"/>
      <c r="Z22" s="614"/>
      <c r="AA22" s="179"/>
      <c r="AB22" s="614"/>
    </row>
    <row r="23" spans="1:28" ht="51" customHeight="1">
      <c r="A23" s="169" t="s">
        <v>668</v>
      </c>
      <c r="B23" s="170" t="s">
        <v>669</v>
      </c>
      <c r="C23" s="156" t="s">
        <v>670</v>
      </c>
      <c r="D23" s="171" t="s">
        <v>720</v>
      </c>
      <c r="E23" s="171" t="s">
        <v>721</v>
      </c>
      <c r="F23" s="171" t="s">
        <v>673</v>
      </c>
      <c r="G23" s="171" t="s">
        <v>722</v>
      </c>
      <c r="H23" s="171" t="s">
        <v>722</v>
      </c>
      <c r="I23" s="170">
        <v>12.9</v>
      </c>
      <c r="J23" s="156" t="s">
        <v>574</v>
      </c>
      <c r="K23" s="162">
        <f t="shared" si="0"/>
        <v>1.29E-5</v>
      </c>
      <c r="L23" s="172"/>
      <c r="M23" s="173"/>
      <c r="N23" s="174" t="s">
        <v>676</v>
      </c>
      <c r="O23" s="174"/>
      <c r="P23" s="174"/>
      <c r="Q23" s="174"/>
      <c r="R23" s="174"/>
      <c r="S23" s="175" t="s">
        <v>723</v>
      </c>
      <c r="T23" s="174" t="s">
        <v>678</v>
      </c>
      <c r="U23" s="148" t="s">
        <v>699</v>
      </c>
    </row>
    <row r="24" spans="1:28" ht="63.75" customHeight="1">
      <c r="A24" s="159" t="s">
        <v>668</v>
      </c>
      <c r="B24" s="160" t="s">
        <v>669</v>
      </c>
      <c r="C24" s="154" t="s">
        <v>670</v>
      </c>
      <c r="D24" s="161" t="s">
        <v>724</v>
      </c>
      <c r="E24" s="161" t="s">
        <v>725</v>
      </c>
      <c r="F24" s="161" t="s">
        <v>673</v>
      </c>
      <c r="G24" s="161" t="s">
        <v>726</v>
      </c>
      <c r="H24" s="161" t="s">
        <v>727</v>
      </c>
      <c r="I24" s="160">
        <v>978</v>
      </c>
      <c r="J24" s="154" t="s">
        <v>574</v>
      </c>
      <c r="K24" s="162">
        <f t="shared" si="0"/>
        <v>9.7799999999999992E-4</v>
      </c>
      <c r="L24" s="163"/>
      <c r="M24" s="164"/>
      <c r="N24" s="165" t="s">
        <v>676</v>
      </c>
      <c r="O24" s="165"/>
      <c r="P24" s="165"/>
      <c r="Q24" s="165"/>
      <c r="R24" s="165"/>
      <c r="S24" s="166" t="s">
        <v>728</v>
      </c>
      <c r="T24" s="165" t="s">
        <v>678</v>
      </c>
      <c r="U24" s="148" t="s">
        <v>679</v>
      </c>
    </row>
    <row r="25" spans="1:28" ht="38.25" customHeight="1">
      <c r="A25" s="169" t="s">
        <v>668</v>
      </c>
      <c r="B25" s="170" t="s">
        <v>669</v>
      </c>
      <c r="C25" s="156" t="s">
        <v>670</v>
      </c>
      <c r="D25" s="171" t="s">
        <v>729</v>
      </c>
      <c r="E25" s="171" t="s">
        <v>730</v>
      </c>
      <c r="F25" s="171" t="s">
        <v>706</v>
      </c>
      <c r="G25" s="171" t="s">
        <v>731</v>
      </c>
      <c r="H25" s="171" t="s">
        <v>732</v>
      </c>
      <c r="I25" s="170">
        <v>37</v>
      </c>
      <c r="J25" s="156" t="s">
        <v>574</v>
      </c>
      <c r="K25" s="162">
        <f t="shared" si="0"/>
        <v>3.6999999999999998E-5</v>
      </c>
      <c r="L25" s="172"/>
      <c r="M25" s="173"/>
      <c r="N25" s="174" t="s">
        <v>733</v>
      </c>
      <c r="O25" s="174" t="s">
        <v>734</v>
      </c>
      <c r="P25" s="174" t="s">
        <v>735</v>
      </c>
      <c r="Q25" s="183">
        <v>42270</v>
      </c>
      <c r="R25" s="174" t="s">
        <v>736</v>
      </c>
      <c r="S25" s="175" t="s">
        <v>737</v>
      </c>
      <c r="T25" s="174" t="s">
        <v>678</v>
      </c>
      <c r="U25" s="182" t="s">
        <v>688</v>
      </c>
    </row>
    <row r="26" spans="1:28" ht="76.5" customHeight="1">
      <c r="A26" s="159" t="s">
        <v>668</v>
      </c>
      <c r="B26" s="160" t="s">
        <v>669</v>
      </c>
      <c r="C26" s="154" t="s">
        <v>670</v>
      </c>
      <c r="D26" s="161" t="s">
        <v>738</v>
      </c>
      <c r="E26" s="161" t="s">
        <v>739</v>
      </c>
      <c r="F26" s="161" t="s">
        <v>740</v>
      </c>
      <c r="G26" s="161" t="s">
        <v>741</v>
      </c>
      <c r="H26" s="161" t="s">
        <v>741</v>
      </c>
      <c r="I26" s="160">
        <v>13</v>
      </c>
      <c r="J26" s="154" t="s">
        <v>574</v>
      </c>
      <c r="K26" s="162">
        <f t="shared" si="0"/>
        <v>1.2999999999999999E-5</v>
      </c>
      <c r="L26" s="163" t="s">
        <v>742</v>
      </c>
      <c r="M26" s="164" t="s">
        <v>645</v>
      </c>
      <c r="N26" s="165" t="s">
        <v>733</v>
      </c>
      <c r="O26" s="165"/>
      <c r="P26" s="165"/>
      <c r="Q26" s="165"/>
      <c r="R26" s="165" t="s">
        <v>736</v>
      </c>
      <c r="S26" s="166" t="s">
        <v>743</v>
      </c>
      <c r="T26" s="165" t="s">
        <v>678</v>
      </c>
      <c r="U26" s="177" t="s">
        <v>694</v>
      </c>
    </row>
    <row r="27" spans="1:28" ht="38.25" customHeight="1">
      <c r="A27" s="159" t="s">
        <v>668</v>
      </c>
      <c r="B27" s="184" t="s">
        <v>669</v>
      </c>
      <c r="C27" s="154" t="s">
        <v>670</v>
      </c>
      <c r="D27" s="161" t="s">
        <v>744</v>
      </c>
      <c r="E27" s="161" t="s">
        <v>745</v>
      </c>
      <c r="F27" s="161" t="s">
        <v>673</v>
      </c>
      <c r="G27" s="161" t="s">
        <v>746</v>
      </c>
      <c r="H27" s="161" t="s">
        <v>747</v>
      </c>
      <c r="I27" s="160">
        <v>9.65</v>
      </c>
      <c r="J27" s="154" t="s">
        <v>574</v>
      </c>
      <c r="K27" s="185"/>
      <c r="L27" s="163" t="s">
        <v>748</v>
      </c>
      <c r="M27" s="164" t="s">
        <v>649</v>
      </c>
      <c r="N27" s="165" t="s">
        <v>676</v>
      </c>
      <c r="O27" s="165"/>
      <c r="P27" s="165"/>
      <c r="Q27" s="165"/>
      <c r="R27" s="165"/>
      <c r="S27" s="166" t="s">
        <v>749</v>
      </c>
      <c r="T27" s="165" t="s">
        <v>678</v>
      </c>
    </row>
    <row r="28" spans="1:28" ht="38.25" customHeight="1">
      <c r="A28" s="169" t="s">
        <v>668</v>
      </c>
      <c r="B28" s="186" t="s">
        <v>669</v>
      </c>
      <c r="C28" s="156" t="s">
        <v>670</v>
      </c>
      <c r="D28" s="171" t="s">
        <v>750</v>
      </c>
      <c r="E28" s="171" t="s">
        <v>751</v>
      </c>
      <c r="F28" s="171" t="s">
        <v>673</v>
      </c>
      <c r="G28" s="171" t="s">
        <v>752</v>
      </c>
      <c r="H28" s="171" t="s">
        <v>747</v>
      </c>
      <c r="I28" s="170">
        <v>9.7799999999999994</v>
      </c>
      <c r="J28" s="156" t="s">
        <v>574</v>
      </c>
      <c r="K28" s="187"/>
      <c r="L28" s="172" t="s">
        <v>748</v>
      </c>
      <c r="M28" s="173" t="s">
        <v>649</v>
      </c>
      <c r="N28" s="174" t="s">
        <v>676</v>
      </c>
      <c r="O28" s="174"/>
      <c r="P28" s="174"/>
      <c r="Q28" s="174"/>
      <c r="R28" s="174"/>
      <c r="S28" s="175" t="s">
        <v>753</v>
      </c>
      <c r="T28" s="174" t="s">
        <v>678</v>
      </c>
    </row>
    <row r="29" spans="1:28" ht="38.25" customHeight="1">
      <c r="A29" s="159" t="s">
        <v>668</v>
      </c>
      <c r="B29" s="184" t="s">
        <v>669</v>
      </c>
      <c r="C29" s="154" t="s">
        <v>670</v>
      </c>
      <c r="D29" s="161" t="s">
        <v>754</v>
      </c>
      <c r="E29" s="161" t="s">
        <v>755</v>
      </c>
      <c r="F29" s="161" t="s">
        <v>673</v>
      </c>
      <c r="G29" s="161" t="s">
        <v>756</v>
      </c>
      <c r="H29" s="161" t="s">
        <v>747</v>
      </c>
      <c r="I29" s="160">
        <v>10.3</v>
      </c>
      <c r="J29" s="154" t="s">
        <v>574</v>
      </c>
      <c r="K29" s="185"/>
      <c r="L29" s="163" t="s">
        <v>748</v>
      </c>
      <c r="M29" s="164" t="s">
        <v>649</v>
      </c>
      <c r="N29" s="165" t="s">
        <v>676</v>
      </c>
      <c r="O29" s="165"/>
      <c r="P29" s="165"/>
      <c r="Q29" s="165"/>
      <c r="R29" s="165"/>
      <c r="S29" s="166" t="s">
        <v>757</v>
      </c>
      <c r="T29" s="165" t="s">
        <v>678</v>
      </c>
    </row>
    <row r="30" spans="1:28" ht="38.25" customHeight="1">
      <c r="A30" s="169" t="s">
        <v>668</v>
      </c>
      <c r="B30" s="186" t="s">
        <v>669</v>
      </c>
      <c r="C30" s="156" t="s">
        <v>670</v>
      </c>
      <c r="D30" s="171" t="s">
        <v>754</v>
      </c>
      <c r="E30" s="171" t="s">
        <v>758</v>
      </c>
      <c r="F30" s="171" t="s">
        <v>673</v>
      </c>
      <c r="G30" s="171" t="s">
        <v>756</v>
      </c>
      <c r="H30" s="171" t="s">
        <v>747</v>
      </c>
      <c r="I30" s="170">
        <v>7.18</v>
      </c>
      <c r="J30" s="156" t="s">
        <v>574</v>
      </c>
      <c r="K30" s="187"/>
      <c r="L30" s="172" t="s">
        <v>748</v>
      </c>
      <c r="M30" s="173" t="s">
        <v>649</v>
      </c>
      <c r="N30" s="174" t="s">
        <v>676</v>
      </c>
      <c r="O30" s="174"/>
      <c r="P30" s="174"/>
      <c r="Q30" s="174"/>
      <c r="R30" s="174"/>
      <c r="S30" s="175" t="s">
        <v>759</v>
      </c>
      <c r="T30" s="174" t="s">
        <v>678</v>
      </c>
    </row>
    <row r="31" spans="1:28" ht="38.25" customHeight="1">
      <c r="A31" s="159" t="s">
        <v>668</v>
      </c>
      <c r="B31" s="184" t="s">
        <v>669</v>
      </c>
      <c r="C31" s="154" t="s">
        <v>670</v>
      </c>
      <c r="D31" s="161" t="s">
        <v>760</v>
      </c>
      <c r="E31" s="161" t="s">
        <v>761</v>
      </c>
      <c r="F31" s="161" t="s">
        <v>673</v>
      </c>
      <c r="G31" s="161" t="s">
        <v>762</v>
      </c>
      <c r="H31" s="161" t="s">
        <v>747</v>
      </c>
      <c r="I31" s="160">
        <v>8.74</v>
      </c>
      <c r="J31" s="154" t="s">
        <v>574</v>
      </c>
      <c r="K31" s="185"/>
      <c r="L31" s="163" t="s">
        <v>748</v>
      </c>
      <c r="M31" s="164" t="s">
        <v>649</v>
      </c>
      <c r="N31" s="165" t="s">
        <v>676</v>
      </c>
      <c r="O31" s="165"/>
      <c r="P31" s="165"/>
      <c r="Q31" s="165"/>
      <c r="R31" s="165"/>
      <c r="S31" s="166" t="s">
        <v>763</v>
      </c>
      <c r="T31" s="165" t="s">
        <v>678</v>
      </c>
    </row>
    <row r="32" spans="1:28" ht="38.25" customHeight="1">
      <c r="A32" s="169" t="s">
        <v>668</v>
      </c>
      <c r="B32" s="186" t="s">
        <v>669</v>
      </c>
      <c r="C32" s="156" t="s">
        <v>670</v>
      </c>
      <c r="D32" s="171" t="s">
        <v>764</v>
      </c>
      <c r="E32" s="171" t="s">
        <v>765</v>
      </c>
      <c r="F32" s="171" t="s">
        <v>673</v>
      </c>
      <c r="G32" s="171" t="s">
        <v>766</v>
      </c>
      <c r="H32" s="171" t="s">
        <v>747</v>
      </c>
      <c r="I32" s="170">
        <v>9.9</v>
      </c>
      <c r="J32" s="156" t="s">
        <v>574</v>
      </c>
      <c r="K32" s="187"/>
      <c r="L32" s="172" t="s">
        <v>748</v>
      </c>
      <c r="M32" s="173" t="s">
        <v>649</v>
      </c>
      <c r="N32" s="174" t="s">
        <v>676</v>
      </c>
      <c r="O32" s="174"/>
      <c r="P32" s="174"/>
      <c r="Q32" s="174"/>
      <c r="R32" s="174"/>
      <c r="S32" s="175" t="s">
        <v>767</v>
      </c>
      <c r="T32" s="174" t="s">
        <v>678</v>
      </c>
    </row>
    <row r="33" spans="1:20" ht="51" customHeight="1">
      <c r="A33" s="159" t="s">
        <v>668</v>
      </c>
      <c r="B33" s="184" t="s">
        <v>669</v>
      </c>
      <c r="C33" s="154" t="s">
        <v>670</v>
      </c>
      <c r="D33" s="161" t="s">
        <v>768</v>
      </c>
      <c r="E33" s="161" t="s">
        <v>769</v>
      </c>
      <c r="F33" s="161" t="s">
        <v>673</v>
      </c>
      <c r="G33" s="161" t="s">
        <v>756</v>
      </c>
      <c r="H33" s="161" t="s">
        <v>747</v>
      </c>
      <c r="I33" s="160">
        <v>7.98</v>
      </c>
      <c r="J33" s="154" t="s">
        <v>574</v>
      </c>
      <c r="K33" s="185"/>
      <c r="L33" s="163" t="s">
        <v>748</v>
      </c>
      <c r="M33" s="164" t="s">
        <v>649</v>
      </c>
      <c r="N33" s="165" t="s">
        <v>676</v>
      </c>
      <c r="O33" s="165"/>
      <c r="P33" s="165"/>
      <c r="Q33" s="165"/>
      <c r="R33" s="165"/>
      <c r="S33" s="166" t="s">
        <v>770</v>
      </c>
      <c r="T33" s="165" t="s">
        <v>678</v>
      </c>
    </row>
    <row r="34" spans="1:20" ht="38.25" customHeight="1">
      <c r="A34" s="169" t="s">
        <v>668</v>
      </c>
      <c r="B34" s="186" t="s">
        <v>669</v>
      </c>
      <c r="C34" s="156" t="s">
        <v>670</v>
      </c>
      <c r="D34" s="171" t="s">
        <v>771</v>
      </c>
      <c r="E34" s="171" t="s">
        <v>772</v>
      </c>
      <c r="F34" s="171" t="s">
        <v>673</v>
      </c>
      <c r="G34" s="171" t="s">
        <v>773</v>
      </c>
      <c r="H34" s="171" t="s">
        <v>747</v>
      </c>
      <c r="I34" s="170">
        <v>12.2</v>
      </c>
      <c r="J34" s="156" t="s">
        <v>574</v>
      </c>
      <c r="K34" s="187"/>
      <c r="L34" s="172" t="s">
        <v>748</v>
      </c>
      <c r="M34" s="173" t="s">
        <v>649</v>
      </c>
      <c r="N34" s="174" t="s">
        <v>676</v>
      </c>
      <c r="O34" s="174"/>
      <c r="P34" s="174"/>
      <c r="Q34" s="174"/>
      <c r="R34" s="174"/>
      <c r="S34" s="175" t="s">
        <v>774</v>
      </c>
      <c r="T34" s="174" t="s">
        <v>678</v>
      </c>
    </row>
    <row r="35" spans="1:20" ht="38.25" customHeight="1">
      <c r="A35" s="159" t="s">
        <v>668</v>
      </c>
      <c r="B35" s="184" t="s">
        <v>669</v>
      </c>
      <c r="C35" s="154" t="s">
        <v>670</v>
      </c>
      <c r="D35" s="161" t="s">
        <v>775</v>
      </c>
      <c r="E35" s="161" t="s">
        <v>776</v>
      </c>
      <c r="F35" s="161" t="s">
        <v>673</v>
      </c>
      <c r="G35" s="161" t="s">
        <v>773</v>
      </c>
      <c r="H35" s="161" t="s">
        <v>747</v>
      </c>
      <c r="I35" s="160">
        <v>9.57</v>
      </c>
      <c r="J35" s="154" t="s">
        <v>574</v>
      </c>
      <c r="K35" s="185"/>
      <c r="L35" s="163" t="s">
        <v>748</v>
      </c>
      <c r="M35" s="164" t="s">
        <v>649</v>
      </c>
      <c r="N35" s="165" t="s">
        <v>676</v>
      </c>
      <c r="O35" s="165"/>
      <c r="P35" s="165"/>
      <c r="Q35" s="165"/>
      <c r="R35" s="165"/>
      <c r="S35" s="166" t="s">
        <v>777</v>
      </c>
      <c r="T35" s="165" t="s">
        <v>678</v>
      </c>
    </row>
    <row r="36" spans="1:20" ht="38.25" customHeight="1">
      <c r="A36" s="169" t="s">
        <v>668</v>
      </c>
      <c r="B36" s="186" t="s">
        <v>669</v>
      </c>
      <c r="C36" s="156" t="s">
        <v>670</v>
      </c>
      <c r="D36" s="171" t="s">
        <v>778</v>
      </c>
      <c r="E36" s="171" t="s">
        <v>779</v>
      </c>
      <c r="F36" s="171" t="s">
        <v>673</v>
      </c>
      <c r="G36" s="171" t="s">
        <v>780</v>
      </c>
      <c r="H36" s="171" t="s">
        <v>747</v>
      </c>
      <c r="I36" s="170">
        <v>8.18</v>
      </c>
      <c r="J36" s="156" t="s">
        <v>574</v>
      </c>
      <c r="K36" s="187"/>
      <c r="L36" s="172" t="s">
        <v>748</v>
      </c>
      <c r="M36" s="173" t="s">
        <v>649</v>
      </c>
      <c r="N36" s="174" t="s">
        <v>676</v>
      </c>
      <c r="O36" s="174"/>
      <c r="P36" s="174"/>
      <c r="Q36" s="174"/>
      <c r="R36" s="174"/>
      <c r="S36" s="175" t="s">
        <v>781</v>
      </c>
      <c r="T36" s="174" t="s">
        <v>678</v>
      </c>
    </row>
    <row r="37" spans="1:20" ht="38.25" customHeight="1">
      <c r="A37" s="159" t="s">
        <v>668</v>
      </c>
      <c r="B37" s="184" t="s">
        <v>669</v>
      </c>
      <c r="C37" s="154" t="s">
        <v>670</v>
      </c>
      <c r="D37" s="161" t="s">
        <v>782</v>
      </c>
      <c r="E37" s="161" t="s">
        <v>783</v>
      </c>
      <c r="F37" s="161" t="s">
        <v>673</v>
      </c>
      <c r="G37" s="161" t="s">
        <v>784</v>
      </c>
      <c r="H37" s="161" t="s">
        <v>747</v>
      </c>
      <c r="I37" s="160">
        <v>8</v>
      </c>
      <c r="J37" s="154" t="s">
        <v>574</v>
      </c>
      <c r="K37" s="185"/>
      <c r="L37" s="163" t="s">
        <v>748</v>
      </c>
      <c r="M37" s="164" t="s">
        <v>649</v>
      </c>
      <c r="N37" s="165" t="s">
        <v>676</v>
      </c>
      <c r="O37" s="165"/>
      <c r="P37" s="165"/>
      <c r="Q37" s="165"/>
      <c r="R37" s="165"/>
      <c r="S37" s="166" t="s">
        <v>785</v>
      </c>
      <c r="T37" s="165" t="s">
        <v>678</v>
      </c>
    </row>
    <row r="38" spans="1:20" ht="38.25" customHeight="1">
      <c r="A38" s="169" t="s">
        <v>668</v>
      </c>
      <c r="B38" s="186" t="s">
        <v>669</v>
      </c>
      <c r="C38" s="156" t="s">
        <v>670</v>
      </c>
      <c r="D38" s="171" t="s">
        <v>786</v>
      </c>
      <c r="E38" s="171" t="s">
        <v>787</v>
      </c>
      <c r="F38" s="171" t="s">
        <v>673</v>
      </c>
      <c r="G38" s="171" t="s">
        <v>788</v>
      </c>
      <c r="H38" s="171" t="s">
        <v>747</v>
      </c>
      <c r="I38" s="170">
        <v>7.99</v>
      </c>
      <c r="J38" s="156" t="s">
        <v>574</v>
      </c>
      <c r="K38" s="187"/>
      <c r="L38" s="172" t="s">
        <v>748</v>
      </c>
      <c r="M38" s="173" t="s">
        <v>649</v>
      </c>
      <c r="N38" s="174" t="s">
        <v>676</v>
      </c>
      <c r="O38" s="174"/>
      <c r="P38" s="174"/>
      <c r="Q38" s="174"/>
      <c r="R38" s="174"/>
      <c r="S38" s="175" t="s">
        <v>789</v>
      </c>
      <c r="T38" s="174" t="s">
        <v>678</v>
      </c>
    </row>
    <row r="39" spans="1:20" ht="38.25" customHeight="1">
      <c r="A39" s="159" t="s">
        <v>668</v>
      </c>
      <c r="B39" s="184" t="s">
        <v>669</v>
      </c>
      <c r="C39" s="154" t="s">
        <v>670</v>
      </c>
      <c r="D39" s="161" t="s">
        <v>790</v>
      </c>
      <c r="E39" s="161" t="s">
        <v>791</v>
      </c>
      <c r="F39" s="161" t="s">
        <v>673</v>
      </c>
      <c r="G39" s="161" t="s">
        <v>784</v>
      </c>
      <c r="H39" s="161" t="s">
        <v>747</v>
      </c>
      <c r="I39" s="160">
        <v>8.84</v>
      </c>
      <c r="J39" s="154" t="s">
        <v>574</v>
      </c>
      <c r="K39" s="185"/>
      <c r="L39" s="163" t="s">
        <v>748</v>
      </c>
      <c r="M39" s="164" t="s">
        <v>649</v>
      </c>
      <c r="N39" s="165" t="s">
        <v>676</v>
      </c>
      <c r="O39" s="165"/>
      <c r="P39" s="165"/>
      <c r="Q39" s="165"/>
      <c r="R39" s="165"/>
      <c r="S39" s="166" t="s">
        <v>792</v>
      </c>
      <c r="T39" s="165" t="s">
        <v>678</v>
      </c>
    </row>
    <row r="40" spans="1:20" ht="38.25" customHeight="1">
      <c r="A40" s="169" t="s">
        <v>668</v>
      </c>
      <c r="B40" s="186" t="s">
        <v>669</v>
      </c>
      <c r="C40" s="156" t="s">
        <v>670</v>
      </c>
      <c r="D40" s="171" t="s">
        <v>790</v>
      </c>
      <c r="E40" s="171" t="s">
        <v>793</v>
      </c>
      <c r="F40" s="171" t="s">
        <v>673</v>
      </c>
      <c r="G40" s="171" t="s">
        <v>784</v>
      </c>
      <c r="H40" s="171" t="s">
        <v>747</v>
      </c>
      <c r="I40" s="170">
        <v>8.3800000000000008</v>
      </c>
      <c r="J40" s="156" t="s">
        <v>574</v>
      </c>
      <c r="K40" s="187"/>
      <c r="L40" s="172" t="s">
        <v>748</v>
      </c>
      <c r="M40" s="173" t="s">
        <v>649</v>
      </c>
      <c r="N40" s="174" t="s">
        <v>676</v>
      </c>
      <c r="O40" s="174"/>
      <c r="P40" s="174"/>
      <c r="Q40" s="174"/>
      <c r="R40" s="174"/>
      <c r="S40" s="175" t="s">
        <v>794</v>
      </c>
      <c r="T40" s="174" t="s">
        <v>678</v>
      </c>
    </row>
    <row r="41" spans="1:20" ht="38.25" customHeight="1">
      <c r="A41" s="159" t="s">
        <v>668</v>
      </c>
      <c r="B41" s="184" t="s">
        <v>669</v>
      </c>
      <c r="C41" s="154" t="s">
        <v>670</v>
      </c>
      <c r="D41" s="161" t="s">
        <v>795</v>
      </c>
      <c r="E41" s="161" t="s">
        <v>796</v>
      </c>
      <c r="F41" s="161" t="s">
        <v>673</v>
      </c>
      <c r="G41" s="161" t="s">
        <v>797</v>
      </c>
      <c r="H41" s="161" t="s">
        <v>747</v>
      </c>
      <c r="I41" s="160">
        <v>9.7799999999999994</v>
      </c>
      <c r="J41" s="154" t="s">
        <v>574</v>
      </c>
      <c r="K41" s="185"/>
      <c r="L41" s="163" t="s">
        <v>748</v>
      </c>
      <c r="M41" s="164" t="s">
        <v>649</v>
      </c>
      <c r="N41" s="165" t="s">
        <v>676</v>
      </c>
      <c r="O41" s="165"/>
      <c r="P41" s="165"/>
      <c r="Q41" s="165"/>
      <c r="R41" s="165"/>
      <c r="S41" s="166" t="s">
        <v>753</v>
      </c>
      <c r="T41" s="165" t="s">
        <v>678</v>
      </c>
    </row>
    <row r="42" spans="1:20" ht="38.25" customHeight="1">
      <c r="A42" s="169" t="s">
        <v>668</v>
      </c>
      <c r="B42" s="186" t="s">
        <v>669</v>
      </c>
      <c r="C42" s="156" t="s">
        <v>670</v>
      </c>
      <c r="D42" s="171" t="s">
        <v>795</v>
      </c>
      <c r="E42" s="171" t="s">
        <v>798</v>
      </c>
      <c r="F42" s="171" t="s">
        <v>706</v>
      </c>
      <c r="G42" s="171" t="s">
        <v>797</v>
      </c>
      <c r="H42" s="171" t="s">
        <v>747</v>
      </c>
      <c r="I42" s="170">
        <v>9.08</v>
      </c>
      <c r="J42" s="156" t="s">
        <v>574</v>
      </c>
      <c r="K42" s="187"/>
      <c r="L42" s="172" t="s">
        <v>748</v>
      </c>
      <c r="M42" s="173" t="s">
        <v>649</v>
      </c>
      <c r="N42" s="174" t="s">
        <v>676</v>
      </c>
      <c r="O42" s="174"/>
      <c r="P42" s="174"/>
      <c r="Q42" s="174"/>
      <c r="R42" s="174"/>
      <c r="S42" s="175" t="s">
        <v>799</v>
      </c>
      <c r="T42" s="174" t="s">
        <v>678</v>
      </c>
    </row>
    <row r="43" spans="1:20" ht="38.25" customHeight="1">
      <c r="A43" s="159" t="s">
        <v>668</v>
      </c>
      <c r="B43" s="184" t="s">
        <v>669</v>
      </c>
      <c r="C43" s="154" t="s">
        <v>670</v>
      </c>
      <c r="D43" s="161" t="s">
        <v>800</v>
      </c>
      <c r="E43" s="161" t="s">
        <v>801</v>
      </c>
      <c r="F43" s="161" t="s">
        <v>673</v>
      </c>
      <c r="G43" s="161" t="s">
        <v>802</v>
      </c>
      <c r="H43" s="161" t="s">
        <v>747</v>
      </c>
      <c r="I43" s="160">
        <v>93.6</v>
      </c>
      <c r="J43" s="154" t="s">
        <v>574</v>
      </c>
      <c r="K43" s="185"/>
      <c r="L43" s="163" t="s">
        <v>748</v>
      </c>
      <c r="M43" s="164" t="s">
        <v>649</v>
      </c>
      <c r="N43" s="165" t="s">
        <v>676</v>
      </c>
      <c r="O43" s="165"/>
      <c r="P43" s="165"/>
      <c r="Q43" s="165"/>
      <c r="R43" s="165"/>
      <c r="S43" s="166" t="s">
        <v>803</v>
      </c>
      <c r="T43" s="165" t="s">
        <v>678</v>
      </c>
    </row>
    <row r="44" spans="1:20" ht="38.25" customHeight="1">
      <c r="A44" s="169" t="s">
        <v>668</v>
      </c>
      <c r="B44" s="186" t="s">
        <v>669</v>
      </c>
      <c r="C44" s="156" t="s">
        <v>670</v>
      </c>
      <c r="D44" s="171" t="s">
        <v>804</v>
      </c>
      <c r="E44" s="171" t="s">
        <v>805</v>
      </c>
      <c r="F44" s="171" t="s">
        <v>673</v>
      </c>
      <c r="G44" s="171" t="s">
        <v>806</v>
      </c>
      <c r="H44" s="171" t="s">
        <v>747</v>
      </c>
      <c r="I44" s="170">
        <v>7.64</v>
      </c>
      <c r="J44" s="156" t="s">
        <v>574</v>
      </c>
      <c r="K44" s="187"/>
      <c r="L44" s="172" t="s">
        <v>748</v>
      </c>
      <c r="M44" s="173" t="s">
        <v>649</v>
      </c>
      <c r="N44" s="174" t="s">
        <v>676</v>
      </c>
      <c r="O44" s="174"/>
      <c r="P44" s="174"/>
      <c r="Q44" s="174"/>
      <c r="R44" s="174"/>
      <c r="S44" s="175" t="s">
        <v>807</v>
      </c>
      <c r="T44" s="174" t="s">
        <v>678</v>
      </c>
    </row>
    <row r="45" spans="1:20" ht="38.25" customHeight="1">
      <c r="A45" s="159" t="s">
        <v>668</v>
      </c>
      <c r="B45" s="184" t="s">
        <v>669</v>
      </c>
      <c r="C45" s="154" t="s">
        <v>670</v>
      </c>
      <c r="D45" s="161" t="s">
        <v>808</v>
      </c>
      <c r="E45" s="161" t="s">
        <v>809</v>
      </c>
      <c r="F45" s="161" t="s">
        <v>673</v>
      </c>
      <c r="G45" s="161" t="s">
        <v>810</v>
      </c>
      <c r="H45" s="161" t="s">
        <v>747</v>
      </c>
      <c r="I45" s="160">
        <v>9.4600000000000009</v>
      </c>
      <c r="J45" s="154" t="s">
        <v>574</v>
      </c>
      <c r="K45" s="185"/>
      <c r="L45" s="163" t="s">
        <v>748</v>
      </c>
      <c r="M45" s="164" t="s">
        <v>649</v>
      </c>
      <c r="N45" s="165" t="s">
        <v>676</v>
      </c>
      <c r="O45" s="165"/>
      <c r="P45" s="165"/>
      <c r="Q45" s="165"/>
      <c r="R45" s="165"/>
      <c r="S45" s="166" t="s">
        <v>811</v>
      </c>
      <c r="T45" s="165" t="s">
        <v>678</v>
      </c>
    </row>
    <row r="46" spans="1:20" ht="38.25" customHeight="1">
      <c r="A46" s="169" t="s">
        <v>668</v>
      </c>
      <c r="B46" s="186" t="s">
        <v>669</v>
      </c>
      <c r="C46" s="156" t="s">
        <v>670</v>
      </c>
      <c r="D46" s="171" t="s">
        <v>812</v>
      </c>
      <c r="E46" s="171" t="s">
        <v>813</v>
      </c>
      <c r="F46" s="171" t="s">
        <v>673</v>
      </c>
      <c r="G46" s="171" t="s">
        <v>806</v>
      </c>
      <c r="H46" s="171" t="s">
        <v>747</v>
      </c>
      <c r="I46" s="170">
        <v>9.3699999999999992</v>
      </c>
      <c r="J46" s="156" t="s">
        <v>574</v>
      </c>
      <c r="K46" s="187"/>
      <c r="L46" s="172" t="s">
        <v>748</v>
      </c>
      <c r="M46" s="173" t="s">
        <v>649</v>
      </c>
      <c r="N46" s="174" t="s">
        <v>676</v>
      </c>
      <c r="O46" s="174"/>
      <c r="P46" s="174"/>
      <c r="Q46" s="174"/>
      <c r="R46" s="174"/>
      <c r="S46" s="175" t="s">
        <v>814</v>
      </c>
      <c r="T46" s="174" t="s">
        <v>678</v>
      </c>
    </row>
    <row r="47" spans="1:20" ht="38.25" customHeight="1">
      <c r="A47" s="159" t="s">
        <v>668</v>
      </c>
      <c r="B47" s="184" t="s">
        <v>669</v>
      </c>
      <c r="C47" s="154" t="s">
        <v>670</v>
      </c>
      <c r="D47" s="161" t="s">
        <v>815</v>
      </c>
      <c r="E47" s="161" t="s">
        <v>816</v>
      </c>
      <c r="F47" s="161" t="s">
        <v>673</v>
      </c>
      <c r="G47" s="161" t="s">
        <v>697</v>
      </c>
      <c r="H47" s="161" t="s">
        <v>747</v>
      </c>
      <c r="I47" s="160">
        <v>7.45</v>
      </c>
      <c r="J47" s="154" t="s">
        <v>574</v>
      </c>
      <c r="K47" s="185"/>
      <c r="L47" s="163" t="s">
        <v>748</v>
      </c>
      <c r="M47" s="164" t="s">
        <v>649</v>
      </c>
      <c r="N47" s="165" t="s">
        <v>676</v>
      </c>
      <c r="O47" s="165"/>
      <c r="P47" s="165"/>
      <c r="Q47" s="165"/>
      <c r="R47" s="165"/>
      <c r="S47" s="166" t="s">
        <v>817</v>
      </c>
      <c r="T47" s="165" t="s">
        <v>678</v>
      </c>
    </row>
    <row r="48" spans="1:20" ht="38.25" customHeight="1">
      <c r="A48" s="169" t="s">
        <v>668</v>
      </c>
      <c r="B48" s="186" t="s">
        <v>669</v>
      </c>
      <c r="C48" s="156" t="s">
        <v>670</v>
      </c>
      <c r="D48" s="171" t="s">
        <v>818</v>
      </c>
      <c r="E48" s="171" t="s">
        <v>819</v>
      </c>
      <c r="F48" s="171" t="s">
        <v>673</v>
      </c>
      <c r="G48" s="171" t="s">
        <v>820</v>
      </c>
      <c r="H48" s="171" t="s">
        <v>747</v>
      </c>
      <c r="I48" s="170">
        <v>9.15</v>
      </c>
      <c r="J48" s="156" t="s">
        <v>574</v>
      </c>
      <c r="K48" s="187"/>
      <c r="L48" s="172" t="s">
        <v>748</v>
      </c>
      <c r="M48" s="173" t="s">
        <v>649</v>
      </c>
      <c r="N48" s="174" t="s">
        <v>676</v>
      </c>
      <c r="O48" s="174"/>
      <c r="P48" s="174"/>
      <c r="Q48" s="174"/>
      <c r="R48" s="174"/>
      <c r="S48" s="175" t="s">
        <v>821</v>
      </c>
      <c r="T48" s="174" t="s">
        <v>678</v>
      </c>
    </row>
    <row r="49" spans="1:20" ht="38.25" customHeight="1">
      <c r="A49" s="159" t="s">
        <v>668</v>
      </c>
      <c r="B49" s="184" t="s">
        <v>669</v>
      </c>
      <c r="C49" s="154" t="s">
        <v>670</v>
      </c>
      <c r="D49" s="161" t="s">
        <v>822</v>
      </c>
      <c r="E49" s="161" t="s">
        <v>823</v>
      </c>
      <c r="F49" s="161" t="s">
        <v>673</v>
      </c>
      <c r="G49" s="161" t="s">
        <v>824</v>
      </c>
      <c r="H49" s="161" t="s">
        <v>747</v>
      </c>
      <c r="I49" s="160">
        <v>7.77</v>
      </c>
      <c r="J49" s="154" t="s">
        <v>574</v>
      </c>
      <c r="K49" s="185"/>
      <c r="L49" s="163" t="s">
        <v>748</v>
      </c>
      <c r="M49" s="164" t="s">
        <v>649</v>
      </c>
      <c r="N49" s="165" t="s">
        <v>676</v>
      </c>
      <c r="O49" s="165"/>
      <c r="P49" s="165"/>
      <c r="Q49" s="165"/>
      <c r="R49" s="165"/>
      <c r="S49" s="166" t="s">
        <v>825</v>
      </c>
      <c r="T49" s="165" t="s">
        <v>678</v>
      </c>
    </row>
    <row r="50" spans="1:20" ht="38.25" customHeight="1">
      <c r="A50" s="169" t="s">
        <v>668</v>
      </c>
      <c r="B50" s="186" t="s">
        <v>669</v>
      </c>
      <c r="C50" s="156" t="s">
        <v>670</v>
      </c>
      <c r="D50" s="171" t="s">
        <v>826</v>
      </c>
      <c r="E50" s="171" t="s">
        <v>827</v>
      </c>
      <c r="F50" s="171" t="s">
        <v>673</v>
      </c>
      <c r="G50" s="171" t="s">
        <v>828</v>
      </c>
      <c r="H50" s="171" t="s">
        <v>747</v>
      </c>
      <c r="I50" s="170">
        <v>9.1</v>
      </c>
      <c r="J50" s="156" t="s">
        <v>574</v>
      </c>
      <c r="K50" s="187"/>
      <c r="L50" s="172" t="s">
        <v>748</v>
      </c>
      <c r="M50" s="173" t="s">
        <v>649</v>
      </c>
      <c r="N50" s="174" t="s">
        <v>676</v>
      </c>
      <c r="O50" s="174"/>
      <c r="P50" s="174"/>
      <c r="Q50" s="174"/>
      <c r="R50" s="174"/>
      <c r="S50" s="175" t="s">
        <v>829</v>
      </c>
      <c r="T50" s="174" t="s">
        <v>678</v>
      </c>
    </row>
    <row r="51" spans="1:20" ht="38.25" customHeight="1">
      <c r="A51" s="159" t="s">
        <v>668</v>
      </c>
      <c r="B51" s="184" t="s">
        <v>669</v>
      </c>
      <c r="C51" s="154" t="s">
        <v>670</v>
      </c>
      <c r="D51" s="161" t="s">
        <v>830</v>
      </c>
      <c r="E51" s="161" t="s">
        <v>831</v>
      </c>
      <c r="F51" s="161" t="s">
        <v>673</v>
      </c>
      <c r="G51" s="161" t="s">
        <v>806</v>
      </c>
      <c r="H51" s="161" t="s">
        <v>747</v>
      </c>
      <c r="I51" s="160">
        <v>10.5</v>
      </c>
      <c r="J51" s="154" t="s">
        <v>574</v>
      </c>
      <c r="K51" s="185"/>
      <c r="L51" s="163" t="s">
        <v>748</v>
      </c>
      <c r="M51" s="164" t="s">
        <v>649</v>
      </c>
      <c r="N51" s="165" t="s">
        <v>676</v>
      </c>
      <c r="O51" s="165"/>
      <c r="P51" s="165"/>
      <c r="Q51" s="165"/>
      <c r="R51" s="165"/>
      <c r="S51" s="166" t="s">
        <v>832</v>
      </c>
      <c r="T51" s="165" t="s">
        <v>678</v>
      </c>
    </row>
    <row r="52" spans="1:20" ht="51" customHeight="1">
      <c r="A52" s="169" t="s">
        <v>668</v>
      </c>
      <c r="B52" s="186" t="s">
        <v>669</v>
      </c>
      <c r="C52" s="156" t="s">
        <v>670</v>
      </c>
      <c r="D52" s="171" t="s">
        <v>833</v>
      </c>
      <c r="E52" s="171" t="s">
        <v>834</v>
      </c>
      <c r="F52" s="171" t="s">
        <v>673</v>
      </c>
      <c r="G52" s="171" t="s">
        <v>835</v>
      </c>
      <c r="H52" s="171" t="s">
        <v>747</v>
      </c>
      <c r="I52" s="170">
        <v>9.82</v>
      </c>
      <c r="J52" s="156" t="s">
        <v>574</v>
      </c>
      <c r="K52" s="187"/>
      <c r="L52" s="172" t="s">
        <v>748</v>
      </c>
      <c r="M52" s="173" t="s">
        <v>649</v>
      </c>
      <c r="N52" s="174" t="s">
        <v>676</v>
      </c>
      <c r="O52" s="174"/>
      <c r="P52" s="174"/>
      <c r="Q52" s="174"/>
      <c r="R52" s="174"/>
      <c r="S52" s="175" t="s">
        <v>836</v>
      </c>
      <c r="T52" s="174" t="s">
        <v>678</v>
      </c>
    </row>
    <row r="53" spans="1:20" ht="38.25" customHeight="1">
      <c r="A53" s="159" t="s">
        <v>668</v>
      </c>
      <c r="B53" s="184" t="s">
        <v>669</v>
      </c>
      <c r="C53" s="154" t="s">
        <v>670</v>
      </c>
      <c r="D53" s="161" t="s">
        <v>837</v>
      </c>
      <c r="E53" s="161" t="s">
        <v>838</v>
      </c>
      <c r="F53" s="161" t="s">
        <v>673</v>
      </c>
      <c r="G53" s="161" t="s">
        <v>839</v>
      </c>
      <c r="H53" s="161" t="s">
        <v>311</v>
      </c>
      <c r="I53" s="160">
        <v>9.8699999999999992</v>
      </c>
      <c r="J53" s="154" t="s">
        <v>574</v>
      </c>
      <c r="K53" s="185"/>
      <c r="L53" s="163" t="s">
        <v>748</v>
      </c>
      <c r="M53" s="164" t="s">
        <v>649</v>
      </c>
      <c r="N53" s="165" t="s">
        <v>676</v>
      </c>
      <c r="O53" s="165"/>
      <c r="P53" s="165"/>
      <c r="Q53" s="165"/>
      <c r="R53" s="165"/>
      <c r="S53" s="166" t="s">
        <v>840</v>
      </c>
      <c r="T53" s="165" t="s">
        <v>678</v>
      </c>
    </row>
    <row r="54" spans="1:20" ht="38.25" customHeight="1">
      <c r="A54" s="169" t="s">
        <v>668</v>
      </c>
      <c r="B54" s="186" t="s">
        <v>669</v>
      </c>
      <c r="C54" s="156" t="s">
        <v>670</v>
      </c>
      <c r="D54" s="171" t="s">
        <v>841</v>
      </c>
      <c r="E54" s="171" t="s">
        <v>842</v>
      </c>
      <c r="F54" s="171" t="s">
        <v>673</v>
      </c>
      <c r="G54" s="171" t="s">
        <v>843</v>
      </c>
      <c r="H54" s="171" t="s">
        <v>311</v>
      </c>
      <c r="I54" s="170">
        <v>8.3699999999999992</v>
      </c>
      <c r="J54" s="156" t="s">
        <v>574</v>
      </c>
      <c r="K54" s="187"/>
      <c r="L54" s="172" t="s">
        <v>748</v>
      </c>
      <c r="M54" s="173" t="s">
        <v>649</v>
      </c>
      <c r="N54" s="174" t="s">
        <v>676</v>
      </c>
      <c r="O54" s="174"/>
      <c r="P54" s="174"/>
      <c r="Q54" s="174"/>
      <c r="R54" s="174"/>
      <c r="S54" s="175" t="s">
        <v>844</v>
      </c>
      <c r="T54" s="174" t="s">
        <v>678</v>
      </c>
    </row>
    <row r="55" spans="1:20" ht="38.25" customHeight="1">
      <c r="A55" s="159" t="s">
        <v>668</v>
      </c>
      <c r="B55" s="184" t="s">
        <v>669</v>
      </c>
      <c r="C55" s="154" t="s">
        <v>670</v>
      </c>
      <c r="D55" s="161" t="s">
        <v>845</v>
      </c>
      <c r="E55" s="161" t="s">
        <v>846</v>
      </c>
      <c r="F55" s="161" t="s">
        <v>673</v>
      </c>
      <c r="G55" s="161" t="s">
        <v>847</v>
      </c>
      <c r="H55" s="161" t="s">
        <v>311</v>
      </c>
      <c r="I55" s="160">
        <v>8.81</v>
      </c>
      <c r="J55" s="154" t="s">
        <v>574</v>
      </c>
      <c r="K55" s="185"/>
      <c r="L55" s="163" t="s">
        <v>748</v>
      </c>
      <c r="M55" s="164" t="s">
        <v>649</v>
      </c>
      <c r="N55" s="165" t="s">
        <v>676</v>
      </c>
      <c r="O55" s="165"/>
      <c r="P55" s="165"/>
      <c r="Q55" s="165"/>
      <c r="R55" s="165"/>
      <c r="S55" s="166" t="s">
        <v>848</v>
      </c>
      <c r="T55" s="165" t="s">
        <v>678</v>
      </c>
    </row>
    <row r="56" spans="1:20" ht="38.25" customHeight="1">
      <c r="A56" s="169" t="s">
        <v>668</v>
      </c>
      <c r="B56" s="186" t="s">
        <v>669</v>
      </c>
      <c r="C56" s="156" t="s">
        <v>670</v>
      </c>
      <c r="D56" s="171" t="s">
        <v>845</v>
      </c>
      <c r="E56" s="171" t="s">
        <v>849</v>
      </c>
      <c r="F56" s="171" t="s">
        <v>673</v>
      </c>
      <c r="G56" s="171" t="s">
        <v>847</v>
      </c>
      <c r="H56" s="171" t="s">
        <v>311</v>
      </c>
      <c r="I56" s="170">
        <v>9.1300000000000008</v>
      </c>
      <c r="J56" s="156" t="s">
        <v>574</v>
      </c>
      <c r="K56" s="187"/>
      <c r="L56" s="172" t="s">
        <v>748</v>
      </c>
      <c r="M56" s="173" t="s">
        <v>649</v>
      </c>
      <c r="N56" s="174" t="s">
        <v>676</v>
      </c>
      <c r="O56" s="174"/>
      <c r="P56" s="174"/>
      <c r="Q56" s="174"/>
      <c r="R56" s="174"/>
      <c r="S56" s="175" t="s">
        <v>850</v>
      </c>
      <c r="T56" s="174" t="s">
        <v>678</v>
      </c>
    </row>
    <row r="57" spans="1:20" ht="38.25" customHeight="1">
      <c r="A57" s="159" t="s">
        <v>668</v>
      </c>
      <c r="B57" s="184" t="s">
        <v>669</v>
      </c>
      <c r="C57" s="154" t="s">
        <v>670</v>
      </c>
      <c r="D57" s="161" t="s">
        <v>851</v>
      </c>
      <c r="E57" s="161" t="s">
        <v>852</v>
      </c>
      <c r="F57" s="161" t="s">
        <v>673</v>
      </c>
      <c r="G57" s="161" t="s">
        <v>853</v>
      </c>
      <c r="H57" s="161" t="s">
        <v>311</v>
      </c>
      <c r="I57" s="160">
        <v>9.0299999999999994</v>
      </c>
      <c r="J57" s="154" t="s">
        <v>574</v>
      </c>
      <c r="K57" s="185"/>
      <c r="L57" s="163" t="s">
        <v>748</v>
      </c>
      <c r="M57" s="164" t="s">
        <v>649</v>
      </c>
      <c r="N57" s="165" t="s">
        <v>676</v>
      </c>
      <c r="O57" s="165"/>
      <c r="P57" s="165"/>
      <c r="Q57" s="165"/>
      <c r="R57" s="165"/>
      <c r="S57" s="166" t="s">
        <v>854</v>
      </c>
      <c r="T57" s="165" t="s">
        <v>678</v>
      </c>
    </row>
    <row r="58" spans="1:20" ht="38.25" customHeight="1">
      <c r="A58" s="169" t="s">
        <v>668</v>
      </c>
      <c r="B58" s="186" t="s">
        <v>669</v>
      </c>
      <c r="C58" s="156" t="s">
        <v>670</v>
      </c>
      <c r="D58" s="171" t="s">
        <v>855</v>
      </c>
      <c r="E58" s="171" t="s">
        <v>856</v>
      </c>
      <c r="F58" s="171" t="s">
        <v>673</v>
      </c>
      <c r="G58" s="171" t="s">
        <v>857</v>
      </c>
      <c r="H58" s="171" t="s">
        <v>311</v>
      </c>
      <c r="I58" s="170">
        <v>4.5999999999999996</v>
      </c>
      <c r="J58" s="156" t="s">
        <v>574</v>
      </c>
      <c r="K58" s="187"/>
      <c r="L58" s="172" t="s">
        <v>748</v>
      </c>
      <c r="M58" s="173" t="s">
        <v>649</v>
      </c>
      <c r="N58" s="174" t="s">
        <v>733</v>
      </c>
      <c r="O58" s="174"/>
      <c r="P58" s="174"/>
      <c r="Q58" s="174"/>
      <c r="R58" s="174" t="s">
        <v>736</v>
      </c>
      <c r="S58" s="175" t="s">
        <v>858</v>
      </c>
      <c r="T58" s="174" t="s">
        <v>678</v>
      </c>
    </row>
    <row r="59" spans="1:20" ht="38.25" customHeight="1">
      <c r="A59" s="159" t="s">
        <v>668</v>
      </c>
      <c r="B59" s="184" t="s">
        <v>669</v>
      </c>
      <c r="C59" s="154" t="s">
        <v>670</v>
      </c>
      <c r="D59" s="161" t="s">
        <v>859</v>
      </c>
      <c r="E59" s="161" t="s">
        <v>860</v>
      </c>
      <c r="F59" s="161" t="s">
        <v>673</v>
      </c>
      <c r="G59" s="161" t="s">
        <v>861</v>
      </c>
      <c r="H59" s="161" t="s">
        <v>675</v>
      </c>
      <c r="I59" s="160">
        <v>8.1199999999999992</v>
      </c>
      <c r="J59" s="154" t="s">
        <v>574</v>
      </c>
      <c r="K59" s="185"/>
      <c r="L59" s="163" t="s">
        <v>748</v>
      </c>
      <c r="M59" s="164" t="s">
        <v>649</v>
      </c>
      <c r="N59" s="165" t="s">
        <v>676</v>
      </c>
      <c r="O59" s="165"/>
      <c r="P59" s="165"/>
      <c r="Q59" s="165"/>
      <c r="R59" s="165"/>
      <c r="S59" s="166" t="s">
        <v>862</v>
      </c>
      <c r="T59" s="165" t="s">
        <v>678</v>
      </c>
    </row>
    <row r="60" spans="1:20" ht="38.25" customHeight="1">
      <c r="A60" s="169" t="s">
        <v>668</v>
      </c>
      <c r="B60" s="186" t="s">
        <v>669</v>
      </c>
      <c r="C60" s="156" t="s">
        <v>670</v>
      </c>
      <c r="D60" s="171" t="s">
        <v>863</v>
      </c>
      <c r="E60" s="171" t="s">
        <v>864</v>
      </c>
      <c r="F60" s="171" t="s">
        <v>673</v>
      </c>
      <c r="G60" s="171" t="s">
        <v>865</v>
      </c>
      <c r="H60" s="171" t="s">
        <v>675</v>
      </c>
      <c r="I60" s="170">
        <v>9.01</v>
      </c>
      <c r="J60" s="156" t="s">
        <v>574</v>
      </c>
      <c r="K60" s="187"/>
      <c r="L60" s="172" t="s">
        <v>748</v>
      </c>
      <c r="M60" s="173" t="s">
        <v>649</v>
      </c>
      <c r="N60" s="174" t="s">
        <v>676</v>
      </c>
      <c r="O60" s="174"/>
      <c r="P60" s="174"/>
      <c r="Q60" s="174"/>
      <c r="R60" s="174"/>
      <c r="S60" s="175" t="s">
        <v>866</v>
      </c>
      <c r="T60" s="174" t="s">
        <v>678</v>
      </c>
    </row>
    <row r="61" spans="1:20" ht="38.25" customHeight="1">
      <c r="A61" s="159" t="s">
        <v>668</v>
      </c>
      <c r="B61" s="184" t="s">
        <v>669</v>
      </c>
      <c r="C61" s="154" t="s">
        <v>670</v>
      </c>
      <c r="D61" s="161" t="s">
        <v>867</v>
      </c>
      <c r="E61" s="161" t="s">
        <v>868</v>
      </c>
      <c r="F61" s="161" t="s">
        <v>673</v>
      </c>
      <c r="G61" s="161" t="s">
        <v>869</v>
      </c>
      <c r="H61" s="161" t="s">
        <v>675</v>
      </c>
      <c r="I61" s="160">
        <v>8.31</v>
      </c>
      <c r="J61" s="154" t="s">
        <v>574</v>
      </c>
      <c r="K61" s="185"/>
      <c r="L61" s="163" t="s">
        <v>748</v>
      </c>
      <c r="M61" s="164" t="s">
        <v>649</v>
      </c>
      <c r="N61" s="165" t="s">
        <v>676</v>
      </c>
      <c r="O61" s="165"/>
      <c r="P61" s="165"/>
      <c r="Q61" s="165"/>
      <c r="R61" s="165"/>
      <c r="S61" s="166" t="s">
        <v>870</v>
      </c>
      <c r="T61" s="165" t="s">
        <v>678</v>
      </c>
    </row>
    <row r="62" spans="1:20" ht="38.25" customHeight="1">
      <c r="A62" s="169" t="s">
        <v>668</v>
      </c>
      <c r="B62" s="186" t="s">
        <v>669</v>
      </c>
      <c r="C62" s="156" t="s">
        <v>670</v>
      </c>
      <c r="D62" s="171" t="s">
        <v>871</v>
      </c>
      <c r="E62" s="171" t="s">
        <v>872</v>
      </c>
      <c r="F62" s="171" t="s">
        <v>673</v>
      </c>
      <c r="G62" s="171" t="s">
        <v>865</v>
      </c>
      <c r="H62" s="171" t="s">
        <v>675</v>
      </c>
      <c r="I62" s="170">
        <v>9.6300000000000008</v>
      </c>
      <c r="J62" s="156" t="s">
        <v>574</v>
      </c>
      <c r="K62" s="187"/>
      <c r="L62" s="172" t="s">
        <v>748</v>
      </c>
      <c r="M62" s="173" t="s">
        <v>649</v>
      </c>
      <c r="N62" s="174" t="s">
        <v>676</v>
      </c>
      <c r="O62" s="174"/>
      <c r="P62" s="174"/>
      <c r="Q62" s="174"/>
      <c r="R62" s="174"/>
      <c r="S62" s="175" t="s">
        <v>873</v>
      </c>
      <c r="T62" s="174" t="s">
        <v>678</v>
      </c>
    </row>
    <row r="63" spans="1:20" ht="38.25" customHeight="1">
      <c r="A63" s="159" t="s">
        <v>668</v>
      </c>
      <c r="B63" s="184" t="s">
        <v>669</v>
      </c>
      <c r="C63" s="154" t="s">
        <v>670</v>
      </c>
      <c r="D63" s="161" t="s">
        <v>874</v>
      </c>
      <c r="E63" s="161" t="s">
        <v>875</v>
      </c>
      <c r="F63" s="161" t="s">
        <v>673</v>
      </c>
      <c r="G63" s="161" t="s">
        <v>876</v>
      </c>
      <c r="H63" s="161" t="s">
        <v>675</v>
      </c>
      <c r="I63" s="160">
        <v>10.9</v>
      </c>
      <c r="J63" s="154" t="s">
        <v>574</v>
      </c>
      <c r="K63" s="185"/>
      <c r="L63" s="163" t="s">
        <v>748</v>
      </c>
      <c r="M63" s="164" t="s">
        <v>649</v>
      </c>
      <c r="N63" s="165" t="s">
        <v>676</v>
      </c>
      <c r="O63" s="165"/>
      <c r="P63" s="165"/>
      <c r="Q63" s="165"/>
      <c r="R63" s="165"/>
      <c r="S63" s="166" t="s">
        <v>877</v>
      </c>
      <c r="T63" s="165" t="s">
        <v>678</v>
      </c>
    </row>
    <row r="64" spans="1:20" ht="38.25" customHeight="1">
      <c r="A64" s="169" t="s">
        <v>668</v>
      </c>
      <c r="B64" s="186" t="s">
        <v>669</v>
      </c>
      <c r="C64" s="156" t="s">
        <v>670</v>
      </c>
      <c r="D64" s="171" t="s">
        <v>878</v>
      </c>
      <c r="E64" s="171" t="s">
        <v>879</v>
      </c>
      <c r="F64" s="171" t="s">
        <v>706</v>
      </c>
      <c r="G64" s="171" t="s">
        <v>686</v>
      </c>
      <c r="H64" s="171" t="s">
        <v>675</v>
      </c>
      <c r="I64" s="170">
        <v>10</v>
      </c>
      <c r="J64" s="156" t="s">
        <v>574</v>
      </c>
      <c r="K64" s="187"/>
      <c r="L64" s="172" t="s">
        <v>748</v>
      </c>
      <c r="M64" s="173" t="s">
        <v>649</v>
      </c>
      <c r="N64" s="174" t="s">
        <v>676</v>
      </c>
      <c r="O64" s="174"/>
      <c r="P64" s="174"/>
      <c r="Q64" s="174"/>
      <c r="R64" s="174"/>
      <c r="S64" s="175" t="s">
        <v>880</v>
      </c>
      <c r="T64" s="174" t="s">
        <v>678</v>
      </c>
    </row>
    <row r="65" spans="1:20" ht="38.25" customHeight="1">
      <c r="A65" s="159" t="s">
        <v>668</v>
      </c>
      <c r="B65" s="184" t="s">
        <v>669</v>
      </c>
      <c r="C65" s="154" t="s">
        <v>670</v>
      </c>
      <c r="D65" s="161" t="s">
        <v>881</v>
      </c>
      <c r="E65" s="161" t="s">
        <v>882</v>
      </c>
      <c r="F65" s="161" t="s">
        <v>673</v>
      </c>
      <c r="G65" s="161" t="s">
        <v>883</v>
      </c>
      <c r="H65" s="161" t="s">
        <v>675</v>
      </c>
      <c r="I65" s="160">
        <v>8.35</v>
      </c>
      <c r="J65" s="154" t="s">
        <v>574</v>
      </c>
      <c r="K65" s="185"/>
      <c r="L65" s="163" t="s">
        <v>748</v>
      </c>
      <c r="M65" s="164" t="s">
        <v>649</v>
      </c>
      <c r="N65" s="165" t="s">
        <v>676</v>
      </c>
      <c r="O65" s="165"/>
      <c r="P65" s="165"/>
      <c r="Q65" s="165"/>
      <c r="R65" s="165"/>
      <c r="S65" s="166" t="s">
        <v>884</v>
      </c>
      <c r="T65" s="165" t="s">
        <v>678</v>
      </c>
    </row>
    <row r="66" spans="1:20" ht="38.25" customHeight="1">
      <c r="A66" s="169" t="s">
        <v>668</v>
      </c>
      <c r="B66" s="186" t="s">
        <v>669</v>
      </c>
      <c r="C66" s="156" t="s">
        <v>670</v>
      </c>
      <c r="D66" s="171" t="s">
        <v>885</v>
      </c>
      <c r="E66" s="171" t="s">
        <v>886</v>
      </c>
      <c r="F66" s="171" t="s">
        <v>673</v>
      </c>
      <c r="G66" s="171" t="s">
        <v>883</v>
      </c>
      <c r="H66" s="171" t="s">
        <v>675</v>
      </c>
      <c r="I66" s="170">
        <v>10.3</v>
      </c>
      <c r="J66" s="156" t="s">
        <v>574</v>
      </c>
      <c r="K66" s="187"/>
      <c r="L66" s="172" t="s">
        <v>748</v>
      </c>
      <c r="M66" s="173" t="s">
        <v>649</v>
      </c>
      <c r="N66" s="174" t="s">
        <v>676</v>
      </c>
      <c r="O66" s="174"/>
      <c r="P66" s="174"/>
      <c r="Q66" s="174"/>
      <c r="R66" s="174"/>
      <c r="S66" s="175" t="s">
        <v>757</v>
      </c>
      <c r="T66" s="174" t="s">
        <v>678</v>
      </c>
    </row>
    <row r="67" spans="1:20" ht="38.25" customHeight="1">
      <c r="A67" s="159" t="s">
        <v>668</v>
      </c>
      <c r="B67" s="184" t="s">
        <v>669</v>
      </c>
      <c r="C67" s="154" t="s">
        <v>670</v>
      </c>
      <c r="D67" s="161" t="s">
        <v>887</v>
      </c>
      <c r="E67" s="161" t="s">
        <v>888</v>
      </c>
      <c r="F67" s="161" t="s">
        <v>673</v>
      </c>
      <c r="G67" s="161" t="s">
        <v>889</v>
      </c>
      <c r="H67" s="161" t="s">
        <v>675</v>
      </c>
      <c r="I67" s="160">
        <v>9.08</v>
      </c>
      <c r="J67" s="154" t="s">
        <v>574</v>
      </c>
      <c r="K67" s="185"/>
      <c r="L67" s="163" t="s">
        <v>748</v>
      </c>
      <c r="M67" s="164" t="s">
        <v>649</v>
      </c>
      <c r="N67" s="165" t="s">
        <v>676</v>
      </c>
      <c r="O67" s="165"/>
      <c r="P67" s="165"/>
      <c r="Q67" s="165"/>
      <c r="R67" s="165"/>
      <c r="S67" s="166" t="s">
        <v>799</v>
      </c>
      <c r="T67" s="165" t="s">
        <v>678</v>
      </c>
    </row>
    <row r="68" spans="1:20" ht="38.25" customHeight="1">
      <c r="A68" s="169" t="s">
        <v>668</v>
      </c>
      <c r="B68" s="186" t="s">
        <v>669</v>
      </c>
      <c r="C68" s="156" t="s">
        <v>670</v>
      </c>
      <c r="D68" s="171" t="s">
        <v>887</v>
      </c>
      <c r="E68" s="171" t="s">
        <v>890</v>
      </c>
      <c r="F68" s="171" t="s">
        <v>673</v>
      </c>
      <c r="G68" s="171" t="s">
        <v>889</v>
      </c>
      <c r="H68" s="171" t="s">
        <v>675</v>
      </c>
      <c r="I68" s="170">
        <v>9.6</v>
      </c>
      <c r="J68" s="156" t="s">
        <v>574</v>
      </c>
      <c r="K68" s="187"/>
      <c r="L68" s="172" t="s">
        <v>748</v>
      </c>
      <c r="M68" s="173" t="s">
        <v>649</v>
      </c>
      <c r="N68" s="174" t="s">
        <v>676</v>
      </c>
      <c r="O68" s="174"/>
      <c r="P68" s="174"/>
      <c r="Q68" s="174"/>
      <c r="R68" s="174"/>
      <c r="S68" s="175" t="s">
        <v>891</v>
      </c>
      <c r="T68" s="174" t="s">
        <v>678</v>
      </c>
    </row>
    <row r="69" spans="1:20" ht="38.25" customHeight="1">
      <c r="A69" s="159" t="s">
        <v>668</v>
      </c>
      <c r="B69" s="184" t="s">
        <v>669</v>
      </c>
      <c r="C69" s="154" t="s">
        <v>670</v>
      </c>
      <c r="D69" s="161" t="s">
        <v>892</v>
      </c>
      <c r="E69" s="161" t="s">
        <v>893</v>
      </c>
      <c r="F69" s="161" t="s">
        <v>673</v>
      </c>
      <c r="G69" s="161" t="s">
        <v>894</v>
      </c>
      <c r="H69" s="161" t="s">
        <v>675</v>
      </c>
      <c r="I69" s="160">
        <v>9.69</v>
      </c>
      <c r="J69" s="154" t="s">
        <v>574</v>
      </c>
      <c r="K69" s="185"/>
      <c r="L69" s="163" t="s">
        <v>748</v>
      </c>
      <c r="M69" s="164" t="s">
        <v>649</v>
      </c>
      <c r="N69" s="165" t="s">
        <v>676</v>
      </c>
      <c r="O69" s="165"/>
      <c r="P69" s="165"/>
      <c r="Q69" s="165"/>
      <c r="R69" s="165"/>
      <c r="S69" s="166" t="s">
        <v>895</v>
      </c>
      <c r="T69" s="165" t="s">
        <v>678</v>
      </c>
    </row>
    <row r="70" spans="1:20" ht="38.25" customHeight="1">
      <c r="A70" s="169" t="s">
        <v>668</v>
      </c>
      <c r="B70" s="186" t="s">
        <v>669</v>
      </c>
      <c r="C70" s="156" t="s">
        <v>670</v>
      </c>
      <c r="D70" s="171" t="s">
        <v>896</v>
      </c>
      <c r="E70" s="171" t="s">
        <v>897</v>
      </c>
      <c r="F70" s="171" t="s">
        <v>673</v>
      </c>
      <c r="G70" s="171" t="s">
        <v>898</v>
      </c>
      <c r="H70" s="171" t="s">
        <v>675</v>
      </c>
      <c r="I70" s="170">
        <v>8.42</v>
      </c>
      <c r="J70" s="156" t="s">
        <v>574</v>
      </c>
      <c r="K70" s="187"/>
      <c r="L70" s="172" t="s">
        <v>748</v>
      </c>
      <c r="M70" s="173" t="s">
        <v>649</v>
      </c>
      <c r="N70" s="174" t="s">
        <v>676</v>
      </c>
      <c r="O70" s="174"/>
      <c r="P70" s="174"/>
      <c r="Q70" s="174"/>
      <c r="R70" s="174"/>
      <c r="S70" s="175" t="s">
        <v>899</v>
      </c>
      <c r="T70" s="174" t="s">
        <v>678</v>
      </c>
    </row>
    <row r="71" spans="1:20" ht="38.25" customHeight="1">
      <c r="A71" s="159" t="s">
        <v>668</v>
      </c>
      <c r="B71" s="184" t="s">
        <v>669</v>
      </c>
      <c r="C71" s="154" t="s">
        <v>670</v>
      </c>
      <c r="D71" s="161" t="s">
        <v>900</v>
      </c>
      <c r="E71" s="161" t="s">
        <v>901</v>
      </c>
      <c r="F71" s="161" t="s">
        <v>673</v>
      </c>
      <c r="G71" s="161" t="s">
        <v>902</v>
      </c>
      <c r="H71" s="161" t="s">
        <v>675</v>
      </c>
      <c r="I71" s="160">
        <v>8.4</v>
      </c>
      <c r="J71" s="154" t="s">
        <v>574</v>
      </c>
      <c r="K71" s="185"/>
      <c r="L71" s="163" t="s">
        <v>748</v>
      </c>
      <c r="M71" s="164" t="s">
        <v>649</v>
      </c>
      <c r="N71" s="165" t="s">
        <v>676</v>
      </c>
      <c r="O71" s="165"/>
      <c r="P71" s="165"/>
      <c r="Q71" s="165"/>
      <c r="R71" s="165"/>
      <c r="S71" s="166" t="s">
        <v>903</v>
      </c>
      <c r="T71" s="165" t="s">
        <v>678</v>
      </c>
    </row>
    <row r="72" spans="1:20" ht="38.25" customHeight="1">
      <c r="A72" s="169" t="s">
        <v>668</v>
      </c>
      <c r="B72" s="186" t="s">
        <v>669</v>
      </c>
      <c r="C72" s="156" t="s">
        <v>670</v>
      </c>
      <c r="D72" s="171" t="s">
        <v>904</v>
      </c>
      <c r="E72" s="171" t="s">
        <v>905</v>
      </c>
      <c r="F72" s="171" t="s">
        <v>673</v>
      </c>
      <c r="G72" s="171" t="s">
        <v>883</v>
      </c>
      <c r="H72" s="171" t="s">
        <v>675</v>
      </c>
      <c r="I72" s="170">
        <v>10.3</v>
      </c>
      <c r="J72" s="156" t="s">
        <v>574</v>
      </c>
      <c r="K72" s="187"/>
      <c r="L72" s="172" t="s">
        <v>748</v>
      </c>
      <c r="M72" s="173" t="s">
        <v>649</v>
      </c>
      <c r="N72" s="174" t="s">
        <v>676</v>
      </c>
      <c r="O72" s="174"/>
      <c r="P72" s="174"/>
      <c r="Q72" s="174"/>
      <c r="R72" s="174"/>
      <c r="S72" s="175" t="s">
        <v>757</v>
      </c>
      <c r="T72" s="174" t="s">
        <v>678</v>
      </c>
    </row>
    <row r="73" spans="1:20" ht="38.25" customHeight="1">
      <c r="A73" s="159" t="s">
        <v>668</v>
      </c>
      <c r="B73" s="184" t="s">
        <v>669</v>
      </c>
      <c r="C73" s="154" t="s">
        <v>670</v>
      </c>
      <c r="D73" s="161" t="s">
        <v>906</v>
      </c>
      <c r="E73" s="161" t="s">
        <v>907</v>
      </c>
      <c r="F73" s="161" t="s">
        <v>673</v>
      </c>
      <c r="G73" s="161" t="s">
        <v>883</v>
      </c>
      <c r="H73" s="161" t="s">
        <v>675</v>
      </c>
      <c r="I73" s="160">
        <v>10.9</v>
      </c>
      <c r="J73" s="154" t="s">
        <v>574</v>
      </c>
      <c r="K73" s="185"/>
      <c r="L73" s="163" t="s">
        <v>748</v>
      </c>
      <c r="M73" s="164" t="s">
        <v>649</v>
      </c>
      <c r="N73" s="165" t="s">
        <v>676</v>
      </c>
      <c r="O73" s="165"/>
      <c r="P73" s="165"/>
      <c r="Q73" s="165"/>
      <c r="R73" s="165"/>
      <c r="S73" s="166" t="s">
        <v>877</v>
      </c>
      <c r="T73" s="165" t="s">
        <v>678</v>
      </c>
    </row>
    <row r="74" spans="1:20" ht="38.25" customHeight="1">
      <c r="A74" s="169" t="s">
        <v>668</v>
      </c>
      <c r="B74" s="186" t="s">
        <v>669</v>
      </c>
      <c r="C74" s="156" t="s">
        <v>670</v>
      </c>
      <c r="D74" s="171" t="s">
        <v>908</v>
      </c>
      <c r="E74" s="171" t="s">
        <v>909</v>
      </c>
      <c r="F74" s="171" t="s">
        <v>673</v>
      </c>
      <c r="G74" s="171" t="s">
        <v>910</v>
      </c>
      <c r="H74" s="171" t="s">
        <v>675</v>
      </c>
      <c r="I74" s="170">
        <v>8.3000000000000007</v>
      </c>
      <c r="J74" s="156" t="s">
        <v>574</v>
      </c>
      <c r="K74" s="187"/>
      <c r="L74" s="172" t="s">
        <v>748</v>
      </c>
      <c r="M74" s="173" t="s">
        <v>649</v>
      </c>
      <c r="N74" s="174" t="s">
        <v>676</v>
      </c>
      <c r="O74" s="174"/>
      <c r="P74" s="174"/>
      <c r="Q74" s="174"/>
      <c r="R74" s="174"/>
      <c r="S74" s="175" t="s">
        <v>911</v>
      </c>
      <c r="T74" s="174" t="s">
        <v>678</v>
      </c>
    </row>
    <row r="75" spans="1:20" ht="38.25" customHeight="1">
      <c r="A75" s="159" t="s">
        <v>668</v>
      </c>
      <c r="B75" s="184" t="s">
        <v>669</v>
      </c>
      <c r="C75" s="154" t="s">
        <v>670</v>
      </c>
      <c r="D75" s="161" t="s">
        <v>908</v>
      </c>
      <c r="E75" s="161" t="s">
        <v>912</v>
      </c>
      <c r="F75" s="161" t="s">
        <v>673</v>
      </c>
      <c r="G75" s="161" t="s">
        <v>910</v>
      </c>
      <c r="H75" s="161" t="s">
        <v>675</v>
      </c>
      <c r="I75" s="160">
        <v>8.3800000000000008</v>
      </c>
      <c r="J75" s="154" t="s">
        <v>574</v>
      </c>
      <c r="K75" s="185"/>
      <c r="L75" s="163" t="s">
        <v>748</v>
      </c>
      <c r="M75" s="164" t="s">
        <v>649</v>
      </c>
      <c r="N75" s="165" t="s">
        <v>676</v>
      </c>
      <c r="O75" s="165"/>
      <c r="P75" s="165"/>
      <c r="Q75" s="165"/>
      <c r="R75" s="165"/>
      <c r="S75" s="166" t="s">
        <v>794</v>
      </c>
      <c r="T75" s="165" t="s">
        <v>678</v>
      </c>
    </row>
    <row r="76" spans="1:20" ht="38.25" customHeight="1">
      <c r="A76" s="169" t="s">
        <v>668</v>
      </c>
      <c r="B76" s="186" t="s">
        <v>669</v>
      </c>
      <c r="C76" s="156" t="s">
        <v>670</v>
      </c>
      <c r="D76" s="171" t="s">
        <v>913</v>
      </c>
      <c r="E76" s="171" t="s">
        <v>914</v>
      </c>
      <c r="F76" s="171" t="s">
        <v>673</v>
      </c>
      <c r="G76" s="171" t="s">
        <v>883</v>
      </c>
      <c r="H76" s="171" t="s">
        <v>675</v>
      </c>
      <c r="I76" s="170">
        <v>8.3699999999999992</v>
      </c>
      <c r="J76" s="156" t="s">
        <v>574</v>
      </c>
      <c r="K76" s="187"/>
      <c r="L76" s="172" t="s">
        <v>748</v>
      </c>
      <c r="M76" s="173" t="s">
        <v>649</v>
      </c>
      <c r="N76" s="174" t="s">
        <v>676</v>
      </c>
      <c r="O76" s="174"/>
      <c r="P76" s="174"/>
      <c r="Q76" s="174"/>
      <c r="R76" s="174"/>
      <c r="S76" s="175" t="s">
        <v>844</v>
      </c>
      <c r="T76" s="174" t="s">
        <v>678</v>
      </c>
    </row>
    <row r="77" spans="1:20" ht="38.25" customHeight="1">
      <c r="A77" s="159" t="s">
        <v>668</v>
      </c>
      <c r="B77" s="184" t="s">
        <v>669</v>
      </c>
      <c r="C77" s="154" t="s">
        <v>670</v>
      </c>
      <c r="D77" s="161" t="s">
        <v>915</v>
      </c>
      <c r="E77" s="161" t="s">
        <v>916</v>
      </c>
      <c r="F77" s="161" t="s">
        <v>706</v>
      </c>
      <c r="G77" s="161" t="s">
        <v>797</v>
      </c>
      <c r="H77" s="161" t="s">
        <v>675</v>
      </c>
      <c r="I77" s="160">
        <v>8.51</v>
      </c>
      <c r="J77" s="154" t="s">
        <v>574</v>
      </c>
      <c r="K77" s="185"/>
      <c r="L77" s="163" t="s">
        <v>748</v>
      </c>
      <c r="M77" s="164" t="s">
        <v>649</v>
      </c>
      <c r="N77" s="165" t="s">
        <v>676</v>
      </c>
      <c r="O77" s="165"/>
      <c r="P77" s="165"/>
      <c r="Q77" s="165"/>
      <c r="R77" s="165"/>
      <c r="S77" s="166" t="s">
        <v>917</v>
      </c>
      <c r="T77" s="165" t="s">
        <v>678</v>
      </c>
    </row>
    <row r="78" spans="1:20" ht="38.25" customHeight="1">
      <c r="A78" s="169" t="s">
        <v>668</v>
      </c>
      <c r="B78" s="186" t="s">
        <v>669</v>
      </c>
      <c r="C78" s="156" t="s">
        <v>670</v>
      </c>
      <c r="D78" s="171" t="s">
        <v>915</v>
      </c>
      <c r="E78" s="171" t="s">
        <v>918</v>
      </c>
      <c r="F78" s="171" t="s">
        <v>706</v>
      </c>
      <c r="G78" s="171" t="s">
        <v>797</v>
      </c>
      <c r="H78" s="171" t="s">
        <v>675</v>
      </c>
      <c r="I78" s="170">
        <v>8.4600000000000009</v>
      </c>
      <c r="J78" s="156" t="s">
        <v>574</v>
      </c>
      <c r="K78" s="187"/>
      <c r="L78" s="172" t="s">
        <v>748</v>
      </c>
      <c r="M78" s="173" t="s">
        <v>649</v>
      </c>
      <c r="N78" s="174" t="s">
        <v>676</v>
      </c>
      <c r="O78" s="174"/>
      <c r="P78" s="174"/>
      <c r="Q78" s="174"/>
      <c r="R78" s="174"/>
      <c r="S78" s="175" t="s">
        <v>919</v>
      </c>
      <c r="T78" s="174" t="s">
        <v>678</v>
      </c>
    </row>
    <row r="79" spans="1:20" ht="38.25" customHeight="1">
      <c r="A79" s="159" t="s">
        <v>668</v>
      </c>
      <c r="B79" s="184" t="s">
        <v>669</v>
      </c>
      <c r="C79" s="154" t="s">
        <v>670</v>
      </c>
      <c r="D79" s="161" t="s">
        <v>915</v>
      </c>
      <c r="E79" s="161" t="s">
        <v>920</v>
      </c>
      <c r="F79" s="161" t="s">
        <v>706</v>
      </c>
      <c r="G79" s="161" t="s">
        <v>797</v>
      </c>
      <c r="H79" s="161" t="s">
        <v>675</v>
      </c>
      <c r="I79" s="160">
        <v>8.59</v>
      </c>
      <c r="J79" s="154" t="s">
        <v>574</v>
      </c>
      <c r="K79" s="185"/>
      <c r="L79" s="163" t="s">
        <v>748</v>
      </c>
      <c r="M79" s="164" t="s">
        <v>649</v>
      </c>
      <c r="N79" s="165" t="s">
        <v>676</v>
      </c>
      <c r="O79" s="165"/>
      <c r="P79" s="165"/>
      <c r="Q79" s="165"/>
      <c r="R79" s="165"/>
      <c r="S79" s="166" t="s">
        <v>921</v>
      </c>
      <c r="T79" s="165" t="s">
        <v>678</v>
      </c>
    </row>
    <row r="80" spans="1:20" ht="38.25" customHeight="1">
      <c r="A80" s="169" t="s">
        <v>668</v>
      </c>
      <c r="B80" s="186" t="s">
        <v>669</v>
      </c>
      <c r="C80" s="156" t="s">
        <v>670</v>
      </c>
      <c r="D80" s="171" t="s">
        <v>922</v>
      </c>
      <c r="E80" s="171" t="s">
        <v>923</v>
      </c>
      <c r="F80" s="171" t="s">
        <v>673</v>
      </c>
      <c r="G80" s="171" t="s">
        <v>898</v>
      </c>
      <c r="H80" s="171" t="s">
        <v>675</v>
      </c>
      <c r="I80" s="170">
        <v>8.77</v>
      </c>
      <c r="J80" s="156" t="s">
        <v>574</v>
      </c>
      <c r="K80" s="187"/>
      <c r="L80" s="172" t="s">
        <v>748</v>
      </c>
      <c r="M80" s="173" t="s">
        <v>649</v>
      </c>
      <c r="N80" s="174" t="s">
        <v>676</v>
      </c>
      <c r="O80" s="174"/>
      <c r="P80" s="174"/>
      <c r="Q80" s="174"/>
      <c r="R80" s="174"/>
      <c r="S80" s="175" t="s">
        <v>924</v>
      </c>
      <c r="T80" s="174" t="s">
        <v>678</v>
      </c>
    </row>
    <row r="81" spans="1:20" ht="38.25" customHeight="1">
      <c r="A81" s="159" t="s">
        <v>668</v>
      </c>
      <c r="B81" s="184" t="s">
        <v>669</v>
      </c>
      <c r="C81" s="154" t="s">
        <v>670</v>
      </c>
      <c r="D81" s="161" t="s">
        <v>925</v>
      </c>
      <c r="E81" s="161" t="s">
        <v>926</v>
      </c>
      <c r="F81" s="161" t="s">
        <v>673</v>
      </c>
      <c r="G81" s="161" t="s">
        <v>876</v>
      </c>
      <c r="H81" s="161" t="s">
        <v>675</v>
      </c>
      <c r="I81" s="160">
        <v>8.9600000000000009</v>
      </c>
      <c r="J81" s="154" t="s">
        <v>574</v>
      </c>
      <c r="K81" s="185"/>
      <c r="L81" s="163" t="s">
        <v>748</v>
      </c>
      <c r="M81" s="164" t="s">
        <v>649</v>
      </c>
      <c r="N81" s="165" t="s">
        <v>676</v>
      </c>
      <c r="O81" s="165"/>
      <c r="P81" s="165"/>
      <c r="Q81" s="165"/>
      <c r="R81" s="165"/>
      <c r="S81" s="166" t="s">
        <v>927</v>
      </c>
      <c r="T81" s="165" t="s">
        <v>678</v>
      </c>
    </row>
    <row r="82" spans="1:20" ht="38.25" customHeight="1">
      <c r="A82" s="169" t="s">
        <v>668</v>
      </c>
      <c r="B82" s="186" t="s">
        <v>669</v>
      </c>
      <c r="C82" s="156" t="s">
        <v>670</v>
      </c>
      <c r="D82" s="171" t="s">
        <v>928</v>
      </c>
      <c r="E82" s="171" t="s">
        <v>929</v>
      </c>
      <c r="F82" s="171" t="s">
        <v>673</v>
      </c>
      <c r="G82" s="171" t="s">
        <v>894</v>
      </c>
      <c r="H82" s="171" t="s">
        <v>675</v>
      </c>
      <c r="I82" s="170">
        <v>10</v>
      </c>
      <c r="J82" s="156" t="s">
        <v>574</v>
      </c>
      <c r="K82" s="187"/>
      <c r="L82" s="172" t="s">
        <v>748</v>
      </c>
      <c r="M82" s="173" t="s">
        <v>649</v>
      </c>
      <c r="N82" s="174" t="s">
        <v>676</v>
      </c>
      <c r="O82" s="174"/>
      <c r="P82" s="174"/>
      <c r="Q82" s="174"/>
      <c r="R82" s="174"/>
      <c r="S82" s="175" t="s">
        <v>880</v>
      </c>
      <c r="T82" s="174" t="s">
        <v>678</v>
      </c>
    </row>
    <row r="83" spans="1:20" ht="38.25" customHeight="1">
      <c r="A83" s="159" t="s">
        <v>668</v>
      </c>
      <c r="B83" s="184" t="s">
        <v>669</v>
      </c>
      <c r="C83" s="154" t="s">
        <v>670</v>
      </c>
      <c r="D83" s="161" t="s">
        <v>930</v>
      </c>
      <c r="E83" s="161" t="s">
        <v>931</v>
      </c>
      <c r="F83" s="161" t="s">
        <v>673</v>
      </c>
      <c r="G83" s="161" t="s">
        <v>932</v>
      </c>
      <c r="H83" s="161" t="s">
        <v>675</v>
      </c>
      <c r="I83" s="160">
        <v>9.34</v>
      </c>
      <c r="J83" s="154" t="s">
        <v>574</v>
      </c>
      <c r="K83" s="185"/>
      <c r="L83" s="163" t="s">
        <v>748</v>
      </c>
      <c r="M83" s="164" t="s">
        <v>649</v>
      </c>
      <c r="N83" s="165" t="s">
        <v>676</v>
      </c>
      <c r="O83" s="165"/>
      <c r="P83" s="165"/>
      <c r="Q83" s="165"/>
      <c r="R83" s="165"/>
      <c r="S83" s="166" t="s">
        <v>933</v>
      </c>
      <c r="T83" s="165" t="s">
        <v>678</v>
      </c>
    </row>
    <row r="84" spans="1:20" ht="38.25" customHeight="1">
      <c r="A84" s="169" t="s">
        <v>668</v>
      </c>
      <c r="B84" s="186" t="s">
        <v>669</v>
      </c>
      <c r="C84" s="156" t="s">
        <v>670</v>
      </c>
      <c r="D84" s="171" t="s">
        <v>934</v>
      </c>
      <c r="E84" s="171" t="s">
        <v>935</v>
      </c>
      <c r="F84" s="171" t="s">
        <v>673</v>
      </c>
      <c r="G84" s="171" t="s">
        <v>936</v>
      </c>
      <c r="H84" s="171" t="s">
        <v>675</v>
      </c>
      <c r="I84" s="170">
        <v>9.48</v>
      </c>
      <c r="J84" s="156" t="s">
        <v>574</v>
      </c>
      <c r="K84" s="187"/>
      <c r="L84" s="172" t="s">
        <v>748</v>
      </c>
      <c r="M84" s="173" t="s">
        <v>649</v>
      </c>
      <c r="N84" s="174" t="s">
        <v>676</v>
      </c>
      <c r="O84" s="174"/>
      <c r="P84" s="174"/>
      <c r="Q84" s="174"/>
      <c r="R84" s="174"/>
      <c r="S84" s="175" t="s">
        <v>937</v>
      </c>
      <c r="T84" s="174" t="s">
        <v>678</v>
      </c>
    </row>
    <row r="85" spans="1:20" ht="38.25" customHeight="1">
      <c r="A85" s="159" t="s">
        <v>668</v>
      </c>
      <c r="B85" s="184" t="s">
        <v>669</v>
      </c>
      <c r="C85" s="154" t="s">
        <v>670</v>
      </c>
      <c r="D85" s="161" t="s">
        <v>934</v>
      </c>
      <c r="E85" s="161" t="s">
        <v>938</v>
      </c>
      <c r="F85" s="161" t="s">
        <v>673</v>
      </c>
      <c r="G85" s="161" t="s">
        <v>936</v>
      </c>
      <c r="H85" s="161" t="s">
        <v>675</v>
      </c>
      <c r="I85" s="160">
        <v>8.09</v>
      </c>
      <c r="J85" s="154" t="s">
        <v>574</v>
      </c>
      <c r="K85" s="185"/>
      <c r="L85" s="163" t="s">
        <v>748</v>
      </c>
      <c r="M85" s="164" t="s">
        <v>649</v>
      </c>
      <c r="N85" s="165" t="s">
        <v>676</v>
      </c>
      <c r="O85" s="165"/>
      <c r="P85" s="165"/>
      <c r="Q85" s="165"/>
      <c r="R85" s="165"/>
      <c r="S85" s="166" t="s">
        <v>939</v>
      </c>
      <c r="T85" s="165" t="s">
        <v>678</v>
      </c>
    </row>
    <row r="86" spans="1:20" ht="38.25" customHeight="1">
      <c r="A86" s="169" t="s">
        <v>668</v>
      </c>
      <c r="B86" s="186" t="s">
        <v>669</v>
      </c>
      <c r="C86" s="156" t="s">
        <v>670</v>
      </c>
      <c r="D86" s="171" t="s">
        <v>940</v>
      </c>
      <c r="E86" s="171" t="s">
        <v>941</v>
      </c>
      <c r="F86" s="171" t="s">
        <v>706</v>
      </c>
      <c r="G86" s="171" t="s">
        <v>942</v>
      </c>
      <c r="H86" s="171" t="s">
        <v>675</v>
      </c>
      <c r="I86" s="170">
        <v>8.64</v>
      </c>
      <c r="J86" s="156" t="s">
        <v>574</v>
      </c>
      <c r="K86" s="187"/>
      <c r="L86" s="172" t="s">
        <v>748</v>
      </c>
      <c r="M86" s="173" t="s">
        <v>649</v>
      </c>
      <c r="N86" s="174" t="s">
        <v>676</v>
      </c>
      <c r="O86" s="174"/>
      <c r="P86" s="174"/>
      <c r="Q86" s="174"/>
      <c r="R86" s="174"/>
      <c r="S86" s="175" t="s">
        <v>943</v>
      </c>
      <c r="T86" s="174" t="s">
        <v>678</v>
      </c>
    </row>
    <row r="87" spans="1:20" ht="38.25" customHeight="1">
      <c r="A87" s="159" t="s">
        <v>668</v>
      </c>
      <c r="B87" s="184" t="s">
        <v>669</v>
      </c>
      <c r="C87" s="154" t="s">
        <v>670</v>
      </c>
      <c r="D87" s="161" t="s">
        <v>940</v>
      </c>
      <c r="E87" s="161" t="s">
        <v>941</v>
      </c>
      <c r="F87" s="161" t="s">
        <v>706</v>
      </c>
      <c r="G87" s="161" t="s">
        <v>942</v>
      </c>
      <c r="H87" s="161" t="s">
        <v>675</v>
      </c>
      <c r="I87" s="160">
        <v>9.41</v>
      </c>
      <c r="J87" s="154" t="s">
        <v>574</v>
      </c>
      <c r="K87" s="185"/>
      <c r="L87" s="163" t="s">
        <v>748</v>
      </c>
      <c r="M87" s="164" t="s">
        <v>649</v>
      </c>
      <c r="N87" s="165" t="s">
        <v>676</v>
      </c>
      <c r="O87" s="165"/>
      <c r="P87" s="165"/>
      <c r="Q87" s="165"/>
      <c r="R87" s="165"/>
      <c r="S87" s="166" t="s">
        <v>944</v>
      </c>
      <c r="T87" s="165" t="s">
        <v>678</v>
      </c>
    </row>
    <row r="88" spans="1:20" ht="38.25" customHeight="1">
      <c r="A88" s="169" t="s">
        <v>668</v>
      </c>
      <c r="B88" s="186" t="s">
        <v>669</v>
      </c>
      <c r="C88" s="156" t="s">
        <v>670</v>
      </c>
      <c r="D88" s="171" t="s">
        <v>945</v>
      </c>
      <c r="E88" s="171" t="s">
        <v>946</v>
      </c>
      <c r="F88" s="171" t="s">
        <v>706</v>
      </c>
      <c r="G88" s="171" t="s">
        <v>947</v>
      </c>
      <c r="H88" s="171" t="s">
        <v>692</v>
      </c>
      <c r="I88" s="170">
        <v>8.56</v>
      </c>
      <c r="J88" s="156" t="s">
        <v>574</v>
      </c>
      <c r="K88" s="187"/>
      <c r="L88" s="172" t="s">
        <v>748</v>
      </c>
      <c r="M88" s="173" t="s">
        <v>649</v>
      </c>
      <c r="N88" s="174" t="s">
        <v>676</v>
      </c>
      <c r="O88" s="174"/>
      <c r="P88" s="174"/>
      <c r="Q88" s="174"/>
      <c r="R88" s="174"/>
      <c r="S88" s="175" t="s">
        <v>948</v>
      </c>
      <c r="T88" s="174" t="s">
        <v>678</v>
      </c>
    </row>
    <row r="89" spans="1:20" ht="38.25" customHeight="1">
      <c r="A89" s="159" t="s">
        <v>668</v>
      </c>
      <c r="B89" s="184" t="s">
        <v>669</v>
      </c>
      <c r="C89" s="154" t="s">
        <v>670</v>
      </c>
      <c r="D89" s="161" t="s">
        <v>945</v>
      </c>
      <c r="E89" s="161" t="s">
        <v>946</v>
      </c>
      <c r="F89" s="161" t="s">
        <v>706</v>
      </c>
      <c r="G89" s="161" t="s">
        <v>947</v>
      </c>
      <c r="H89" s="161" t="s">
        <v>692</v>
      </c>
      <c r="I89" s="160">
        <v>9.23</v>
      </c>
      <c r="J89" s="154" t="s">
        <v>574</v>
      </c>
      <c r="K89" s="185"/>
      <c r="L89" s="163" t="s">
        <v>748</v>
      </c>
      <c r="M89" s="164" t="s">
        <v>649</v>
      </c>
      <c r="N89" s="165" t="s">
        <v>676</v>
      </c>
      <c r="O89" s="165"/>
      <c r="P89" s="165"/>
      <c r="Q89" s="165"/>
      <c r="R89" s="165"/>
      <c r="S89" s="166" t="s">
        <v>949</v>
      </c>
      <c r="T89" s="165" t="s">
        <v>678</v>
      </c>
    </row>
    <row r="90" spans="1:20" ht="38.25" customHeight="1">
      <c r="A90" s="169" t="s">
        <v>668</v>
      </c>
      <c r="B90" s="186" t="s">
        <v>669</v>
      </c>
      <c r="C90" s="156" t="s">
        <v>670</v>
      </c>
      <c r="D90" s="171" t="s">
        <v>950</v>
      </c>
      <c r="E90" s="171" t="s">
        <v>951</v>
      </c>
      <c r="F90" s="171" t="s">
        <v>673</v>
      </c>
      <c r="G90" s="171" t="s">
        <v>952</v>
      </c>
      <c r="H90" s="171" t="s">
        <v>692</v>
      </c>
      <c r="I90" s="170">
        <v>9.35</v>
      </c>
      <c r="J90" s="156" t="s">
        <v>574</v>
      </c>
      <c r="K90" s="187"/>
      <c r="L90" s="172" t="s">
        <v>748</v>
      </c>
      <c r="M90" s="173" t="s">
        <v>649</v>
      </c>
      <c r="N90" s="174" t="s">
        <v>676</v>
      </c>
      <c r="O90" s="174"/>
      <c r="P90" s="174"/>
      <c r="Q90" s="174"/>
      <c r="R90" s="174"/>
      <c r="S90" s="175" t="s">
        <v>953</v>
      </c>
      <c r="T90" s="174" t="s">
        <v>678</v>
      </c>
    </row>
    <row r="91" spans="1:20" ht="38.25" customHeight="1">
      <c r="A91" s="159" t="s">
        <v>668</v>
      </c>
      <c r="B91" s="184" t="s">
        <v>669</v>
      </c>
      <c r="C91" s="154" t="s">
        <v>670</v>
      </c>
      <c r="D91" s="161" t="s">
        <v>954</v>
      </c>
      <c r="E91" s="161" t="s">
        <v>955</v>
      </c>
      <c r="F91" s="161" t="s">
        <v>673</v>
      </c>
      <c r="G91" s="161" t="s">
        <v>956</v>
      </c>
      <c r="H91" s="161" t="s">
        <v>692</v>
      </c>
      <c r="I91" s="160">
        <v>9.4</v>
      </c>
      <c r="J91" s="154" t="s">
        <v>574</v>
      </c>
      <c r="K91" s="185"/>
      <c r="L91" s="163" t="s">
        <v>748</v>
      </c>
      <c r="M91" s="164" t="s">
        <v>649</v>
      </c>
      <c r="N91" s="165" t="s">
        <v>676</v>
      </c>
      <c r="O91" s="165"/>
      <c r="P91" s="165"/>
      <c r="Q91" s="165"/>
      <c r="R91" s="165"/>
      <c r="S91" s="166" t="s">
        <v>957</v>
      </c>
      <c r="T91" s="165" t="s">
        <v>678</v>
      </c>
    </row>
    <row r="92" spans="1:20" ht="38.25" customHeight="1">
      <c r="A92" s="169" t="s">
        <v>668</v>
      </c>
      <c r="B92" s="186" t="s">
        <v>669</v>
      </c>
      <c r="C92" s="156" t="s">
        <v>670</v>
      </c>
      <c r="D92" s="171" t="s">
        <v>958</v>
      </c>
      <c r="E92" s="171" t="s">
        <v>959</v>
      </c>
      <c r="F92" s="171" t="s">
        <v>673</v>
      </c>
      <c r="G92" s="171" t="s">
        <v>960</v>
      </c>
      <c r="H92" s="171" t="s">
        <v>692</v>
      </c>
      <c r="I92" s="170">
        <v>6.93</v>
      </c>
      <c r="J92" s="156" t="s">
        <v>574</v>
      </c>
      <c r="K92" s="187"/>
      <c r="L92" s="172" t="s">
        <v>748</v>
      </c>
      <c r="M92" s="173" t="s">
        <v>649</v>
      </c>
      <c r="N92" s="174" t="s">
        <v>676</v>
      </c>
      <c r="O92" s="174"/>
      <c r="P92" s="174"/>
      <c r="Q92" s="174"/>
      <c r="R92" s="174"/>
      <c r="S92" s="175" t="s">
        <v>961</v>
      </c>
      <c r="T92" s="174" t="s">
        <v>678</v>
      </c>
    </row>
    <row r="93" spans="1:20" ht="38.25" customHeight="1">
      <c r="A93" s="159" t="s">
        <v>668</v>
      </c>
      <c r="B93" s="184" t="s">
        <v>669</v>
      </c>
      <c r="C93" s="154" t="s">
        <v>670</v>
      </c>
      <c r="D93" s="161" t="s">
        <v>695</v>
      </c>
      <c r="E93" s="161" t="s">
        <v>962</v>
      </c>
      <c r="F93" s="161" t="s">
        <v>673</v>
      </c>
      <c r="G93" s="161" t="s">
        <v>697</v>
      </c>
      <c r="H93" s="161" t="s">
        <v>692</v>
      </c>
      <c r="I93" s="160">
        <v>7.85</v>
      </c>
      <c r="J93" s="154" t="s">
        <v>574</v>
      </c>
      <c r="K93" s="185"/>
      <c r="L93" s="163" t="s">
        <v>748</v>
      </c>
      <c r="M93" s="164" t="s">
        <v>649</v>
      </c>
      <c r="N93" s="165" t="s">
        <v>676</v>
      </c>
      <c r="O93" s="165"/>
      <c r="P93" s="165"/>
      <c r="Q93" s="165"/>
      <c r="R93" s="165"/>
      <c r="S93" s="166" t="s">
        <v>963</v>
      </c>
      <c r="T93" s="165" t="s">
        <v>678</v>
      </c>
    </row>
    <row r="94" spans="1:20" ht="38.25" customHeight="1">
      <c r="A94" s="169" t="s">
        <v>668</v>
      </c>
      <c r="B94" s="186" t="s">
        <v>669</v>
      </c>
      <c r="C94" s="156" t="s">
        <v>670</v>
      </c>
      <c r="D94" s="171" t="s">
        <v>964</v>
      </c>
      <c r="E94" s="171" t="s">
        <v>965</v>
      </c>
      <c r="F94" s="171" t="s">
        <v>673</v>
      </c>
      <c r="G94" s="171" t="s">
        <v>966</v>
      </c>
      <c r="H94" s="171" t="s">
        <v>692</v>
      </c>
      <c r="I94" s="170">
        <v>10.5</v>
      </c>
      <c r="J94" s="156" t="s">
        <v>574</v>
      </c>
      <c r="K94" s="187"/>
      <c r="L94" s="172" t="s">
        <v>748</v>
      </c>
      <c r="M94" s="173" t="s">
        <v>649</v>
      </c>
      <c r="N94" s="174" t="s">
        <v>676</v>
      </c>
      <c r="O94" s="174"/>
      <c r="P94" s="174"/>
      <c r="Q94" s="174"/>
      <c r="R94" s="174"/>
      <c r="S94" s="175" t="s">
        <v>832</v>
      </c>
      <c r="T94" s="174" t="s">
        <v>678</v>
      </c>
    </row>
    <row r="95" spans="1:20" ht="38.25" customHeight="1">
      <c r="A95" s="159" t="s">
        <v>668</v>
      </c>
      <c r="B95" s="184" t="s">
        <v>669</v>
      </c>
      <c r="C95" s="154" t="s">
        <v>670</v>
      </c>
      <c r="D95" s="161" t="s">
        <v>967</v>
      </c>
      <c r="E95" s="161" t="s">
        <v>968</v>
      </c>
      <c r="F95" s="161" t="s">
        <v>673</v>
      </c>
      <c r="G95" s="161" t="s">
        <v>969</v>
      </c>
      <c r="H95" s="161" t="s">
        <v>692</v>
      </c>
      <c r="I95" s="160">
        <v>8.6300000000000008</v>
      </c>
      <c r="J95" s="154" t="s">
        <v>574</v>
      </c>
      <c r="K95" s="185"/>
      <c r="L95" s="163" t="s">
        <v>748</v>
      </c>
      <c r="M95" s="164" t="s">
        <v>649</v>
      </c>
      <c r="N95" s="165" t="s">
        <v>676</v>
      </c>
      <c r="O95" s="165"/>
      <c r="P95" s="165"/>
      <c r="Q95" s="165"/>
      <c r="R95" s="165"/>
      <c r="S95" s="166" t="s">
        <v>970</v>
      </c>
      <c r="T95" s="165" t="s">
        <v>678</v>
      </c>
    </row>
    <row r="96" spans="1:20" ht="38.25" customHeight="1">
      <c r="A96" s="169" t="s">
        <v>668</v>
      </c>
      <c r="B96" s="186" t="s">
        <v>669</v>
      </c>
      <c r="C96" s="156" t="s">
        <v>670</v>
      </c>
      <c r="D96" s="171" t="s">
        <v>971</v>
      </c>
      <c r="E96" s="171" t="s">
        <v>972</v>
      </c>
      <c r="F96" s="171" t="s">
        <v>673</v>
      </c>
      <c r="G96" s="171" t="s">
        <v>876</v>
      </c>
      <c r="H96" s="171" t="s">
        <v>692</v>
      </c>
      <c r="I96" s="170">
        <v>8.5500000000000007</v>
      </c>
      <c r="J96" s="156" t="s">
        <v>574</v>
      </c>
      <c r="K96" s="187"/>
      <c r="L96" s="172" t="s">
        <v>748</v>
      </c>
      <c r="M96" s="173" t="s">
        <v>649</v>
      </c>
      <c r="N96" s="174" t="s">
        <v>676</v>
      </c>
      <c r="O96" s="174"/>
      <c r="P96" s="174"/>
      <c r="Q96" s="174"/>
      <c r="R96" s="174"/>
      <c r="S96" s="175" t="s">
        <v>973</v>
      </c>
      <c r="T96" s="174" t="s">
        <v>678</v>
      </c>
    </row>
    <row r="97" spans="1:20" ht="38.25" customHeight="1">
      <c r="A97" s="159" t="s">
        <v>668</v>
      </c>
      <c r="B97" s="184" t="s">
        <v>669</v>
      </c>
      <c r="C97" s="154" t="s">
        <v>670</v>
      </c>
      <c r="D97" s="161" t="s">
        <v>974</v>
      </c>
      <c r="E97" s="161" t="s">
        <v>975</v>
      </c>
      <c r="F97" s="161" t="s">
        <v>673</v>
      </c>
      <c r="G97" s="161" t="s">
        <v>956</v>
      </c>
      <c r="H97" s="161" t="s">
        <v>692</v>
      </c>
      <c r="I97" s="160">
        <v>9.57</v>
      </c>
      <c r="J97" s="154" t="s">
        <v>574</v>
      </c>
      <c r="K97" s="185"/>
      <c r="L97" s="163" t="s">
        <v>748</v>
      </c>
      <c r="M97" s="164" t="s">
        <v>649</v>
      </c>
      <c r="N97" s="165" t="s">
        <v>676</v>
      </c>
      <c r="O97" s="165"/>
      <c r="P97" s="165"/>
      <c r="Q97" s="165"/>
      <c r="R97" s="165"/>
      <c r="S97" s="166" t="s">
        <v>777</v>
      </c>
      <c r="T97" s="165" t="s">
        <v>678</v>
      </c>
    </row>
    <row r="98" spans="1:20" ht="38.25" customHeight="1">
      <c r="A98" s="169" t="s">
        <v>668</v>
      </c>
      <c r="B98" s="186" t="s">
        <v>669</v>
      </c>
      <c r="C98" s="156" t="s">
        <v>670</v>
      </c>
      <c r="D98" s="171" t="s">
        <v>976</v>
      </c>
      <c r="E98" s="171" t="s">
        <v>977</v>
      </c>
      <c r="F98" s="171" t="s">
        <v>706</v>
      </c>
      <c r="G98" s="171" t="s">
        <v>956</v>
      </c>
      <c r="H98" s="171" t="s">
        <v>692</v>
      </c>
      <c r="I98" s="170">
        <v>9.5500000000000007</v>
      </c>
      <c r="J98" s="156" t="s">
        <v>574</v>
      </c>
      <c r="K98" s="187"/>
      <c r="L98" s="172" t="s">
        <v>748</v>
      </c>
      <c r="M98" s="173" t="s">
        <v>649</v>
      </c>
      <c r="N98" s="174" t="s">
        <v>676</v>
      </c>
      <c r="O98" s="174"/>
      <c r="P98" s="174"/>
      <c r="Q98" s="174"/>
      <c r="R98" s="174"/>
      <c r="S98" s="175" t="s">
        <v>978</v>
      </c>
      <c r="T98" s="174" t="s">
        <v>678</v>
      </c>
    </row>
    <row r="99" spans="1:20" ht="38.25" customHeight="1">
      <c r="A99" s="159" t="s">
        <v>668</v>
      </c>
      <c r="B99" s="184" t="s">
        <v>669</v>
      </c>
      <c r="C99" s="154" t="s">
        <v>670</v>
      </c>
      <c r="D99" s="161" t="s">
        <v>979</v>
      </c>
      <c r="E99" s="161" t="s">
        <v>980</v>
      </c>
      <c r="F99" s="161" t="s">
        <v>673</v>
      </c>
      <c r="G99" s="161" t="s">
        <v>707</v>
      </c>
      <c r="H99" s="161" t="s">
        <v>692</v>
      </c>
      <c r="I99" s="160">
        <v>8.7100000000000009</v>
      </c>
      <c r="J99" s="154" t="s">
        <v>574</v>
      </c>
      <c r="K99" s="185"/>
      <c r="L99" s="163" t="s">
        <v>748</v>
      </c>
      <c r="M99" s="164" t="s">
        <v>649</v>
      </c>
      <c r="N99" s="165" t="s">
        <v>676</v>
      </c>
      <c r="O99" s="165"/>
      <c r="P99" s="165"/>
      <c r="Q99" s="165"/>
      <c r="R99" s="165"/>
      <c r="S99" s="166" t="s">
        <v>981</v>
      </c>
      <c r="T99" s="165" t="s">
        <v>678</v>
      </c>
    </row>
    <row r="100" spans="1:20" ht="38.25" customHeight="1">
      <c r="A100" s="169" t="s">
        <v>668</v>
      </c>
      <c r="B100" s="186" t="s">
        <v>669</v>
      </c>
      <c r="C100" s="156" t="s">
        <v>670</v>
      </c>
      <c r="D100" s="171" t="s">
        <v>979</v>
      </c>
      <c r="E100" s="171" t="s">
        <v>705</v>
      </c>
      <c r="F100" s="171" t="s">
        <v>706</v>
      </c>
      <c r="G100" s="171" t="s">
        <v>707</v>
      </c>
      <c r="H100" s="171" t="s">
        <v>692</v>
      </c>
      <c r="I100" s="170">
        <v>8.85</v>
      </c>
      <c r="J100" s="156" t="s">
        <v>574</v>
      </c>
      <c r="K100" s="187"/>
      <c r="L100" s="172" t="s">
        <v>748</v>
      </c>
      <c r="M100" s="173" t="s">
        <v>649</v>
      </c>
      <c r="N100" s="174" t="s">
        <v>676</v>
      </c>
      <c r="O100" s="174"/>
      <c r="P100" s="174"/>
      <c r="Q100" s="174"/>
      <c r="R100" s="174"/>
      <c r="S100" s="175" t="s">
        <v>982</v>
      </c>
      <c r="T100" s="174" t="s">
        <v>678</v>
      </c>
    </row>
    <row r="101" spans="1:20" ht="38.25" customHeight="1">
      <c r="A101" s="159" t="s">
        <v>668</v>
      </c>
      <c r="B101" s="184" t="s">
        <v>669</v>
      </c>
      <c r="C101" s="154" t="s">
        <v>670</v>
      </c>
      <c r="D101" s="161" t="s">
        <v>983</v>
      </c>
      <c r="E101" s="161" t="s">
        <v>984</v>
      </c>
      <c r="F101" s="161" t="s">
        <v>673</v>
      </c>
      <c r="G101" s="161" t="s">
        <v>712</v>
      </c>
      <c r="H101" s="161" t="s">
        <v>692</v>
      </c>
      <c r="I101" s="160">
        <v>9.15</v>
      </c>
      <c r="J101" s="154" t="s">
        <v>574</v>
      </c>
      <c r="K101" s="185"/>
      <c r="L101" s="163" t="s">
        <v>748</v>
      </c>
      <c r="M101" s="164" t="s">
        <v>649</v>
      </c>
      <c r="N101" s="165" t="s">
        <v>676</v>
      </c>
      <c r="O101" s="165"/>
      <c r="P101" s="165"/>
      <c r="Q101" s="165"/>
      <c r="R101" s="165"/>
      <c r="S101" s="166" t="s">
        <v>821</v>
      </c>
      <c r="T101" s="165" t="s">
        <v>678</v>
      </c>
    </row>
    <row r="102" spans="1:20" ht="38.25" customHeight="1">
      <c r="A102" s="169" t="s">
        <v>668</v>
      </c>
      <c r="B102" s="186" t="s">
        <v>669</v>
      </c>
      <c r="C102" s="156" t="s">
        <v>670</v>
      </c>
      <c r="D102" s="171" t="s">
        <v>985</v>
      </c>
      <c r="E102" s="171" t="s">
        <v>986</v>
      </c>
      <c r="F102" s="171" t="s">
        <v>673</v>
      </c>
      <c r="G102" s="171" t="s">
        <v>987</v>
      </c>
      <c r="H102" s="171" t="s">
        <v>692</v>
      </c>
      <c r="I102" s="170">
        <v>7.85</v>
      </c>
      <c r="J102" s="156" t="s">
        <v>574</v>
      </c>
      <c r="K102" s="187"/>
      <c r="L102" s="172" t="s">
        <v>748</v>
      </c>
      <c r="M102" s="173" t="s">
        <v>649</v>
      </c>
      <c r="N102" s="174" t="s">
        <v>676</v>
      </c>
      <c r="O102" s="174"/>
      <c r="P102" s="174"/>
      <c r="Q102" s="174"/>
      <c r="R102" s="174"/>
      <c r="S102" s="175" t="s">
        <v>963</v>
      </c>
      <c r="T102" s="174" t="s">
        <v>678</v>
      </c>
    </row>
    <row r="103" spans="1:20" ht="38.25" customHeight="1">
      <c r="A103" s="159" t="s">
        <v>668</v>
      </c>
      <c r="B103" s="184" t="s">
        <v>669</v>
      </c>
      <c r="C103" s="154" t="s">
        <v>670</v>
      </c>
      <c r="D103" s="161" t="s">
        <v>985</v>
      </c>
      <c r="E103" s="161" t="s">
        <v>988</v>
      </c>
      <c r="F103" s="161" t="s">
        <v>706</v>
      </c>
      <c r="G103" s="161" t="s">
        <v>987</v>
      </c>
      <c r="H103" s="161" t="s">
        <v>692</v>
      </c>
      <c r="I103" s="160">
        <v>8.94</v>
      </c>
      <c r="J103" s="154" t="s">
        <v>574</v>
      </c>
      <c r="K103" s="185"/>
      <c r="L103" s="163" t="s">
        <v>748</v>
      </c>
      <c r="M103" s="164" t="s">
        <v>649</v>
      </c>
      <c r="N103" s="165" t="s">
        <v>676</v>
      </c>
      <c r="O103" s="165"/>
      <c r="P103" s="165"/>
      <c r="Q103" s="165"/>
      <c r="R103" s="165"/>
      <c r="S103" s="166" t="s">
        <v>989</v>
      </c>
      <c r="T103" s="165" t="s">
        <v>678</v>
      </c>
    </row>
    <row r="104" spans="1:20" ht="38.25" customHeight="1">
      <c r="A104" s="169" t="s">
        <v>668</v>
      </c>
      <c r="B104" s="186" t="s">
        <v>669</v>
      </c>
      <c r="C104" s="156" t="s">
        <v>670</v>
      </c>
      <c r="D104" s="171" t="s">
        <v>985</v>
      </c>
      <c r="E104" s="171" t="s">
        <v>988</v>
      </c>
      <c r="F104" s="171" t="s">
        <v>706</v>
      </c>
      <c r="G104" s="171" t="s">
        <v>987</v>
      </c>
      <c r="H104" s="171" t="s">
        <v>692</v>
      </c>
      <c r="I104" s="170">
        <v>10.5</v>
      </c>
      <c r="J104" s="156" t="s">
        <v>574</v>
      </c>
      <c r="K104" s="187"/>
      <c r="L104" s="172" t="s">
        <v>748</v>
      </c>
      <c r="M104" s="173" t="s">
        <v>649</v>
      </c>
      <c r="N104" s="174" t="s">
        <v>676</v>
      </c>
      <c r="O104" s="174"/>
      <c r="P104" s="174"/>
      <c r="Q104" s="174"/>
      <c r="R104" s="174"/>
      <c r="S104" s="175" t="s">
        <v>832</v>
      </c>
      <c r="T104" s="174" t="s">
        <v>678</v>
      </c>
    </row>
    <row r="105" spans="1:20" ht="38.25" customHeight="1">
      <c r="A105" s="159" t="s">
        <v>668</v>
      </c>
      <c r="B105" s="184" t="s">
        <v>669</v>
      </c>
      <c r="C105" s="154" t="s">
        <v>670</v>
      </c>
      <c r="D105" s="161" t="s">
        <v>985</v>
      </c>
      <c r="E105" s="161" t="s">
        <v>990</v>
      </c>
      <c r="F105" s="161" t="s">
        <v>673</v>
      </c>
      <c r="G105" s="161" t="s">
        <v>987</v>
      </c>
      <c r="H105" s="161" t="s">
        <v>692</v>
      </c>
      <c r="I105" s="160">
        <v>9.36</v>
      </c>
      <c r="J105" s="154" t="s">
        <v>574</v>
      </c>
      <c r="K105" s="185"/>
      <c r="L105" s="163" t="s">
        <v>748</v>
      </c>
      <c r="M105" s="164" t="s">
        <v>649</v>
      </c>
      <c r="N105" s="165" t="s">
        <v>676</v>
      </c>
      <c r="O105" s="165"/>
      <c r="P105" s="165"/>
      <c r="Q105" s="165"/>
      <c r="R105" s="165"/>
      <c r="S105" s="166" t="s">
        <v>991</v>
      </c>
      <c r="T105" s="165" t="s">
        <v>678</v>
      </c>
    </row>
    <row r="106" spans="1:20" ht="38.25" customHeight="1">
      <c r="A106" s="169" t="s">
        <v>668</v>
      </c>
      <c r="B106" s="186" t="s">
        <v>669</v>
      </c>
      <c r="C106" s="156" t="s">
        <v>670</v>
      </c>
      <c r="D106" s="171" t="s">
        <v>992</v>
      </c>
      <c r="E106" s="171" t="s">
        <v>993</v>
      </c>
      <c r="F106" s="171" t="s">
        <v>673</v>
      </c>
      <c r="G106" s="171" t="s">
        <v>994</v>
      </c>
      <c r="H106" s="171" t="s">
        <v>692</v>
      </c>
      <c r="I106" s="170">
        <v>9.3000000000000007</v>
      </c>
      <c r="J106" s="156" t="s">
        <v>574</v>
      </c>
      <c r="K106" s="187"/>
      <c r="L106" s="172" t="s">
        <v>748</v>
      </c>
      <c r="M106" s="173" t="s">
        <v>649</v>
      </c>
      <c r="N106" s="174" t="s">
        <v>676</v>
      </c>
      <c r="O106" s="174"/>
      <c r="P106" s="174"/>
      <c r="Q106" s="174"/>
      <c r="R106" s="174"/>
      <c r="S106" s="175" t="s">
        <v>995</v>
      </c>
      <c r="T106" s="174" t="s">
        <v>678</v>
      </c>
    </row>
    <row r="107" spans="1:20" ht="38.25" customHeight="1">
      <c r="A107" s="159" t="s">
        <v>668</v>
      </c>
      <c r="B107" s="184" t="s">
        <v>669</v>
      </c>
      <c r="C107" s="154" t="s">
        <v>670</v>
      </c>
      <c r="D107" s="161" t="s">
        <v>714</v>
      </c>
      <c r="E107" s="161" t="s">
        <v>996</v>
      </c>
      <c r="F107" s="161" t="s">
        <v>673</v>
      </c>
      <c r="G107" s="161" t="s">
        <v>697</v>
      </c>
      <c r="H107" s="161" t="s">
        <v>716</v>
      </c>
      <c r="I107" s="160">
        <v>3.55</v>
      </c>
      <c r="J107" s="154" t="s">
        <v>574</v>
      </c>
      <c r="K107" s="185"/>
      <c r="L107" s="163" t="s">
        <v>748</v>
      </c>
      <c r="M107" s="164" t="s">
        <v>649</v>
      </c>
      <c r="N107" s="165" t="s">
        <v>676</v>
      </c>
      <c r="O107" s="165"/>
      <c r="P107" s="165"/>
      <c r="Q107" s="165"/>
      <c r="R107" s="165"/>
      <c r="S107" s="166" t="s">
        <v>997</v>
      </c>
      <c r="T107" s="165" t="s">
        <v>678</v>
      </c>
    </row>
    <row r="108" spans="1:20" ht="38.25" customHeight="1">
      <c r="A108" s="169" t="s">
        <v>668</v>
      </c>
      <c r="B108" s="186" t="s">
        <v>669</v>
      </c>
      <c r="C108" s="156" t="s">
        <v>670</v>
      </c>
      <c r="D108" s="171" t="s">
        <v>998</v>
      </c>
      <c r="E108" s="171" t="s">
        <v>999</v>
      </c>
      <c r="F108" s="171" t="s">
        <v>673</v>
      </c>
      <c r="G108" s="171" t="s">
        <v>1000</v>
      </c>
      <c r="H108" s="171" t="s">
        <v>716</v>
      </c>
      <c r="I108" s="170">
        <v>5.83</v>
      </c>
      <c r="J108" s="156" t="s">
        <v>574</v>
      </c>
      <c r="K108" s="187"/>
      <c r="L108" s="172" t="s">
        <v>748</v>
      </c>
      <c r="M108" s="173" t="s">
        <v>649</v>
      </c>
      <c r="N108" s="174" t="s">
        <v>676</v>
      </c>
      <c r="O108" s="174"/>
      <c r="P108" s="174"/>
      <c r="Q108" s="174"/>
      <c r="R108" s="174"/>
      <c r="S108" s="175" t="s">
        <v>1001</v>
      </c>
      <c r="T108" s="174" t="s">
        <v>678</v>
      </c>
    </row>
    <row r="109" spans="1:20" ht="38.25" customHeight="1">
      <c r="A109" s="159" t="s">
        <v>668</v>
      </c>
      <c r="B109" s="184" t="s">
        <v>669</v>
      </c>
      <c r="C109" s="154" t="s">
        <v>670</v>
      </c>
      <c r="D109" s="161" t="s">
        <v>1002</v>
      </c>
      <c r="E109" s="161" t="s">
        <v>1003</v>
      </c>
      <c r="F109" s="161" t="s">
        <v>673</v>
      </c>
      <c r="G109" s="161" t="s">
        <v>820</v>
      </c>
      <c r="H109" s="161" t="s">
        <v>716</v>
      </c>
      <c r="I109" s="160">
        <v>8.84</v>
      </c>
      <c r="J109" s="154" t="s">
        <v>574</v>
      </c>
      <c r="K109" s="185"/>
      <c r="L109" s="163" t="s">
        <v>748</v>
      </c>
      <c r="M109" s="164" t="s">
        <v>649</v>
      </c>
      <c r="N109" s="165" t="s">
        <v>676</v>
      </c>
      <c r="O109" s="165"/>
      <c r="P109" s="165"/>
      <c r="Q109" s="165"/>
      <c r="R109" s="165"/>
      <c r="S109" s="166" t="s">
        <v>792</v>
      </c>
      <c r="T109" s="165" t="s">
        <v>678</v>
      </c>
    </row>
    <row r="110" spans="1:20" ht="38.25" customHeight="1">
      <c r="A110" s="169" t="s">
        <v>668</v>
      </c>
      <c r="B110" s="186" t="s">
        <v>669</v>
      </c>
      <c r="C110" s="156" t="s">
        <v>670</v>
      </c>
      <c r="D110" s="171" t="s">
        <v>1004</v>
      </c>
      <c r="E110" s="171" t="s">
        <v>1005</v>
      </c>
      <c r="F110" s="171" t="s">
        <v>673</v>
      </c>
      <c r="G110" s="171" t="s">
        <v>1006</v>
      </c>
      <c r="H110" s="171" t="s">
        <v>716</v>
      </c>
      <c r="I110" s="170">
        <v>3.55</v>
      </c>
      <c r="J110" s="156" t="s">
        <v>574</v>
      </c>
      <c r="K110" s="187"/>
      <c r="L110" s="172" t="s">
        <v>748</v>
      </c>
      <c r="M110" s="173" t="s">
        <v>649</v>
      </c>
      <c r="N110" s="174" t="s">
        <v>676</v>
      </c>
      <c r="O110" s="174"/>
      <c r="P110" s="174"/>
      <c r="Q110" s="174"/>
      <c r="R110" s="174"/>
      <c r="S110" s="175" t="s">
        <v>997</v>
      </c>
      <c r="T110" s="174" t="s">
        <v>678</v>
      </c>
    </row>
    <row r="111" spans="1:20" ht="38.25" customHeight="1">
      <c r="A111" s="159" t="s">
        <v>668</v>
      </c>
      <c r="B111" s="184" t="s">
        <v>669</v>
      </c>
      <c r="C111" s="154" t="s">
        <v>670</v>
      </c>
      <c r="D111" s="161" t="s">
        <v>1007</v>
      </c>
      <c r="E111" s="161" t="s">
        <v>1008</v>
      </c>
      <c r="F111" s="161" t="s">
        <v>673</v>
      </c>
      <c r="G111" s="161" t="s">
        <v>716</v>
      </c>
      <c r="H111" s="161" t="s">
        <v>716</v>
      </c>
      <c r="I111" s="160">
        <v>7.52</v>
      </c>
      <c r="J111" s="154" t="s">
        <v>574</v>
      </c>
      <c r="K111" s="185"/>
      <c r="L111" s="163" t="s">
        <v>748</v>
      </c>
      <c r="M111" s="164" t="s">
        <v>649</v>
      </c>
      <c r="N111" s="165" t="s">
        <v>676</v>
      </c>
      <c r="O111" s="165"/>
      <c r="P111" s="165"/>
      <c r="Q111" s="165"/>
      <c r="R111" s="165"/>
      <c r="S111" s="166" t="s">
        <v>1009</v>
      </c>
      <c r="T111" s="165" t="s">
        <v>678</v>
      </c>
    </row>
    <row r="112" spans="1:20" ht="38.25" customHeight="1">
      <c r="A112" s="169" t="s">
        <v>668</v>
      </c>
      <c r="B112" s="186" t="s">
        <v>669</v>
      </c>
      <c r="C112" s="156" t="s">
        <v>670</v>
      </c>
      <c r="D112" s="171" t="s">
        <v>1010</v>
      </c>
      <c r="E112" s="171" t="s">
        <v>1011</v>
      </c>
      <c r="F112" s="171" t="s">
        <v>673</v>
      </c>
      <c r="G112" s="171"/>
      <c r="H112" s="171" t="s">
        <v>732</v>
      </c>
      <c r="I112" s="170">
        <v>8.17</v>
      </c>
      <c r="J112" s="156" t="s">
        <v>574</v>
      </c>
      <c r="K112" s="187"/>
      <c r="L112" s="172" t="s">
        <v>748</v>
      </c>
      <c r="M112" s="173" t="s">
        <v>649</v>
      </c>
      <c r="N112" s="174" t="s">
        <v>676</v>
      </c>
      <c r="O112" s="174"/>
      <c r="P112" s="174"/>
      <c r="Q112" s="174"/>
      <c r="R112" s="174"/>
      <c r="S112" s="175" t="s">
        <v>1012</v>
      </c>
      <c r="T112" s="174" t="s">
        <v>678</v>
      </c>
    </row>
    <row r="113" spans="1:20" ht="38.25" customHeight="1">
      <c r="A113" s="159" t="s">
        <v>668</v>
      </c>
      <c r="B113" s="184" t="s">
        <v>669</v>
      </c>
      <c r="C113" s="154" t="s">
        <v>670</v>
      </c>
      <c r="D113" s="161" t="s">
        <v>1013</v>
      </c>
      <c r="E113" s="161" t="s">
        <v>1014</v>
      </c>
      <c r="F113" s="161" t="s">
        <v>673</v>
      </c>
      <c r="G113" s="161"/>
      <c r="H113" s="161" t="s">
        <v>732</v>
      </c>
      <c r="I113" s="160">
        <v>8.3800000000000008</v>
      </c>
      <c r="J113" s="154" t="s">
        <v>574</v>
      </c>
      <c r="K113" s="185"/>
      <c r="L113" s="163" t="s">
        <v>748</v>
      </c>
      <c r="M113" s="164" t="s">
        <v>649</v>
      </c>
      <c r="N113" s="165" t="s">
        <v>676</v>
      </c>
      <c r="O113" s="165"/>
      <c r="P113" s="165"/>
      <c r="Q113" s="165"/>
      <c r="R113" s="165"/>
      <c r="S113" s="166" t="s">
        <v>794</v>
      </c>
      <c r="T113" s="165" t="s">
        <v>678</v>
      </c>
    </row>
    <row r="114" spans="1:20" ht="38.25" customHeight="1">
      <c r="A114" s="169" t="s">
        <v>668</v>
      </c>
      <c r="B114" s="186" t="s">
        <v>669</v>
      </c>
      <c r="C114" s="156" t="s">
        <v>670</v>
      </c>
      <c r="D114" s="171" t="s">
        <v>1015</v>
      </c>
      <c r="E114" s="171" t="s">
        <v>1016</v>
      </c>
      <c r="F114" s="171" t="s">
        <v>673</v>
      </c>
      <c r="G114" s="171"/>
      <c r="H114" s="171" t="s">
        <v>732</v>
      </c>
      <c r="I114" s="170">
        <v>10</v>
      </c>
      <c r="J114" s="156" t="s">
        <v>574</v>
      </c>
      <c r="K114" s="187"/>
      <c r="L114" s="172" t="s">
        <v>748</v>
      </c>
      <c r="M114" s="173" t="s">
        <v>649</v>
      </c>
      <c r="N114" s="174" t="s">
        <v>676</v>
      </c>
      <c r="O114" s="174"/>
      <c r="P114" s="174"/>
      <c r="Q114" s="174"/>
      <c r="R114" s="174"/>
      <c r="S114" s="175" t="s">
        <v>880</v>
      </c>
      <c r="T114" s="174" t="s">
        <v>678</v>
      </c>
    </row>
    <row r="115" spans="1:20" ht="38.25" customHeight="1">
      <c r="A115" s="159" t="s">
        <v>668</v>
      </c>
      <c r="B115" s="184" t="s">
        <v>669</v>
      </c>
      <c r="C115" s="154" t="s">
        <v>670</v>
      </c>
      <c r="D115" s="161" t="s">
        <v>1017</v>
      </c>
      <c r="E115" s="161" t="s">
        <v>1018</v>
      </c>
      <c r="F115" s="161" t="s">
        <v>673</v>
      </c>
      <c r="G115" s="161" t="s">
        <v>1019</v>
      </c>
      <c r="H115" s="161" t="s">
        <v>732</v>
      </c>
      <c r="I115" s="160">
        <v>7.8</v>
      </c>
      <c r="J115" s="154" t="s">
        <v>574</v>
      </c>
      <c r="K115" s="185"/>
      <c r="L115" s="163" t="s">
        <v>748</v>
      </c>
      <c r="M115" s="164" t="s">
        <v>649</v>
      </c>
      <c r="N115" s="165" t="s">
        <v>676</v>
      </c>
      <c r="O115" s="165"/>
      <c r="P115" s="165"/>
      <c r="Q115" s="165"/>
      <c r="R115" s="165"/>
      <c r="S115" s="166" t="s">
        <v>1020</v>
      </c>
      <c r="T115" s="165" t="s">
        <v>678</v>
      </c>
    </row>
    <row r="116" spans="1:20" ht="38.25" customHeight="1">
      <c r="A116" s="169" t="s">
        <v>668</v>
      </c>
      <c r="B116" s="186" t="s">
        <v>669</v>
      </c>
      <c r="C116" s="156" t="s">
        <v>670</v>
      </c>
      <c r="D116" s="171" t="s">
        <v>1017</v>
      </c>
      <c r="E116" s="171" t="s">
        <v>1021</v>
      </c>
      <c r="F116" s="171" t="s">
        <v>673</v>
      </c>
      <c r="G116" s="171" t="s">
        <v>1019</v>
      </c>
      <c r="H116" s="171" t="s">
        <v>732</v>
      </c>
      <c r="I116" s="170">
        <v>7.52</v>
      </c>
      <c r="J116" s="156" t="s">
        <v>574</v>
      </c>
      <c r="K116" s="187"/>
      <c r="L116" s="172" t="s">
        <v>748</v>
      </c>
      <c r="M116" s="173" t="s">
        <v>649</v>
      </c>
      <c r="N116" s="174" t="s">
        <v>676</v>
      </c>
      <c r="O116" s="174"/>
      <c r="P116" s="174"/>
      <c r="Q116" s="174"/>
      <c r="R116" s="174"/>
      <c r="S116" s="175" t="s">
        <v>1009</v>
      </c>
      <c r="T116" s="174" t="s">
        <v>678</v>
      </c>
    </row>
    <row r="117" spans="1:20" ht="38.25" customHeight="1">
      <c r="A117" s="159" t="s">
        <v>668</v>
      </c>
      <c r="B117" s="184" t="s">
        <v>669</v>
      </c>
      <c r="C117" s="154" t="s">
        <v>670</v>
      </c>
      <c r="D117" s="161" t="s">
        <v>1022</v>
      </c>
      <c r="E117" s="161" t="s">
        <v>1023</v>
      </c>
      <c r="F117" s="161" t="s">
        <v>673</v>
      </c>
      <c r="G117" s="161" t="s">
        <v>1024</v>
      </c>
      <c r="H117" s="161" t="s">
        <v>732</v>
      </c>
      <c r="I117" s="160">
        <v>8.66</v>
      </c>
      <c r="J117" s="154" t="s">
        <v>574</v>
      </c>
      <c r="K117" s="185"/>
      <c r="L117" s="163" t="s">
        <v>748</v>
      </c>
      <c r="M117" s="164" t="s">
        <v>649</v>
      </c>
      <c r="N117" s="165" t="s">
        <v>676</v>
      </c>
      <c r="O117" s="165"/>
      <c r="P117" s="165"/>
      <c r="Q117" s="165"/>
      <c r="R117" s="165"/>
      <c r="S117" s="166" t="s">
        <v>1025</v>
      </c>
      <c r="T117" s="165" t="s">
        <v>678</v>
      </c>
    </row>
    <row r="118" spans="1:20" ht="38.25" customHeight="1">
      <c r="A118" s="169" t="s">
        <v>668</v>
      </c>
      <c r="B118" s="186" t="s">
        <v>669</v>
      </c>
      <c r="C118" s="156" t="s">
        <v>670</v>
      </c>
      <c r="D118" s="171" t="s">
        <v>1026</v>
      </c>
      <c r="E118" s="171" t="s">
        <v>1027</v>
      </c>
      <c r="F118" s="171" t="s">
        <v>673</v>
      </c>
      <c r="G118" s="171" t="s">
        <v>1028</v>
      </c>
      <c r="H118" s="171" t="s">
        <v>732</v>
      </c>
      <c r="I118" s="170">
        <v>11.5</v>
      </c>
      <c r="J118" s="156" t="s">
        <v>574</v>
      </c>
      <c r="K118" s="187"/>
      <c r="L118" s="172" t="s">
        <v>748</v>
      </c>
      <c r="M118" s="173" t="s">
        <v>649</v>
      </c>
      <c r="N118" s="174" t="s">
        <v>676</v>
      </c>
      <c r="O118" s="174"/>
      <c r="P118" s="174"/>
      <c r="Q118" s="174"/>
      <c r="R118" s="174"/>
      <c r="S118" s="175" t="s">
        <v>1029</v>
      </c>
      <c r="T118" s="174" t="s">
        <v>678</v>
      </c>
    </row>
    <row r="119" spans="1:20" ht="38.25" customHeight="1">
      <c r="A119" s="159" t="s">
        <v>668</v>
      </c>
      <c r="B119" s="184" t="s">
        <v>669</v>
      </c>
      <c r="C119" s="154" t="s">
        <v>670</v>
      </c>
      <c r="D119" s="161" t="s">
        <v>1030</v>
      </c>
      <c r="E119" s="161" t="s">
        <v>1031</v>
      </c>
      <c r="F119" s="161" t="s">
        <v>673</v>
      </c>
      <c r="G119" s="161" t="s">
        <v>1032</v>
      </c>
      <c r="H119" s="161" t="s">
        <v>732</v>
      </c>
      <c r="I119" s="160">
        <v>9.73</v>
      </c>
      <c r="J119" s="154" t="s">
        <v>574</v>
      </c>
      <c r="K119" s="185"/>
      <c r="L119" s="163" t="s">
        <v>748</v>
      </c>
      <c r="M119" s="164" t="s">
        <v>649</v>
      </c>
      <c r="N119" s="165" t="s">
        <v>676</v>
      </c>
      <c r="O119" s="165"/>
      <c r="P119" s="165"/>
      <c r="Q119" s="165"/>
      <c r="R119" s="165"/>
      <c r="S119" s="166" t="s">
        <v>1033</v>
      </c>
      <c r="T119" s="165" t="s">
        <v>678</v>
      </c>
    </row>
    <row r="120" spans="1:20" ht="38.25" customHeight="1">
      <c r="A120" s="169" t="s">
        <v>668</v>
      </c>
      <c r="B120" s="186" t="s">
        <v>669</v>
      </c>
      <c r="C120" s="156" t="s">
        <v>670</v>
      </c>
      <c r="D120" s="171" t="s">
        <v>1034</v>
      </c>
      <c r="E120" s="171" t="s">
        <v>1035</v>
      </c>
      <c r="F120" s="171" t="s">
        <v>673</v>
      </c>
      <c r="G120" s="171"/>
      <c r="H120" s="171" t="s">
        <v>732</v>
      </c>
      <c r="I120" s="170">
        <v>9.4700000000000006</v>
      </c>
      <c r="J120" s="156" t="s">
        <v>574</v>
      </c>
      <c r="K120" s="187"/>
      <c r="L120" s="172" t="s">
        <v>748</v>
      </c>
      <c r="M120" s="173" t="s">
        <v>649</v>
      </c>
      <c r="N120" s="174" t="s">
        <v>676</v>
      </c>
      <c r="O120" s="174"/>
      <c r="P120" s="174"/>
      <c r="Q120" s="174"/>
      <c r="R120" s="174"/>
      <c r="S120" s="175" t="s">
        <v>1036</v>
      </c>
      <c r="T120" s="174" t="s">
        <v>678</v>
      </c>
    </row>
    <row r="121" spans="1:20" ht="38.25" customHeight="1">
      <c r="A121" s="159" t="s">
        <v>668</v>
      </c>
      <c r="B121" s="184" t="s">
        <v>669</v>
      </c>
      <c r="C121" s="154" t="s">
        <v>670</v>
      </c>
      <c r="D121" s="161" t="s">
        <v>1037</v>
      </c>
      <c r="E121" s="161" t="s">
        <v>1038</v>
      </c>
      <c r="F121" s="161" t="s">
        <v>673</v>
      </c>
      <c r="G121" s="161" t="s">
        <v>1039</v>
      </c>
      <c r="H121" s="161" t="s">
        <v>732</v>
      </c>
      <c r="I121" s="160">
        <v>44.7</v>
      </c>
      <c r="J121" s="154" t="s">
        <v>574</v>
      </c>
      <c r="K121" s="185"/>
      <c r="L121" s="163" t="s">
        <v>748</v>
      </c>
      <c r="M121" s="164" t="s">
        <v>649</v>
      </c>
      <c r="N121" s="165" t="s">
        <v>676</v>
      </c>
      <c r="O121" s="165"/>
      <c r="P121" s="165"/>
      <c r="Q121" s="165"/>
      <c r="R121" s="165"/>
      <c r="S121" s="166" t="s">
        <v>1040</v>
      </c>
      <c r="T121" s="165" t="s">
        <v>678</v>
      </c>
    </row>
    <row r="122" spans="1:20" ht="38.25" customHeight="1">
      <c r="A122" s="169" t="s">
        <v>668</v>
      </c>
      <c r="B122" s="186" t="s">
        <v>669</v>
      </c>
      <c r="C122" s="156" t="s">
        <v>670</v>
      </c>
      <c r="D122" s="171" t="s">
        <v>1041</v>
      </c>
      <c r="E122" s="171" t="s">
        <v>1042</v>
      </c>
      <c r="F122" s="171" t="s">
        <v>673</v>
      </c>
      <c r="G122" s="171" t="s">
        <v>1043</v>
      </c>
      <c r="H122" s="171" t="s">
        <v>732</v>
      </c>
      <c r="I122" s="170">
        <v>9.8000000000000007</v>
      </c>
      <c r="J122" s="156" t="s">
        <v>574</v>
      </c>
      <c r="K122" s="187"/>
      <c r="L122" s="172" t="s">
        <v>748</v>
      </c>
      <c r="M122" s="173" t="s">
        <v>649</v>
      </c>
      <c r="N122" s="174" t="s">
        <v>676</v>
      </c>
      <c r="O122" s="174"/>
      <c r="P122" s="174"/>
      <c r="Q122" s="174"/>
      <c r="R122" s="174"/>
      <c r="S122" s="175" t="s">
        <v>1044</v>
      </c>
      <c r="T122" s="174" t="s">
        <v>678</v>
      </c>
    </row>
    <row r="123" spans="1:20" ht="38.25" customHeight="1">
      <c r="A123" s="159" t="s">
        <v>668</v>
      </c>
      <c r="B123" s="184" t="s">
        <v>669</v>
      </c>
      <c r="C123" s="154" t="s">
        <v>670</v>
      </c>
      <c r="D123" s="161" t="s">
        <v>1045</v>
      </c>
      <c r="E123" s="161" t="s">
        <v>1046</v>
      </c>
      <c r="F123" s="161" t="s">
        <v>673</v>
      </c>
      <c r="G123" s="161"/>
      <c r="H123" s="161" t="s">
        <v>732</v>
      </c>
      <c r="I123" s="160">
        <v>9.35</v>
      </c>
      <c r="J123" s="154" t="s">
        <v>574</v>
      </c>
      <c r="K123" s="185"/>
      <c r="L123" s="163" t="s">
        <v>748</v>
      </c>
      <c r="M123" s="164" t="s">
        <v>649</v>
      </c>
      <c r="N123" s="165" t="s">
        <v>676</v>
      </c>
      <c r="O123" s="165"/>
      <c r="P123" s="165"/>
      <c r="Q123" s="165"/>
      <c r="R123" s="165"/>
      <c r="S123" s="166" t="s">
        <v>953</v>
      </c>
      <c r="T123" s="165" t="s">
        <v>678</v>
      </c>
    </row>
    <row r="124" spans="1:20" ht="38.25" customHeight="1">
      <c r="A124" s="169" t="s">
        <v>668</v>
      </c>
      <c r="B124" s="186" t="s">
        <v>669</v>
      </c>
      <c r="C124" s="156" t="s">
        <v>670</v>
      </c>
      <c r="D124" s="171" t="s">
        <v>1047</v>
      </c>
      <c r="E124" s="171" t="s">
        <v>1048</v>
      </c>
      <c r="F124" s="171" t="s">
        <v>673</v>
      </c>
      <c r="G124" s="171" t="s">
        <v>1049</v>
      </c>
      <c r="H124" s="171" t="s">
        <v>732</v>
      </c>
      <c r="I124" s="170">
        <v>9.7200000000000006</v>
      </c>
      <c r="J124" s="156" t="s">
        <v>574</v>
      </c>
      <c r="K124" s="187"/>
      <c r="L124" s="172" t="s">
        <v>748</v>
      </c>
      <c r="M124" s="173" t="s">
        <v>649</v>
      </c>
      <c r="N124" s="174" t="s">
        <v>676</v>
      </c>
      <c r="O124" s="174"/>
      <c r="P124" s="174"/>
      <c r="Q124" s="174"/>
      <c r="R124" s="174"/>
      <c r="S124" s="175" t="s">
        <v>1050</v>
      </c>
      <c r="T124" s="174" t="s">
        <v>678</v>
      </c>
    </row>
    <row r="125" spans="1:20" ht="38.25" customHeight="1">
      <c r="A125" s="159" t="s">
        <v>668</v>
      </c>
      <c r="B125" s="184" t="s">
        <v>669</v>
      </c>
      <c r="C125" s="154" t="s">
        <v>670</v>
      </c>
      <c r="D125" s="161" t="s">
        <v>1051</v>
      </c>
      <c r="E125" s="161" t="s">
        <v>1052</v>
      </c>
      <c r="F125" s="161" t="s">
        <v>673</v>
      </c>
      <c r="G125" s="161" t="s">
        <v>1053</v>
      </c>
      <c r="H125" s="161" t="s">
        <v>732</v>
      </c>
      <c r="I125" s="160">
        <v>9.8699999999999992</v>
      </c>
      <c r="J125" s="154" t="s">
        <v>574</v>
      </c>
      <c r="K125" s="185"/>
      <c r="L125" s="163" t="s">
        <v>748</v>
      </c>
      <c r="M125" s="164" t="s">
        <v>649</v>
      </c>
      <c r="N125" s="165" t="s">
        <v>676</v>
      </c>
      <c r="O125" s="165"/>
      <c r="P125" s="165"/>
      <c r="Q125" s="165"/>
      <c r="R125" s="165"/>
      <c r="S125" s="166" t="s">
        <v>840</v>
      </c>
      <c r="T125" s="165" t="s">
        <v>678</v>
      </c>
    </row>
    <row r="126" spans="1:20" ht="38.25" customHeight="1">
      <c r="A126" s="169" t="s">
        <v>668</v>
      </c>
      <c r="B126" s="186" t="s">
        <v>669</v>
      </c>
      <c r="C126" s="156" t="s">
        <v>670</v>
      </c>
      <c r="D126" s="171" t="s">
        <v>1054</v>
      </c>
      <c r="E126" s="171" t="s">
        <v>1055</v>
      </c>
      <c r="F126" s="171" t="s">
        <v>673</v>
      </c>
      <c r="G126" s="171" t="s">
        <v>1056</v>
      </c>
      <c r="H126" s="171" t="s">
        <v>732</v>
      </c>
      <c r="I126" s="170">
        <v>8.93</v>
      </c>
      <c r="J126" s="156" t="s">
        <v>574</v>
      </c>
      <c r="K126" s="187"/>
      <c r="L126" s="172" t="s">
        <v>748</v>
      </c>
      <c r="M126" s="173" t="s">
        <v>649</v>
      </c>
      <c r="N126" s="174" t="s">
        <v>676</v>
      </c>
      <c r="O126" s="174"/>
      <c r="P126" s="174"/>
      <c r="Q126" s="174"/>
      <c r="R126" s="174"/>
      <c r="S126" s="175" t="s">
        <v>1057</v>
      </c>
      <c r="T126" s="174" t="s">
        <v>678</v>
      </c>
    </row>
    <row r="127" spans="1:20" ht="38.25" customHeight="1">
      <c r="A127" s="159" t="s">
        <v>668</v>
      </c>
      <c r="B127" s="184" t="s">
        <v>669</v>
      </c>
      <c r="C127" s="154" t="s">
        <v>670</v>
      </c>
      <c r="D127" s="161" t="s">
        <v>1058</v>
      </c>
      <c r="E127" s="161" t="s">
        <v>1059</v>
      </c>
      <c r="F127" s="161" t="s">
        <v>673</v>
      </c>
      <c r="G127" s="161" t="s">
        <v>1060</v>
      </c>
      <c r="H127" s="161" t="s">
        <v>732</v>
      </c>
      <c r="I127" s="160">
        <v>9.4600000000000009</v>
      </c>
      <c r="J127" s="154" t="s">
        <v>574</v>
      </c>
      <c r="K127" s="185"/>
      <c r="L127" s="163" t="s">
        <v>748</v>
      </c>
      <c r="M127" s="164" t="s">
        <v>649</v>
      </c>
      <c r="N127" s="165" t="s">
        <v>676</v>
      </c>
      <c r="O127" s="165"/>
      <c r="P127" s="165"/>
      <c r="Q127" s="165"/>
      <c r="R127" s="165"/>
      <c r="S127" s="166" t="s">
        <v>811</v>
      </c>
      <c r="T127" s="165" t="s">
        <v>678</v>
      </c>
    </row>
    <row r="128" spans="1:20" ht="38.25" customHeight="1">
      <c r="A128" s="169" t="s">
        <v>668</v>
      </c>
      <c r="B128" s="186" t="s">
        <v>669</v>
      </c>
      <c r="C128" s="156" t="s">
        <v>670</v>
      </c>
      <c r="D128" s="171" t="s">
        <v>1061</v>
      </c>
      <c r="E128" s="171" t="s">
        <v>1062</v>
      </c>
      <c r="F128" s="171" t="s">
        <v>706</v>
      </c>
      <c r="G128" s="171" t="s">
        <v>1063</v>
      </c>
      <c r="H128" s="171" t="s">
        <v>732</v>
      </c>
      <c r="I128" s="170">
        <v>3.55</v>
      </c>
      <c r="J128" s="156" t="s">
        <v>574</v>
      </c>
      <c r="K128" s="187"/>
      <c r="L128" s="172" t="s">
        <v>748</v>
      </c>
      <c r="M128" s="173" t="s">
        <v>649</v>
      </c>
      <c r="N128" s="174" t="s">
        <v>676</v>
      </c>
      <c r="O128" s="174"/>
      <c r="P128" s="174"/>
      <c r="Q128" s="174"/>
      <c r="R128" s="174"/>
      <c r="S128" s="175" t="s">
        <v>997</v>
      </c>
      <c r="T128" s="174" t="s">
        <v>678</v>
      </c>
    </row>
    <row r="129" spans="1:20" ht="38.25" customHeight="1">
      <c r="A129" s="159" t="s">
        <v>668</v>
      </c>
      <c r="B129" s="184" t="s">
        <v>669</v>
      </c>
      <c r="C129" s="154" t="s">
        <v>670</v>
      </c>
      <c r="D129" s="161" t="s">
        <v>1064</v>
      </c>
      <c r="E129" s="161" t="s">
        <v>1065</v>
      </c>
      <c r="F129" s="161" t="s">
        <v>673</v>
      </c>
      <c r="G129" s="161" t="s">
        <v>1066</v>
      </c>
      <c r="H129" s="161" t="s">
        <v>732</v>
      </c>
      <c r="I129" s="160">
        <v>8.43</v>
      </c>
      <c r="J129" s="154" t="s">
        <v>574</v>
      </c>
      <c r="K129" s="185"/>
      <c r="L129" s="163" t="s">
        <v>748</v>
      </c>
      <c r="M129" s="164" t="s">
        <v>649</v>
      </c>
      <c r="N129" s="165" t="s">
        <v>676</v>
      </c>
      <c r="O129" s="165"/>
      <c r="P129" s="165"/>
      <c r="Q129" s="165"/>
      <c r="R129" s="165"/>
      <c r="S129" s="166" t="s">
        <v>1067</v>
      </c>
      <c r="T129" s="165" t="s">
        <v>678</v>
      </c>
    </row>
    <row r="130" spans="1:20" ht="38.25" customHeight="1">
      <c r="A130" s="169" t="s">
        <v>668</v>
      </c>
      <c r="B130" s="186" t="s">
        <v>669</v>
      </c>
      <c r="C130" s="156" t="s">
        <v>670</v>
      </c>
      <c r="D130" s="171" t="s">
        <v>1068</v>
      </c>
      <c r="E130" s="171" t="s">
        <v>1069</v>
      </c>
      <c r="F130" s="171" t="s">
        <v>673</v>
      </c>
      <c r="G130" s="171" t="s">
        <v>1070</v>
      </c>
      <c r="H130" s="171" t="s">
        <v>732</v>
      </c>
      <c r="I130" s="170">
        <v>8.8000000000000007</v>
      </c>
      <c r="J130" s="156" t="s">
        <v>574</v>
      </c>
      <c r="K130" s="187"/>
      <c r="L130" s="172" t="s">
        <v>748</v>
      </c>
      <c r="M130" s="173" t="s">
        <v>649</v>
      </c>
      <c r="N130" s="174" t="s">
        <v>676</v>
      </c>
      <c r="O130" s="174"/>
      <c r="P130" s="174"/>
      <c r="Q130" s="174"/>
      <c r="R130" s="174"/>
      <c r="S130" s="175" t="s">
        <v>1071</v>
      </c>
      <c r="T130" s="174" t="s">
        <v>678</v>
      </c>
    </row>
    <row r="131" spans="1:20" ht="38.25" customHeight="1">
      <c r="A131" s="159" t="s">
        <v>668</v>
      </c>
      <c r="B131" s="184" t="s">
        <v>669</v>
      </c>
      <c r="C131" s="154" t="s">
        <v>670</v>
      </c>
      <c r="D131" s="161" t="s">
        <v>1072</v>
      </c>
      <c r="E131" s="161" t="s">
        <v>1073</v>
      </c>
      <c r="F131" s="161" t="s">
        <v>673</v>
      </c>
      <c r="G131" s="161"/>
      <c r="H131" s="161" t="s">
        <v>732</v>
      </c>
      <c r="I131" s="160">
        <v>8.15</v>
      </c>
      <c r="J131" s="154" t="s">
        <v>574</v>
      </c>
      <c r="K131" s="185"/>
      <c r="L131" s="163" t="s">
        <v>748</v>
      </c>
      <c r="M131" s="164" t="s">
        <v>649</v>
      </c>
      <c r="N131" s="165" t="s">
        <v>676</v>
      </c>
      <c r="O131" s="165"/>
      <c r="P131" s="165"/>
      <c r="Q131" s="165"/>
      <c r="R131" s="165"/>
      <c r="S131" s="166" t="s">
        <v>1074</v>
      </c>
      <c r="T131" s="165" t="s">
        <v>678</v>
      </c>
    </row>
    <row r="132" spans="1:20" ht="38.25" customHeight="1">
      <c r="A132" s="169" t="s">
        <v>668</v>
      </c>
      <c r="B132" s="186" t="s">
        <v>669</v>
      </c>
      <c r="C132" s="156" t="s">
        <v>670</v>
      </c>
      <c r="D132" s="171" t="s">
        <v>1072</v>
      </c>
      <c r="E132" s="171" t="s">
        <v>1073</v>
      </c>
      <c r="F132" s="171" t="s">
        <v>673</v>
      </c>
      <c r="G132" s="171"/>
      <c r="H132" s="171" t="s">
        <v>732</v>
      </c>
      <c r="I132" s="170">
        <v>7.55</v>
      </c>
      <c r="J132" s="156" t="s">
        <v>574</v>
      </c>
      <c r="K132" s="187"/>
      <c r="L132" s="172" t="s">
        <v>748</v>
      </c>
      <c r="M132" s="173" t="s">
        <v>649</v>
      </c>
      <c r="N132" s="174" t="s">
        <v>676</v>
      </c>
      <c r="O132" s="174"/>
      <c r="P132" s="174"/>
      <c r="Q132" s="174"/>
      <c r="R132" s="174"/>
      <c r="S132" s="175" t="s">
        <v>698</v>
      </c>
      <c r="T132" s="174" t="s">
        <v>678</v>
      </c>
    </row>
    <row r="133" spans="1:20" ht="38.25" customHeight="1">
      <c r="A133" s="159" t="s">
        <v>668</v>
      </c>
      <c r="B133" s="184" t="s">
        <v>669</v>
      </c>
      <c r="C133" s="154" t="s">
        <v>670</v>
      </c>
      <c r="D133" s="161" t="s">
        <v>1075</v>
      </c>
      <c r="E133" s="161" t="s">
        <v>1076</v>
      </c>
      <c r="F133" s="161" t="s">
        <v>673</v>
      </c>
      <c r="G133" s="161"/>
      <c r="H133" s="161" t="s">
        <v>732</v>
      </c>
      <c r="I133" s="160">
        <v>9.36</v>
      </c>
      <c r="J133" s="154" t="s">
        <v>574</v>
      </c>
      <c r="K133" s="185"/>
      <c r="L133" s="163" t="s">
        <v>748</v>
      </c>
      <c r="M133" s="164" t="s">
        <v>649</v>
      </c>
      <c r="N133" s="165" t="s">
        <v>676</v>
      </c>
      <c r="O133" s="165"/>
      <c r="P133" s="165"/>
      <c r="Q133" s="165"/>
      <c r="R133" s="165"/>
      <c r="S133" s="166" t="s">
        <v>991</v>
      </c>
      <c r="T133" s="165" t="s">
        <v>678</v>
      </c>
    </row>
    <row r="134" spans="1:20" ht="38.25" customHeight="1">
      <c r="A134" s="169" t="s">
        <v>668</v>
      </c>
      <c r="B134" s="186" t="s">
        <v>669</v>
      </c>
      <c r="C134" s="156" t="s">
        <v>670</v>
      </c>
      <c r="D134" s="171" t="s">
        <v>1077</v>
      </c>
      <c r="E134" s="171" t="s">
        <v>1078</v>
      </c>
      <c r="F134" s="171" t="s">
        <v>673</v>
      </c>
      <c r="G134" s="171"/>
      <c r="H134" s="171" t="s">
        <v>732</v>
      </c>
      <c r="I134" s="170">
        <v>9.41</v>
      </c>
      <c r="J134" s="156" t="s">
        <v>574</v>
      </c>
      <c r="K134" s="187"/>
      <c r="L134" s="172" t="s">
        <v>748</v>
      </c>
      <c r="M134" s="173" t="s">
        <v>649</v>
      </c>
      <c r="N134" s="174" t="s">
        <v>676</v>
      </c>
      <c r="O134" s="174"/>
      <c r="P134" s="174"/>
      <c r="Q134" s="174"/>
      <c r="R134" s="174"/>
      <c r="S134" s="175" t="s">
        <v>944</v>
      </c>
      <c r="T134" s="174" t="s">
        <v>678</v>
      </c>
    </row>
    <row r="135" spans="1:20" ht="38.25" customHeight="1">
      <c r="A135" s="159" t="s">
        <v>668</v>
      </c>
      <c r="B135" s="184" t="s">
        <v>669</v>
      </c>
      <c r="C135" s="154" t="s">
        <v>670</v>
      </c>
      <c r="D135" s="161" t="s">
        <v>1079</v>
      </c>
      <c r="E135" s="161" t="s">
        <v>1080</v>
      </c>
      <c r="F135" s="161" t="s">
        <v>673</v>
      </c>
      <c r="G135" s="161" t="s">
        <v>1081</v>
      </c>
      <c r="H135" s="161" t="s">
        <v>1082</v>
      </c>
      <c r="I135" s="160">
        <v>7.89</v>
      </c>
      <c r="J135" s="154" t="s">
        <v>574</v>
      </c>
      <c r="K135" s="185"/>
      <c r="L135" s="163" t="s">
        <v>748</v>
      </c>
      <c r="M135" s="164" t="s">
        <v>649</v>
      </c>
      <c r="N135" s="165" t="s">
        <v>676</v>
      </c>
      <c r="O135" s="165"/>
      <c r="P135" s="165"/>
      <c r="Q135" s="165"/>
      <c r="R135" s="165"/>
      <c r="S135" s="166" t="s">
        <v>1083</v>
      </c>
      <c r="T135" s="165" t="s">
        <v>678</v>
      </c>
    </row>
    <row r="136" spans="1:20" ht="38.25" customHeight="1">
      <c r="A136" s="169" t="s">
        <v>668</v>
      </c>
      <c r="B136" s="186" t="s">
        <v>669</v>
      </c>
      <c r="C136" s="156" t="s">
        <v>670</v>
      </c>
      <c r="D136" s="171" t="s">
        <v>1084</v>
      </c>
      <c r="E136" s="171" t="s">
        <v>1085</v>
      </c>
      <c r="F136" s="171" t="s">
        <v>673</v>
      </c>
      <c r="G136" s="171" t="s">
        <v>1086</v>
      </c>
      <c r="H136" s="171" t="s">
        <v>1087</v>
      </c>
      <c r="I136" s="170">
        <v>10.5</v>
      </c>
      <c r="J136" s="156" t="s">
        <v>574</v>
      </c>
      <c r="K136" s="187"/>
      <c r="L136" s="172" t="s">
        <v>748</v>
      </c>
      <c r="M136" s="173" t="s">
        <v>649</v>
      </c>
      <c r="N136" s="174" t="s">
        <v>676</v>
      </c>
      <c r="O136" s="174"/>
      <c r="P136" s="174"/>
      <c r="Q136" s="174"/>
      <c r="R136" s="174"/>
      <c r="S136" s="175" t="s">
        <v>832</v>
      </c>
      <c r="T136" s="174" t="s">
        <v>678</v>
      </c>
    </row>
    <row r="137" spans="1:20" ht="38.25" customHeight="1">
      <c r="A137" s="159" t="s">
        <v>668</v>
      </c>
      <c r="B137" s="184" t="s">
        <v>669</v>
      </c>
      <c r="C137" s="154" t="s">
        <v>670</v>
      </c>
      <c r="D137" s="161" t="s">
        <v>1084</v>
      </c>
      <c r="E137" s="161" t="s">
        <v>1088</v>
      </c>
      <c r="F137" s="161" t="s">
        <v>673</v>
      </c>
      <c r="G137" s="161" t="s">
        <v>1086</v>
      </c>
      <c r="H137" s="161" t="s">
        <v>1087</v>
      </c>
      <c r="I137" s="160">
        <v>9.6999999999999993</v>
      </c>
      <c r="J137" s="154" t="s">
        <v>574</v>
      </c>
      <c r="K137" s="185"/>
      <c r="L137" s="163" t="s">
        <v>748</v>
      </c>
      <c r="M137" s="164" t="s">
        <v>649</v>
      </c>
      <c r="N137" s="165" t="s">
        <v>676</v>
      </c>
      <c r="O137" s="165"/>
      <c r="P137" s="165"/>
      <c r="Q137" s="165"/>
      <c r="R137" s="165"/>
      <c r="S137" s="166" t="s">
        <v>1089</v>
      </c>
      <c r="T137" s="165" t="s">
        <v>678</v>
      </c>
    </row>
    <row r="138" spans="1:20" ht="38.25" customHeight="1">
      <c r="A138" s="169" t="s">
        <v>668</v>
      </c>
      <c r="B138" s="186" t="s">
        <v>669</v>
      </c>
      <c r="C138" s="156" t="s">
        <v>670</v>
      </c>
      <c r="D138" s="171" t="s">
        <v>1090</v>
      </c>
      <c r="E138" s="171" t="s">
        <v>1091</v>
      </c>
      <c r="F138" s="171" t="s">
        <v>673</v>
      </c>
      <c r="G138" s="171" t="s">
        <v>1092</v>
      </c>
      <c r="H138" s="171" t="s">
        <v>1087</v>
      </c>
      <c r="I138" s="170">
        <v>8.6199999999999992</v>
      </c>
      <c r="J138" s="156" t="s">
        <v>574</v>
      </c>
      <c r="K138" s="187"/>
      <c r="L138" s="172" t="s">
        <v>748</v>
      </c>
      <c r="M138" s="173" t="s">
        <v>649</v>
      </c>
      <c r="N138" s="174" t="s">
        <v>676</v>
      </c>
      <c r="O138" s="174"/>
      <c r="P138" s="174"/>
      <c r="Q138" s="174"/>
      <c r="R138" s="174"/>
      <c r="S138" s="175" t="s">
        <v>1093</v>
      </c>
      <c r="T138" s="174" t="s">
        <v>678</v>
      </c>
    </row>
    <row r="139" spans="1:20" ht="38.25" customHeight="1">
      <c r="A139" s="159" t="s">
        <v>668</v>
      </c>
      <c r="B139" s="184" t="s">
        <v>669</v>
      </c>
      <c r="C139" s="154" t="s">
        <v>670</v>
      </c>
      <c r="D139" s="161" t="s">
        <v>1090</v>
      </c>
      <c r="E139" s="161" t="s">
        <v>1094</v>
      </c>
      <c r="F139" s="161" t="s">
        <v>673</v>
      </c>
      <c r="G139" s="161" t="s">
        <v>1092</v>
      </c>
      <c r="H139" s="161" t="s">
        <v>1087</v>
      </c>
      <c r="I139" s="160">
        <v>9.3800000000000008</v>
      </c>
      <c r="J139" s="154" t="s">
        <v>574</v>
      </c>
      <c r="K139" s="185"/>
      <c r="L139" s="163" t="s">
        <v>748</v>
      </c>
      <c r="M139" s="164" t="s">
        <v>649</v>
      </c>
      <c r="N139" s="165" t="s">
        <v>676</v>
      </c>
      <c r="O139" s="165"/>
      <c r="P139" s="165"/>
      <c r="Q139" s="165"/>
      <c r="R139" s="165"/>
      <c r="S139" s="166" t="s">
        <v>1095</v>
      </c>
      <c r="T139" s="165" t="s">
        <v>678</v>
      </c>
    </row>
    <row r="140" spans="1:20" ht="38.25" customHeight="1">
      <c r="A140" s="169" t="s">
        <v>668</v>
      </c>
      <c r="B140" s="186" t="s">
        <v>669</v>
      </c>
      <c r="C140" s="156" t="s">
        <v>670</v>
      </c>
      <c r="D140" s="171" t="s">
        <v>1096</v>
      </c>
      <c r="E140" s="171" t="s">
        <v>1097</v>
      </c>
      <c r="F140" s="171" t="s">
        <v>673</v>
      </c>
      <c r="G140" s="171" t="s">
        <v>1098</v>
      </c>
      <c r="H140" s="171" t="s">
        <v>1099</v>
      </c>
      <c r="I140" s="170">
        <v>8.58</v>
      </c>
      <c r="J140" s="156" t="s">
        <v>574</v>
      </c>
      <c r="K140" s="187"/>
      <c r="L140" s="172" t="s">
        <v>748</v>
      </c>
      <c r="M140" s="173" t="s">
        <v>649</v>
      </c>
      <c r="N140" s="174" t="s">
        <v>676</v>
      </c>
      <c r="O140" s="174"/>
      <c r="P140" s="174"/>
      <c r="Q140" s="174"/>
      <c r="R140" s="174"/>
      <c r="S140" s="175" t="s">
        <v>1100</v>
      </c>
      <c r="T140" s="174" t="s">
        <v>678</v>
      </c>
    </row>
    <row r="141" spans="1:20" ht="38.25" customHeight="1">
      <c r="A141" s="159" t="s">
        <v>668</v>
      </c>
      <c r="B141" s="184" t="s">
        <v>669</v>
      </c>
      <c r="C141" s="154" t="s">
        <v>670</v>
      </c>
      <c r="D141" s="161" t="s">
        <v>1096</v>
      </c>
      <c r="E141" s="161" t="s">
        <v>1101</v>
      </c>
      <c r="F141" s="161" t="s">
        <v>673</v>
      </c>
      <c r="G141" s="161" t="s">
        <v>1098</v>
      </c>
      <c r="H141" s="161" t="s">
        <v>1099</v>
      </c>
      <c r="I141" s="160">
        <v>9.09</v>
      </c>
      <c r="J141" s="154" t="s">
        <v>574</v>
      </c>
      <c r="K141" s="185"/>
      <c r="L141" s="163" t="s">
        <v>748</v>
      </c>
      <c r="M141" s="164" t="s">
        <v>649</v>
      </c>
      <c r="N141" s="165" t="s">
        <v>676</v>
      </c>
      <c r="O141" s="165"/>
      <c r="P141" s="165"/>
      <c r="Q141" s="165"/>
      <c r="R141" s="165"/>
      <c r="S141" s="166" t="s">
        <v>1102</v>
      </c>
      <c r="T141" s="165" t="s">
        <v>678</v>
      </c>
    </row>
    <row r="142" spans="1:20" ht="38.25" customHeight="1">
      <c r="A142" s="169" t="s">
        <v>668</v>
      </c>
      <c r="B142" s="186" t="s">
        <v>669</v>
      </c>
      <c r="C142" s="156" t="s">
        <v>670</v>
      </c>
      <c r="D142" s="171" t="s">
        <v>720</v>
      </c>
      <c r="E142" s="171" t="s">
        <v>1103</v>
      </c>
      <c r="F142" s="171" t="s">
        <v>673</v>
      </c>
      <c r="G142" s="171" t="s">
        <v>722</v>
      </c>
      <c r="H142" s="171" t="s">
        <v>722</v>
      </c>
      <c r="I142" s="170">
        <v>9.1</v>
      </c>
      <c r="J142" s="156" t="s">
        <v>574</v>
      </c>
      <c r="K142" s="187"/>
      <c r="L142" s="172" t="s">
        <v>748</v>
      </c>
      <c r="M142" s="173" t="s">
        <v>649</v>
      </c>
      <c r="N142" s="174" t="s">
        <v>676</v>
      </c>
      <c r="O142" s="174"/>
      <c r="P142" s="174"/>
      <c r="Q142" s="174"/>
      <c r="R142" s="174"/>
      <c r="S142" s="175" t="s">
        <v>829</v>
      </c>
      <c r="T142" s="174" t="s">
        <v>678</v>
      </c>
    </row>
    <row r="143" spans="1:20" ht="38.25" customHeight="1">
      <c r="A143" s="159" t="s">
        <v>668</v>
      </c>
      <c r="B143" s="184" t="s">
        <v>669</v>
      </c>
      <c r="C143" s="154" t="s">
        <v>670</v>
      </c>
      <c r="D143" s="161" t="s">
        <v>1104</v>
      </c>
      <c r="E143" s="161" t="s">
        <v>1105</v>
      </c>
      <c r="F143" s="161" t="s">
        <v>673</v>
      </c>
      <c r="G143" s="161" t="s">
        <v>722</v>
      </c>
      <c r="H143" s="161" t="s">
        <v>722</v>
      </c>
      <c r="I143" s="160">
        <v>7.57</v>
      </c>
      <c r="J143" s="154" t="s">
        <v>574</v>
      </c>
      <c r="K143" s="185"/>
      <c r="L143" s="163" t="s">
        <v>748</v>
      </c>
      <c r="M143" s="164" t="s">
        <v>649</v>
      </c>
      <c r="N143" s="165" t="s">
        <v>676</v>
      </c>
      <c r="O143" s="165"/>
      <c r="P143" s="165"/>
      <c r="Q143" s="165"/>
      <c r="R143" s="165"/>
      <c r="S143" s="166" t="s">
        <v>1106</v>
      </c>
      <c r="T143" s="165" t="s">
        <v>678</v>
      </c>
    </row>
    <row r="144" spans="1:20" ht="38.25" customHeight="1">
      <c r="A144" s="169" t="s">
        <v>668</v>
      </c>
      <c r="B144" s="186" t="s">
        <v>669</v>
      </c>
      <c r="C144" s="156" t="s">
        <v>670</v>
      </c>
      <c r="D144" s="171" t="s">
        <v>1104</v>
      </c>
      <c r="E144" s="171" t="s">
        <v>1107</v>
      </c>
      <c r="F144" s="171" t="s">
        <v>673</v>
      </c>
      <c r="G144" s="171" t="s">
        <v>722</v>
      </c>
      <c r="H144" s="171" t="s">
        <v>722</v>
      </c>
      <c r="I144" s="170">
        <v>10.1</v>
      </c>
      <c r="J144" s="156" t="s">
        <v>574</v>
      </c>
      <c r="K144" s="187"/>
      <c r="L144" s="172" t="s">
        <v>748</v>
      </c>
      <c r="M144" s="173" t="s">
        <v>649</v>
      </c>
      <c r="N144" s="174" t="s">
        <v>676</v>
      </c>
      <c r="O144" s="174"/>
      <c r="P144" s="174"/>
      <c r="Q144" s="174"/>
      <c r="R144" s="174"/>
      <c r="S144" s="175" t="s">
        <v>728</v>
      </c>
      <c r="T144" s="174" t="s">
        <v>678</v>
      </c>
    </row>
    <row r="145" spans="1:20" ht="38.25" customHeight="1">
      <c r="A145" s="159" t="s">
        <v>668</v>
      </c>
      <c r="B145" s="184" t="s">
        <v>669</v>
      </c>
      <c r="C145" s="154" t="s">
        <v>670</v>
      </c>
      <c r="D145" s="161" t="s">
        <v>1108</v>
      </c>
      <c r="E145" s="161" t="s">
        <v>1109</v>
      </c>
      <c r="F145" s="161" t="s">
        <v>673</v>
      </c>
      <c r="G145" s="161" t="s">
        <v>1110</v>
      </c>
      <c r="H145" s="161" t="s">
        <v>1111</v>
      </c>
      <c r="I145" s="160">
        <v>8.44</v>
      </c>
      <c r="J145" s="154" t="s">
        <v>574</v>
      </c>
      <c r="K145" s="185"/>
      <c r="L145" s="163" t="s">
        <v>748</v>
      </c>
      <c r="M145" s="164" t="s">
        <v>649</v>
      </c>
      <c r="N145" s="165" t="s">
        <v>676</v>
      </c>
      <c r="O145" s="165"/>
      <c r="P145" s="165"/>
      <c r="Q145" s="165"/>
      <c r="R145" s="165"/>
      <c r="S145" s="166" t="s">
        <v>1112</v>
      </c>
      <c r="T145" s="165" t="s">
        <v>678</v>
      </c>
    </row>
    <row r="146" spans="1:20" ht="38.25" customHeight="1">
      <c r="A146" s="169" t="s">
        <v>668</v>
      </c>
      <c r="B146" s="186" t="s">
        <v>669</v>
      </c>
      <c r="C146" s="156" t="s">
        <v>670</v>
      </c>
      <c r="D146" s="171" t="s">
        <v>1108</v>
      </c>
      <c r="E146" s="171" t="s">
        <v>1113</v>
      </c>
      <c r="F146" s="171" t="s">
        <v>673</v>
      </c>
      <c r="G146" s="171" t="s">
        <v>1110</v>
      </c>
      <c r="H146" s="171" t="s">
        <v>1111</v>
      </c>
      <c r="I146" s="170">
        <v>9.27</v>
      </c>
      <c r="J146" s="156" t="s">
        <v>574</v>
      </c>
      <c r="K146" s="187"/>
      <c r="L146" s="172" t="s">
        <v>748</v>
      </c>
      <c r="M146" s="173" t="s">
        <v>649</v>
      </c>
      <c r="N146" s="174" t="s">
        <v>676</v>
      </c>
      <c r="O146" s="174"/>
      <c r="P146" s="174"/>
      <c r="Q146" s="174"/>
      <c r="R146" s="174"/>
      <c r="S146" s="175" t="s">
        <v>1114</v>
      </c>
      <c r="T146" s="174" t="s">
        <v>678</v>
      </c>
    </row>
    <row r="147" spans="1:20" ht="38.25" customHeight="1">
      <c r="A147" s="159" t="s">
        <v>668</v>
      </c>
      <c r="B147" s="184" t="s">
        <v>669</v>
      </c>
      <c r="C147" s="154" t="s">
        <v>670</v>
      </c>
      <c r="D147" s="161" t="s">
        <v>1115</v>
      </c>
      <c r="E147" s="161" t="s">
        <v>1116</v>
      </c>
      <c r="F147" s="161" t="s">
        <v>673</v>
      </c>
      <c r="G147" s="161" t="s">
        <v>1117</v>
      </c>
      <c r="H147" s="161" t="s">
        <v>1111</v>
      </c>
      <c r="I147" s="160">
        <v>9.2899999999999991</v>
      </c>
      <c r="J147" s="154" t="s">
        <v>574</v>
      </c>
      <c r="K147" s="185"/>
      <c r="L147" s="163" t="s">
        <v>748</v>
      </c>
      <c r="M147" s="164" t="s">
        <v>649</v>
      </c>
      <c r="N147" s="165" t="s">
        <v>676</v>
      </c>
      <c r="O147" s="165"/>
      <c r="P147" s="165"/>
      <c r="Q147" s="165"/>
      <c r="R147" s="165"/>
      <c r="S147" s="166" t="s">
        <v>1118</v>
      </c>
      <c r="T147" s="165" t="s">
        <v>678</v>
      </c>
    </row>
    <row r="148" spans="1:20" ht="38.25" customHeight="1">
      <c r="A148" s="169" t="s">
        <v>668</v>
      </c>
      <c r="B148" s="186" t="s">
        <v>669</v>
      </c>
      <c r="C148" s="156" t="s">
        <v>670</v>
      </c>
      <c r="D148" s="171" t="s">
        <v>1119</v>
      </c>
      <c r="E148" s="171" t="s">
        <v>1120</v>
      </c>
      <c r="F148" s="171" t="s">
        <v>673</v>
      </c>
      <c r="G148" s="171" t="s">
        <v>1121</v>
      </c>
      <c r="H148" s="171" t="s">
        <v>1111</v>
      </c>
      <c r="I148" s="170">
        <v>9.09</v>
      </c>
      <c r="J148" s="156" t="s">
        <v>574</v>
      </c>
      <c r="K148" s="187"/>
      <c r="L148" s="172" t="s">
        <v>748</v>
      </c>
      <c r="M148" s="173" t="s">
        <v>649</v>
      </c>
      <c r="N148" s="174" t="s">
        <v>676</v>
      </c>
      <c r="O148" s="174"/>
      <c r="P148" s="174"/>
      <c r="Q148" s="174"/>
      <c r="R148" s="174"/>
      <c r="S148" s="175" t="s">
        <v>1102</v>
      </c>
      <c r="T148" s="174" t="s">
        <v>678</v>
      </c>
    </row>
    <row r="149" spans="1:20" ht="38.25" customHeight="1">
      <c r="A149" s="159" t="s">
        <v>668</v>
      </c>
      <c r="B149" s="184" t="s">
        <v>669</v>
      </c>
      <c r="C149" s="154" t="s">
        <v>670</v>
      </c>
      <c r="D149" s="161" t="s">
        <v>1119</v>
      </c>
      <c r="E149" s="161" t="s">
        <v>1122</v>
      </c>
      <c r="F149" s="161" t="s">
        <v>673</v>
      </c>
      <c r="G149" s="161" t="s">
        <v>1121</v>
      </c>
      <c r="H149" s="161" t="s">
        <v>1111</v>
      </c>
      <c r="I149" s="160">
        <v>8.24</v>
      </c>
      <c r="J149" s="154" t="s">
        <v>574</v>
      </c>
      <c r="K149" s="185"/>
      <c r="L149" s="163" t="s">
        <v>748</v>
      </c>
      <c r="M149" s="164" t="s">
        <v>649</v>
      </c>
      <c r="N149" s="165" t="s">
        <v>676</v>
      </c>
      <c r="O149" s="165"/>
      <c r="P149" s="165"/>
      <c r="Q149" s="165"/>
      <c r="R149" s="165"/>
      <c r="S149" s="166" t="s">
        <v>1123</v>
      </c>
      <c r="T149" s="165" t="s">
        <v>678</v>
      </c>
    </row>
    <row r="150" spans="1:20" ht="38.25" customHeight="1">
      <c r="A150" s="169" t="s">
        <v>668</v>
      </c>
      <c r="B150" s="186" t="s">
        <v>669</v>
      </c>
      <c r="C150" s="156" t="s">
        <v>670</v>
      </c>
      <c r="D150" s="171" t="s">
        <v>1124</v>
      </c>
      <c r="E150" s="171" t="s">
        <v>1125</v>
      </c>
      <c r="F150" s="171" t="s">
        <v>673</v>
      </c>
      <c r="G150" s="171" t="s">
        <v>1126</v>
      </c>
      <c r="H150" s="171" t="s">
        <v>1111</v>
      </c>
      <c r="I150" s="170">
        <v>9.1300000000000008</v>
      </c>
      <c r="J150" s="156" t="s">
        <v>574</v>
      </c>
      <c r="K150" s="187"/>
      <c r="L150" s="172" t="s">
        <v>748</v>
      </c>
      <c r="M150" s="173" t="s">
        <v>649</v>
      </c>
      <c r="N150" s="174" t="s">
        <v>676</v>
      </c>
      <c r="O150" s="174"/>
      <c r="P150" s="174"/>
      <c r="Q150" s="174"/>
      <c r="R150" s="174"/>
      <c r="S150" s="175" t="s">
        <v>850</v>
      </c>
      <c r="T150" s="174" t="s">
        <v>678</v>
      </c>
    </row>
    <row r="151" spans="1:20" ht="38.25" customHeight="1">
      <c r="A151" s="159" t="s">
        <v>668</v>
      </c>
      <c r="B151" s="184" t="s">
        <v>669</v>
      </c>
      <c r="C151" s="154" t="s">
        <v>670</v>
      </c>
      <c r="D151" s="161" t="s">
        <v>1127</v>
      </c>
      <c r="E151" s="161" t="s">
        <v>1128</v>
      </c>
      <c r="F151" s="161" t="s">
        <v>673</v>
      </c>
      <c r="G151" s="161" t="s">
        <v>697</v>
      </c>
      <c r="H151" s="161" t="s">
        <v>1111</v>
      </c>
      <c r="I151" s="160">
        <v>9.01</v>
      </c>
      <c r="J151" s="154" t="s">
        <v>574</v>
      </c>
      <c r="K151" s="185"/>
      <c r="L151" s="163" t="s">
        <v>748</v>
      </c>
      <c r="M151" s="164" t="s">
        <v>649</v>
      </c>
      <c r="N151" s="165" t="s">
        <v>676</v>
      </c>
      <c r="O151" s="165"/>
      <c r="P151" s="165"/>
      <c r="Q151" s="165"/>
      <c r="R151" s="165"/>
      <c r="S151" s="166" t="s">
        <v>866</v>
      </c>
      <c r="T151" s="165" t="s">
        <v>678</v>
      </c>
    </row>
    <row r="152" spans="1:20" ht="38.25" customHeight="1">
      <c r="A152" s="169" t="s">
        <v>668</v>
      </c>
      <c r="B152" s="186" t="s">
        <v>669</v>
      </c>
      <c r="C152" s="156" t="s">
        <v>670</v>
      </c>
      <c r="D152" s="171" t="s">
        <v>1129</v>
      </c>
      <c r="E152" s="171" t="s">
        <v>1130</v>
      </c>
      <c r="F152" s="171" t="s">
        <v>673</v>
      </c>
      <c r="G152" s="171" t="s">
        <v>1131</v>
      </c>
      <c r="H152" s="171" t="s">
        <v>1111</v>
      </c>
      <c r="I152" s="170">
        <v>8.35</v>
      </c>
      <c r="J152" s="156" t="s">
        <v>574</v>
      </c>
      <c r="K152" s="187"/>
      <c r="L152" s="172" t="s">
        <v>748</v>
      </c>
      <c r="M152" s="173" t="s">
        <v>649</v>
      </c>
      <c r="N152" s="174" t="s">
        <v>676</v>
      </c>
      <c r="O152" s="174"/>
      <c r="P152" s="174"/>
      <c r="Q152" s="174"/>
      <c r="R152" s="174"/>
      <c r="S152" s="175" t="s">
        <v>884</v>
      </c>
      <c r="T152" s="174" t="s">
        <v>678</v>
      </c>
    </row>
    <row r="153" spans="1:20" ht="38.25" customHeight="1">
      <c r="A153" s="159" t="s">
        <v>668</v>
      </c>
      <c r="B153" s="184" t="s">
        <v>669</v>
      </c>
      <c r="C153" s="154" t="s">
        <v>670</v>
      </c>
      <c r="D153" s="161" t="s">
        <v>1132</v>
      </c>
      <c r="E153" s="161" t="s">
        <v>1133</v>
      </c>
      <c r="F153" s="161" t="s">
        <v>673</v>
      </c>
      <c r="G153" s="161" t="s">
        <v>1134</v>
      </c>
      <c r="H153" s="161" t="s">
        <v>1134</v>
      </c>
      <c r="I153" s="160">
        <v>10.6</v>
      </c>
      <c r="J153" s="154" t="s">
        <v>574</v>
      </c>
      <c r="K153" s="185"/>
      <c r="L153" s="163" t="s">
        <v>748</v>
      </c>
      <c r="M153" s="164" t="s">
        <v>649</v>
      </c>
      <c r="N153" s="165" t="s">
        <v>676</v>
      </c>
      <c r="O153" s="165"/>
      <c r="P153" s="165"/>
      <c r="Q153" s="165"/>
      <c r="R153" s="165"/>
      <c r="S153" s="166" t="s">
        <v>1135</v>
      </c>
      <c r="T153" s="165" t="s">
        <v>678</v>
      </c>
    </row>
    <row r="154" spans="1:20" ht="38.25" customHeight="1">
      <c r="A154" s="169" t="s">
        <v>668</v>
      </c>
      <c r="B154" s="186" t="s">
        <v>669</v>
      </c>
      <c r="C154" s="156" t="s">
        <v>670</v>
      </c>
      <c r="D154" s="171" t="s">
        <v>1132</v>
      </c>
      <c r="E154" s="171" t="s">
        <v>1136</v>
      </c>
      <c r="F154" s="171" t="s">
        <v>673</v>
      </c>
      <c r="G154" s="171" t="s">
        <v>1134</v>
      </c>
      <c r="H154" s="171" t="s">
        <v>1134</v>
      </c>
      <c r="I154" s="170">
        <v>10.199999999999999</v>
      </c>
      <c r="J154" s="156" t="s">
        <v>574</v>
      </c>
      <c r="K154" s="187"/>
      <c r="L154" s="172" t="s">
        <v>748</v>
      </c>
      <c r="M154" s="173" t="s">
        <v>649</v>
      </c>
      <c r="N154" s="174" t="s">
        <v>676</v>
      </c>
      <c r="O154" s="174"/>
      <c r="P154" s="174"/>
      <c r="Q154" s="174"/>
      <c r="R154" s="174"/>
      <c r="S154" s="175" t="s">
        <v>1137</v>
      </c>
      <c r="T154" s="174" t="s">
        <v>678</v>
      </c>
    </row>
    <row r="155" spans="1:20" ht="38.25" customHeight="1">
      <c r="A155" s="159" t="s">
        <v>668</v>
      </c>
      <c r="B155" s="184" t="s">
        <v>669</v>
      </c>
      <c r="C155" s="154" t="s">
        <v>670</v>
      </c>
      <c r="D155" s="161" t="s">
        <v>1138</v>
      </c>
      <c r="E155" s="161" t="s">
        <v>1139</v>
      </c>
      <c r="F155" s="161" t="s">
        <v>673</v>
      </c>
      <c r="G155" s="161" t="s">
        <v>966</v>
      </c>
      <c r="H155" s="161" t="s">
        <v>1134</v>
      </c>
      <c r="I155" s="160">
        <v>7.86</v>
      </c>
      <c r="J155" s="154" t="s">
        <v>574</v>
      </c>
      <c r="K155" s="185"/>
      <c r="L155" s="163" t="s">
        <v>748</v>
      </c>
      <c r="M155" s="164" t="s">
        <v>649</v>
      </c>
      <c r="N155" s="165" t="s">
        <v>676</v>
      </c>
      <c r="O155" s="165"/>
      <c r="P155" s="165"/>
      <c r="Q155" s="165"/>
      <c r="R155" s="165"/>
      <c r="S155" s="166" t="s">
        <v>1140</v>
      </c>
      <c r="T155" s="165" t="s">
        <v>678</v>
      </c>
    </row>
    <row r="156" spans="1:20" ht="38.25" customHeight="1">
      <c r="A156" s="169" t="s">
        <v>668</v>
      </c>
      <c r="B156" s="186" t="s">
        <v>669</v>
      </c>
      <c r="C156" s="156" t="s">
        <v>670</v>
      </c>
      <c r="D156" s="171" t="s">
        <v>1141</v>
      </c>
      <c r="E156" s="171" t="s">
        <v>1142</v>
      </c>
      <c r="F156" s="171" t="s">
        <v>673</v>
      </c>
      <c r="G156" s="171" t="s">
        <v>1143</v>
      </c>
      <c r="H156" s="171" t="s">
        <v>1144</v>
      </c>
      <c r="I156" s="170">
        <v>9.07</v>
      </c>
      <c r="J156" s="156" t="s">
        <v>574</v>
      </c>
      <c r="K156" s="187"/>
      <c r="L156" s="172" t="s">
        <v>748</v>
      </c>
      <c r="M156" s="173" t="s">
        <v>649</v>
      </c>
      <c r="N156" s="174" t="s">
        <v>676</v>
      </c>
      <c r="O156" s="174"/>
      <c r="P156" s="174"/>
      <c r="Q156" s="174"/>
      <c r="R156" s="174"/>
      <c r="S156" s="175" t="s">
        <v>1145</v>
      </c>
      <c r="T156" s="174" t="s">
        <v>678</v>
      </c>
    </row>
    <row r="157" spans="1:20" ht="38.25" customHeight="1">
      <c r="A157" s="159" t="s">
        <v>668</v>
      </c>
      <c r="B157" s="184" t="s">
        <v>669</v>
      </c>
      <c r="C157" s="154" t="s">
        <v>670</v>
      </c>
      <c r="D157" s="161" t="s">
        <v>1146</v>
      </c>
      <c r="E157" s="161" t="s">
        <v>1147</v>
      </c>
      <c r="F157" s="161" t="s">
        <v>673</v>
      </c>
      <c r="G157" s="161" t="s">
        <v>1143</v>
      </c>
      <c r="H157" s="161" t="s">
        <v>1144</v>
      </c>
      <c r="I157" s="160">
        <v>9.19</v>
      </c>
      <c r="J157" s="154" t="s">
        <v>574</v>
      </c>
      <c r="K157" s="185"/>
      <c r="L157" s="163" t="s">
        <v>748</v>
      </c>
      <c r="M157" s="164" t="s">
        <v>649</v>
      </c>
      <c r="N157" s="165" t="s">
        <v>676</v>
      </c>
      <c r="O157" s="165"/>
      <c r="P157" s="165"/>
      <c r="Q157" s="165"/>
      <c r="R157" s="165"/>
      <c r="S157" s="166" t="s">
        <v>1148</v>
      </c>
      <c r="T157" s="165" t="s">
        <v>678</v>
      </c>
    </row>
    <row r="158" spans="1:20" ht="38.25" customHeight="1">
      <c r="A158" s="169" t="s">
        <v>668</v>
      </c>
      <c r="B158" s="186" t="s">
        <v>669</v>
      </c>
      <c r="C158" s="156" t="s">
        <v>670</v>
      </c>
      <c r="D158" s="171" t="s">
        <v>1149</v>
      </c>
      <c r="E158" s="171" t="s">
        <v>1150</v>
      </c>
      <c r="F158" s="171" t="s">
        <v>673</v>
      </c>
      <c r="G158" s="171" t="s">
        <v>1151</v>
      </c>
      <c r="H158" s="171" t="s">
        <v>1152</v>
      </c>
      <c r="I158" s="170">
        <v>8.84</v>
      </c>
      <c r="J158" s="156" t="s">
        <v>574</v>
      </c>
      <c r="K158" s="187"/>
      <c r="L158" s="172" t="s">
        <v>748</v>
      </c>
      <c r="M158" s="173" t="s">
        <v>649</v>
      </c>
      <c r="N158" s="174" t="s">
        <v>676</v>
      </c>
      <c r="O158" s="174"/>
      <c r="P158" s="174"/>
      <c r="Q158" s="174"/>
      <c r="R158" s="174"/>
      <c r="S158" s="175" t="s">
        <v>792</v>
      </c>
      <c r="T158" s="174" t="s">
        <v>678</v>
      </c>
    </row>
    <row r="159" spans="1:20" ht="38.25" customHeight="1">
      <c r="A159" s="159" t="s">
        <v>668</v>
      </c>
      <c r="B159" s="184" t="s">
        <v>669</v>
      </c>
      <c r="C159" s="154" t="s">
        <v>670</v>
      </c>
      <c r="D159" s="161" t="s">
        <v>1149</v>
      </c>
      <c r="E159" s="161" t="s">
        <v>1153</v>
      </c>
      <c r="F159" s="161" t="s">
        <v>673</v>
      </c>
      <c r="G159" s="161" t="s">
        <v>1151</v>
      </c>
      <c r="H159" s="161" t="s">
        <v>1152</v>
      </c>
      <c r="I159" s="160">
        <v>9.75</v>
      </c>
      <c r="J159" s="154" t="s">
        <v>574</v>
      </c>
      <c r="K159" s="185"/>
      <c r="L159" s="163" t="s">
        <v>748</v>
      </c>
      <c r="M159" s="164" t="s">
        <v>649</v>
      </c>
      <c r="N159" s="165" t="s">
        <v>676</v>
      </c>
      <c r="O159" s="165"/>
      <c r="P159" s="165"/>
      <c r="Q159" s="165"/>
      <c r="R159" s="165"/>
      <c r="S159" s="166" t="s">
        <v>1154</v>
      </c>
      <c r="T159" s="165" t="s">
        <v>678</v>
      </c>
    </row>
    <row r="160" spans="1:20" ht="38.25" customHeight="1">
      <c r="A160" s="169" t="s">
        <v>668</v>
      </c>
      <c r="B160" s="186" t="s">
        <v>669</v>
      </c>
      <c r="C160" s="156" t="s">
        <v>670</v>
      </c>
      <c r="D160" s="171" t="s">
        <v>1155</v>
      </c>
      <c r="E160" s="171" t="s">
        <v>1156</v>
      </c>
      <c r="F160" s="171" t="s">
        <v>673</v>
      </c>
      <c r="G160" s="171" t="s">
        <v>1157</v>
      </c>
      <c r="H160" s="171" t="s">
        <v>1152</v>
      </c>
      <c r="I160" s="170">
        <v>8.92</v>
      </c>
      <c r="J160" s="156" t="s">
        <v>574</v>
      </c>
      <c r="K160" s="187"/>
      <c r="L160" s="172" t="s">
        <v>748</v>
      </c>
      <c r="M160" s="173" t="s">
        <v>649</v>
      </c>
      <c r="N160" s="174" t="s">
        <v>676</v>
      </c>
      <c r="O160" s="174"/>
      <c r="P160" s="174"/>
      <c r="Q160" s="174"/>
      <c r="R160" s="174"/>
      <c r="S160" s="175" t="s">
        <v>1158</v>
      </c>
      <c r="T160" s="174" t="s">
        <v>678</v>
      </c>
    </row>
    <row r="161" spans="1:20" ht="38.25" customHeight="1">
      <c r="A161" s="159" t="s">
        <v>668</v>
      </c>
      <c r="B161" s="184" t="s">
        <v>669</v>
      </c>
      <c r="C161" s="154" t="s">
        <v>670</v>
      </c>
      <c r="D161" s="161" t="s">
        <v>1159</v>
      </c>
      <c r="E161" s="161" t="s">
        <v>1160</v>
      </c>
      <c r="F161" s="161" t="s">
        <v>673</v>
      </c>
      <c r="G161" s="161" t="s">
        <v>1161</v>
      </c>
      <c r="H161" s="161" t="s">
        <v>1162</v>
      </c>
      <c r="I161" s="160">
        <v>9.1199999999999992</v>
      </c>
      <c r="J161" s="154" t="s">
        <v>574</v>
      </c>
      <c r="K161" s="185"/>
      <c r="L161" s="163" t="s">
        <v>748</v>
      </c>
      <c r="M161" s="164" t="s">
        <v>649</v>
      </c>
      <c r="N161" s="165" t="s">
        <v>676</v>
      </c>
      <c r="O161" s="165"/>
      <c r="P161" s="165"/>
      <c r="Q161" s="165"/>
      <c r="R161" s="165"/>
      <c r="S161" s="166" t="s">
        <v>1163</v>
      </c>
      <c r="T161" s="165" t="s">
        <v>678</v>
      </c>
    </row>
    <row r="162" spans="1:20" ht="38.25" customHeight="1">
      <c r="A162" s="169" t="s">
        <v>668</v>
      </c>
      <c r="B162" s="186" t="s">
        <v>669</v>
      </c>
      <c r="C162" s="156" t="s">
        <v>670</v>
      </c>
      <c r="D162" s="171" t="s">
        <v>1164</v>
      </c>
      <c r="E162" s="171" t="s">
        <v>1165</v>
      </c>
      <c r="F162" s="171" t="s">
        <v>673</v>
      </c>
      <c r="G162" s="171" t="s">
        <v>1166</v>
      </c>
      <c r="H162" s="171" t="s">
        <v>1162</v>
      </c>
      <c r="I162" s="170">
        <v>6.85</v>
      </c>
      <c r="J162" s="156" t="s">
        <v>574</v>
      </c>
      <c r="K162" s="187"/>
      <c r="L162" s="172" t="s">
        <v>748</v>
      </c>
      <c r="M162" s="173" t="s">
        <v>649</v>
      </c>
      <c r="N162" s="174" t="s">
        <v>676</v>
      </c>
      <c r="O162" s="174"/>
      <c r="P162" s="174"/>
      <c r="Q162" s="174"/>
      <c r="R162" s="174"/>
      <c r="S162" s="175" t="s">
        <v>1167</v>
      </c>
      <c r="T162" s="174" t="s">
        <v>678</v>
      </c>
    </row>
    <row r="163" spans="1:20" ht="38.25" customHeight="1">
      <c r="A163" s="159" t="s">
        <v>668</v>
      </c>
      <c r="B163" s="184" t="s">
        <v>669</v>
      </c>
      <c r="C163" s="154" t="s">
        <v>670</v>
      </c>
      <c r="D163" s="161" t="s">
        <v>1168</v>
      </c>
      <c r="E163" s="161" t="s">
        <v>1169</v>
      </c>
      <c r="F163" s="161" t="s">
        <v>673</v>
      </c>
      <c r="G163" s="161" t="s">
        <v>788</v>
      </c>
      <c r="H163" s="161" t="s">
        <v>1162</v>
      </c>
      <c r="I163" s="160">
        <v>10.3</v>
      </c>
      <c r="J163" s="154" t="s">
        <v>574</v>
      </c>
      <c r="K163" s="185"/>
      <c r="L163" s="163" t="s">
        <v>748</v>
      </c>
      <c r="M163" s="164" t="s">
        <v>649</v>
      </c>
      <c r="N163" s="165" t="s">
        <v>676</v>
      </c>
      <c r="O163" s="165"/>
      <c r="P163" s="165"/>
      <c r="Q163" s="165"/>
      <c r="R163" s="165"/>
      <c r="S163" s="166" t="s">
        <v>757</v>
      </c>
      <c r="T163" s="165" t="s">
        <v>678</v>
      </c>
    </row>
    <row r="164" spans="1:20" ht="38.25" customHeight="1">
      <c r="A164" s="169" t="s">
        <v>668</v>
      </c>
      <c r="B164" s="186" t="s">
        <v>669</v>
      </c>
      <c r="C164" s="156" t="s">
        <v>670</v>
      </c>
      <c r="D164" s="171" t="s">
        <v>1168</v>
      </c>
      <c r="E164" s="171" t="s">
        <v>1170</v>
      </c>
      <c r="F164" s="171" t="s">
        <v>673</v>
      </c>
      <c r="G164" s="171" t="s">
        <v>788</v>
      </c>
      <c r="H164" s="171" t="s">
        <v>1162</v>
      </c>
      <c r="I164" s="170">
        <v>8.9700000000000006</v>
      </c>
      <c r="J164" s="156" t="s">
        <v>574</v>
      </c>
      <c r="K164" s="187"/>
      <c r="L164" s="172" t="s">
        <v>748</v>
      </c>
      <c r="M164" s="173" t="s">
        <v>649</v>
      </c>
      <c r="N164" s="174" t="s">
        <v>676</v>
      </c>
      <c r="O164" s="174"/>
      <c r="P164" s="174"/>
      <c r="Q164" s="174"/>
      <c r="R164" s="174"/>
      <c r="S164" s="175" t="s">
        <v>1171</v>
      </c>
      <c r="T164" s="174" t="s">
        <v>678</v>
      </c>
    </row>
    <row r="165" spans="1:20" ht="38.25" customHeight="1">
      <c r="A165" s="159" t="s">
        <v>668</v>
      </c>
      <c r="B165" s="184" t="s">
        <v>669</v>
      </c>
      <c r="C165" s="154" t="s">
        <v>670</v>
      </c>
      <c r="D165" s="161" t="s">
        <v>1172</v>
      </c>
      <c r="E165" s="161" t="s">
        <v>1173</v>
      </c>
      <c r="F165" s="161" t="s">
        <v>673</v>
      </c>
      <c r="G165" s="161" t="s">
        <v>1166</v>
      </c>
      <c r="H165" s="161" t="s">
        <v>1162</v>
      </c>
      <c r="I165" s="160">
        <v>8.56</v>
      </c>
      <c r="J165" s="154" t="s">
        <v>574</v>
      </c>
      <c r="K165" s="185"/>
      <c r="L165" s="163" t="s">
        <v>748</v>
      </c>
      <c r="M165" s="164" t="s">
        <v>649</v>
      </c>
      <c r="N165" s="165" t="s">
        <v>676</v>
      </c>
      <c r="O165" s="165"/>
      <c r="P165" s="165"/>
      <c r="Q165" s="165"/>
      <c r="R165" s="165"/>
      <c r="S165" s="166" t="s">
        <v>948</v>
      </c>
      <c r="T165" s="165" t="s">
        <v>678</v>
      </c>
    </row>
    <row r="166" spans="1:20" ht="38.25" customHeight="1">
      <c r="A166" s="169" t="s">
        <v>668</v>
      </c>
      <c r="B166" s="186" t="s">
        <v>669</v>
      </c>
      <c r="C166" s="156" t="s">
        <v>670</v>
      </c>
      <c r="D166" s="171" t="s">
        <v>1174</v>
      </c>
      <c r="E166" s="171" t="s">
        <v>1175</v>
      </c>
      <c r="F166" s="171" t="s">
        <v>673</v>
      </c>
      <c r="G166" s="171" t="s">
        <v>1176</v>
      </c>
      <c r="H166" s="171" t="s">
        <v>1162</v>
      </c>
      <c r="I166" s="170">
        <v>9.5</v>
      </c>
      <c r="J166" s="156" t="s">
        <v>574</v>
      </c>
      <c r="K166" s="187"/>
      <c r="L166" s="172" t="s">
        <v>748</v>
      </c>
      <c r="M166" s="173" t="s">
        <v>649</v>
      </c>
      <c r="N166" s="174" t="s">
        <v>676</v>
      </c>
      <c r="O166" s="174"/>
      <c r="P166" s="174"/>
      <c r="Q166" s="174"/>
      <c r="R166" s="174"/>
      <c r="S166" s="175" t="s">
        <v>1177</v>
      </c>
      <c r="T166" s="174" t="s">
        <v>678</v>
      </c>
    </row>
    <row r="167" spans="1:20" ht="38.25" customHeight="1">
      <c r="A167" s="159" t="s">
        <v>668</v>
      </c>
      <c r="B167" s="184" t="s">
        <v>669</v>
      </c>
      <c r="C167" s="154" t="s">
        <v>670</v>
      </c>
      <c r="D167" s="161" t="s">
        <v>1174</v>
      </c>
      <c r="E167" s="161" t="s">
        <v>1178</v>
      </c>
      <c r="F167" s="161" t="s">
        <v>673</v>
      </c>
      <c r="G167" s="161" t="s">
        <v>1176</v>
      </c>
      <c r="H167" s="161" t="s">
        <v>1162</v>
      </c>
      <c r="I167" s="160">
        <v>8.92</v>
      </c>
      <c r="J167" s="154" t="s">
        <v>574</v>
      </c>
      <c r="K167" s="185"/>
      <c r="L167" s="163" t="s">
        <v>748</v>
      </c>
      <c r="M167" s="164" t="s">
        <v>649</v>
      </c>
      <c r="N167" s="165" t="s">
        <v>676</v>
      </c>
      <c r="O167" s="165"/>
      <c r="P167" s="165"/>
      <c r="Q167" s="165"/>
      <c r="R167" s="165"/>
      <c r="S167" s="166" t="s">
        <v>1158</v>
      </c>
      <c r="T167" s="165" t="s">
        <v>678</v>
      </c>
    </row>
    <row r="168" spans="1:20" ht="38.25" customHeight="1">
      <c r="A168" s="169" t="s">
        <v>668</v>
      </c>
      <c r="B168" s="186" t="s">
        <v>669</v>
      </c>
      <c r="C168" s="156" t="s">
        <v>670</v>
      </c>
      <c r="D168" s="171" t="s">
        <v>1179</v>
      </c>
      <c r="E168" s="171" t="s">
        <v>1180</v>
      </c>
      <c r="F168" s="171" t="s">
        <v>673</v>
      </c>
      <c r="G168" s="171" t="s">
        <v>1181</v>
      </c>
      <c r="H168" s="171" t="s">
        <v>1162</v>
      </c>
      <c r="I168" s="170">
        <v>8.68</v>
      </c>
      <c r="J168" s="156" t="s">
        <v>574</v>
      </c>
      <c r="K168" s="187"/>
      <c r="L168" s="172" t="s">
        <v>748</v>
      </c>
      <c r="M168" s="173" t="s">
        <v>649</v>
      </c>
      <c r="N168" s="174" t="s">
        <v>676</v>
      </c>
      <c r="O168" s="174"/>
      <c r="P168" s="174"/>
      <c r="Q168" s="174"/>
      <c r="R168" s="174"/>
      <c r="S168" s="175" t="s">
        <v>1182</v>
      </c>
      <c r="T168" s="174" t="s">
        <v>678</v>
      </c>
    </row>
    <row r="169" spans="1:20" ht="38.25" customHeight="1">
      <c r="A169" s="159" t="s">
        <v>668</v>
      </c>
      <c r="B169" s="184" t="s">
        <v>669</v>
      </c>
      <c r="C169" s="154" t="s">
        <v>670</v>
      </c>
      <c r="D169" s="161" t="s">
        <v>1183</v>
      </c>
      <c r="E169" s="161" t="s">
        <v>1184</v>
      </c>
      <c r="F169" s="161" t="s">
        <v>673</v>
      </c>
      <c r="G169" s="161" t="s">
        <v>1166</v>
      </c>
      <c r="H169" s="161" t="s">
        <v>1162</v>
      </c>
      <c r="I169" s="160">
        <v>7.66</v>
      </c>
      <c r="J169" s="154" t="s">
        <v>574</v>
      </c>
      <c r="K169" s="185"/>
      <c r="L169" s="163" t="s">
        <v>748</v>
      </c>
      <c r="M169" s="164" t="s">
        <v>649</v>
      </c>
      <c r="N169" s="165" t="s">
        <v>676</v>
      </c>
      <c r="O169" s="165"/>
      <c r="P169" s="165"/>
      <c r="Q169" s="165"/>
      <c r="R169" s="165"/>
      <c r="S169" s="166" t="s">
        <v>1185</v>
      </c>
      <c r="T169" s="165" t="s">
        <v>678</v>
      </c>
    </row>
    <row r="170" spans="1:20" ht="38.25" customHeight="1">
      <c r="A170" s="169" t="s">
        <v>668</v>
      </c>
      <c r="B170" s="186" t="s">
        <v>669</v>
      </c>
      <c r="C170" s="156" t="s">
        <v>670</v>
      </c>
      <c r="D170" s="171" t="s">
        <v>1186</v>
      </c>
      <c r="E170" s="171" t="s">
        <v>1187</v>
      </c>
      <c r="F170" s="171" t="s">
        <v>673</v>
      </c>
      <c r="G170" s="171" t="s">
        <v>1188</v>
      </c>
      <c r="H170" s="171" t="s">
        <v>727</v>
      </c>
      <c r="I170" s="170">
        <v>9.3000000000000007</v>
      </c>
      <c r="J170" s="156" t="s">
        <v>574</v>
      </c>
      <c r="K170" s="187"/>
      <c r="L170" s="172" t="s">
        <v>748</v>
      </c>
      <c r="M170" s="173" t="s">
        <v>649</v>
      </c>
      <c r="N170" s="174" t="s">
        <v>676</v>
      </c>
      <c r="O170" s="174"/>
      <c r="P170" s="174"/>
      <c r="Q170" s="174"/>
      <c r="R170" s="174"/>
      <c r="S170" s="175" t="s">
        <v>995</v>
      </c>
      <c r="T170" s="174" t="s">
        <v>678</v>
      </c>
    </row>
    <row r="171" spans="1:20" ht="38.25" customHeight="1">
      <c r="A171" s="159" t="s">
        <v>668</v>
      </c>
      <c r="B171" s="184" t="s">
        <v>669</v>
      </c>
      <c r="C171" s="154" t="s">
        <v>670</v>
      </c>
      <c r="D171" s="161" t="s">
        <v>1189</v>
      </c>
      <c r="E171" s="161" t="s">
        <v>1190</v>
      </c>
      <c r="F171" s="161" t="s">
        <v>706</v>
      </c>
      <c r="G171" s="161" t="s">
        <v>726</v>
      </c>
      <c r="H171" s="161" t="s">
        <v>727</v>
      </c>
      <c r="I171" s="160">
        <v>10.4</v>
      </c>
      <c r="J171" s="154" t="s">
        <v>574</v>
      </c>
      <c r="K171" s="185"/>
      <c r="L171" s="163" t="s">
        <v>748</v>
      </c>
      <c r="M171" s="164" t="s">
        <v>649</v>
      </c>
      <c r="N171" s="165" t="s">
        <v>676</v>
      </c>
      <c r="O171" s="165"/>
      <c r="P171" s="165"/>
      <c r="Q171" s="165"/>
      <c r="R171" s="165"/>
      <c r="S171" s="166" t="s">
        <v>693</v>
      </c>
      <c r="T171" s="165" t="s">
        <v>678</v>
      </c>
    </row>
    <row r="172" spans="1:20" ht="38.25" customHeight="1">
      <c r="A172" s="169" t="s">
        <v>668</v>
      </c>
      <c r="B172" s="186" t="s">
        <v>669</v>
      </c>
      <c r="C172" s="156" t="s">
        <v>670</v>
      </c>
      <c r="D172" s="171" t="s">
        <v>1191</v>
      </c>
      <c r="E172" s="171" t="s">
        <v>1192</v>
      </c>
      <c r="F172" s="171" t="s">
        <v>673</v>
      </c>
      <c r="G172" s="171" t="s">
        <v>746</v>
      </c>
      <c r="H172" s="171" t="s">
        <v>727</v>
      </c>
      <c r="I172" s="170">
        <v>9.7200000000000006</v>
      </c>
      <c r="J172" s="156" t="s">
        <v>574</v>
      </c>
      <c r="K172" s="187"/>
      <c r="L172" s="172" t="s">
        <v>748</v>
      </c>
      <c r="M172" s="173" t="s">
        <v>649</v>
      </c>
      <c r="N172" s="174" t="s">
        <v>676</v>
      </c>
      <c r="O172" s="174"/>
      <c r="P172" s="174"/>
      <c r="Q172" s="174"/>
      <c r="R172" s="174"/>
      <c r="S172" s="175" t="s">
        <v>1050</v>
      </c>
      <c r="T172" s="174" t="s">
        <v>678</v>
      </c>
    </row>
    <row r="173" spans="1:20" ht="38.25" customHeight="1">
      <c r="A173" s="159" t="s">
        <v>668</v>
      </c>
      <c r="B173" s="184" t="s">
        <v>669</v>
      </c>
      <c r="C173" s="154" t="s">
        <v>670</v>
      </c>
      <c r="D173" s="161" t="s">
        <v>1191</v>
      </c>
      <c r="E173" s="161" t="s">
        <v>1193</v>
      </c>
      <c r="F173" s="161" t="s">
        <v>673</v>
      </c>
      <c r="G173" s="161" t="s">
        <v>746</v>
      </c>
      <c r="H173" s="161" t="s">
        <v>727</v>
      </c>
      <c r="I173" s="160">
        <v>8.3699999999999992</v>
      </c>
      <c r="J173" s="154" t="s">
        <v>574</v>
      </c>
      <c r="K173" s="185"/>
      <c r="L173" s="163" t="s">
        <v>748</v>
      </c>
      <c r="M173" s="164" t="s">
        <v>649</v>
      </c>
      <c r="N173" s="165" t="s">
        <v>676</v>
      </c>
      <c r="O173" s="165"/>
      <c r="P173" s="165"/>
      <c r="Q173" s="165"/>
      <c r="R173" s="165"/>
      <c r="S173" s="166" t="s">
        <v>844</v>
      </c>
      <c r="T173" s="165" t="s">
        <v>678</v>
      </c>
    </row>
    <row r="174" spans="1:20" ht="38.25" customHeight="1">
      <c r="A174" s="169" t="s">
        <v>668</v>
      </c>
      <c r="B174" s="186" t="s">
        <v>669</v>
      </c>
      <c r="C174" s="156" t="s">
        <v>670</v>
      </c>
      <c r="D174" s="171" t="s">
        <v>1194</v>
      </c>
      <c r="E174" s="171" t="s">
        <v>1195</v>
      </c>
      <c r="F174" s="171" t="s">
        <v>673</v>
      </c>
      <c r="G174" s="171" t="s">
        <v>766</v>
      </c>
      <c r="H174" s="171" t="s">
        <v>727</v>
      </c>
      <c r="I174" s="170">
        <v>8.5500000000000007</v>
      </c>
      <c r="J174" s="156" t="s">
        <v>574</v>
      </c>
      <c r="K174" s="187"/>
      <c r="L174" s="172" t="s">
        <v>748</v>
      </c>
      <c r="M174" s="173" t="s">
        <v>649</v>
      </c>
      <c r="N174" s="174" t="s">
        <v>676</v>
      </c>
      <c r="O174" s="174"/>
      <c r="P174" s="174"/>
      <c r="Q174" s="174"/>
      <c r="R174" s="174"/>
      <c r="S174" s="175" t="s">
        <v>973</v>
      </c>
      <c r="T174" s="174" t="s">
        <v>678</v>
      </c>
    </row>
    <row r="175" spans="1:20" ht="38.25" customHeight="1">
      <c r="A175" s="159" t="s">
        <v>668</v>
      </c>
      <c r="B175" s="184" t="s">
        <v>669</v>
      </c>
      <c r="C175" s="154" t="s">
        <v>670</v>
      </c>
      <c r="D175" s="161" t="s">
        <v>1196</v>
      </c>
      <c r="E175" s="161" t="s">
        <v>1197</v>
      </c>
      <c r="F175" s="161" t="s">
        <v>673</v>
      </c>
      <c r="G175" s="161" t="s">
        <v>1188</v>
      </c>
      <c r="H175" s="161" t="s">
        <v>727</v>
      </c>
      <c r="I175" s="160">
        <v>8.34</v>
      </c>
      <c r="J175" s="154" t="s">
        <v>574</v>
      </c>
      <c r="K175" s="185"/>
      <c r="L175" s="163" t="s">
        <v>748</v>
      </c>
      <c r="M175" s="164" t="s">
        <v>649</v>
      </c>
      <c r="N175" s="165" t="s">
        <v>676</v>
      </c>
      <c r="O175" s="165"/>
      <c r="P175" s="165"/>
      <c r="Q175" s="165"/>
      <c r="R175" s="165"/>
      <c r="S175" s="166" t="s">
        <v>1198</v>
      </c>
      <c r="T175" s="165" t="s">
        <v>678</v>
      </c>
    </row>
    <row r="176" spans="1:20" ht="38.25" customHeight="1">
      <c r="A176" s="169" t="s">
        <v>668</v>
      </c>
      <c r="B176" s="186" t="s">
        <v>669</v>
      </c>
      <c r="C176" s="156" t="s">
        <v>670</v>
      </c>
      <c r="D176" s="171" t="s">
        <v>1199</v>
      </c>
      <c r="E176" s="171" t="s">
        <v>1200</v>
      </c>
      <c r="F176" s="171" t="s">
        <v>673</v>
      </c>
      <c r="G176" s="171" t="s">
        <v>1201</v>
      </c>
      <c r="H176" s="171" t="s">
        <v>727</v>
      </c>
      <c r="I176" s="170">
        <v>9.15</v>
      </c>
      <c r="J176" s="156" t="s">
        <v>574</v>
      </c>
      <c r="K176" s="187"/>
      <c r="L176" s="172" t="s">
        <v>748</v>
      </c>
      <c r="M176" s="173" t="s">
        <v>649</v>
      </c>
      <c r="N176" s="174" t="s">
        <v>676</v>
      </c>
      <c r="O176" s="174"/>
      <c r="P176" s="174"/>
      <c r="Q176" s="174"/>
      <c r="R176" s="174"/>
      <c r="S176" s="175" t="s">
        <v>821</v>
      </c>
      <c r="T176" s="174" t="s">
        <v>678</v>
      </c>
    </row>
    <row r="177" spans="1:20" ht="51" customHeight="1">
      <c r="A177" s="159" t="s">
        <v>668</v>
      </c>
      <c r="B177" s="184" t="s">
        <v>669</v>
      </c>
      <c r="C177" s="154" t="s">
        <v>670</v>
      </c>
      <c r="D177" s="161" t="s">
        <v>1202</v>
      </c>
      <c r="E177" s="161" t="s">
        <v>1203</v>
      </c>
      <c r="F177" s="161" t="s">
        <v>673</v>
      </c>
      <c r="G177" s="161" t="s">
        <v>780</v>
      </c>
      <c r="H177" s="161" t="s">
        <v>727</v>
      </c>
      <c r="I177" s="160">
        <v>8.14</v>
      </c>
      <c r="J177" s="154" t="s">
        <v>574</v>
      </c>
      <c r="K177" s="185"/>
      <c r="L177" s="163" t="s">
        <v>748</v>
      </c>
      <c r="M177" s="164" t="s">
        <v>649</v>
      </c>
      <c r="N177" s="165" t="s">
        <v>676</v>
      </c>
      <c r="O177" s="165"/>
      <c r="P177" s="165"/>
      <c r="Q177" s="165"/>
      <c r="R177" s="165"/>
      <c r="S177" s="166" t="s">
        <v>1204</v>
      </c>
      <c r="T177" s="165" t="s">
        <v>678</v>
      </c>
    </row>
    <row r="178" spans="1:20" ht="38.25" customHeight="1">
      <c r="A178" s="169" t="s">
        <v>668</v>
      </c>
      <c r="B178" s="186" t="s">
        <v>669</v>
      </c>
      <c r="C178" s="156" t="s">
        <v>670</v>
      </c>
      <c r="D178" s="171" t="s">
        <v>1205</v>
      </c>
      <c r="E178" s="171" t="s">
        <v>1206</v>
      </c>
      <c r="F178" s="171" t="s">
        <v>673</v>
      </c>
      <c r="G178" s="171" t="s">
        <v>756</v>
      </c>
      <c r="H178" s="171" t="s">
        <v>727</v>
      </c>
      <c r="I178" s="170">
        <v>10.3</v>
      </c>
      <c r="J178" s="156" t="s">
        <v>574</v>
      </c>
      <c r="K178" s="187"/>
      <c r="L178" s="172" t="s">
        <v>748</v>
      </c>
      <c r="M178" s="173" t="s">
        <v>649</v>
      </c>
      <c r="N178" s="174" t="s">
        <v>676</v>
      </c>
      <c r="O178" s="174"/>
      <c r="P178" s="174"/>
      <c r="Q178" s="174"/>
      <c r="R178" s="174"/>
      <c r="S178" s="175" t="s">
        <v>757</v>
      </c>
      <c r="T178" s="174" t="s">
        <v>678</v>
      </c>
    </row>
    <row r="179" spans="1:20" ht="38.25" customHeight="1">
      <c r="A179" s="159" t="s">
        <v>668</v>
      </c>
      <c r="B179" s="184" t="s">
        <v>669</v>
      </c>
      <c r="C179" s="154" t="s">
        <v>670</v>
      </c>
      <c r="D179" s="161" t="s">
        <v>724</v>
      </c>
      <c r="E179" s="161" t="s">
        <v>1207</v>
      </c>
      <c r="F179" s="161" t="s">
        <v>673</v>
      </c>
      <c r="G179" s="161" t="s">
        <v>726</v>
      </c>
      <c r="H179" s="161" t="s">
        <v>727</v>
      </c>
      <c r="I179" s="160">
        <v>7.91</v>
      </c>
      <c r="J179" s="154" t="s">
        <v>574</v>
      </c>
      <c r="K179" s="185"/>
      <c r="L179" s="163" t="s">
        <v>748</v>
      </c>
      <c r="M179" s="164" t="s">
        <v>649</v>
      </c>
      <c r="N179" s="165" t="s">
        <v>676</v>
      </c>
      <c r="O179" s="165"/>
      <c r="P179" s="165"/>
      <c r="Q179" s="165"/>
      <c r="R179" s="165"/>
      <c r="S179" s="166" t="s">
        <v>1208</v>
      </c>
      <c r="T179" s="165" t="s">
        <v>678</v>
      </c>
    </row>
    <row r="180" spans="1:20" ht="38.25" customHeight="1">
      <c r="A180" s="169" t="s">
        <v>668</v>
      </c>
      <c r="B180" s="186" t="s">
        <v>669</v>
      </c>
      <c r="C180" s="156" t="s">
        <v>670</v>
      </c>
      <c r="D180" s="171" t="s">
        <v>724</v>
      </c>
      <c r="E180" s="171" t="s">
        <v>1209</v>
      </c>
      <c r="F180" s="171" t="s">
        <v>673</v>
      </c>
      <c r="G180" s="171" t="s">
        <v>726</v>
      </c>
      <c r="H180" s="171" t="s">
        <v>727</v>
      </c>
      <c r="I180" s="170">
        <v>7.93</v>
      </c>
      <c r="J180" s="156" t="s">
        <v>574</v>
      </c>
      <c r="K180" s="187"/>
      <c r="L180" s="172" t="s">
        <v>748</v>
      </c>
      <c r="M180" s="173" t="s">
        <v>649</v>
      </c>
      <c r="N180" s="174" t="s">
        <v>676</v>
      </c>
      <c r="O180" s="174"/>
      <c r="P180" s="174"/>
      <c r="Q180" s="174"/>
      <c r="R180" s="174"/>
      <c r="S180" s="175" t="s">
        <v>1210</v>
      </c>
      <c r="T180" s="174" t="s">
        <v>678</v>
      </c>
    </row>
    <row r="181" spans="1:20" ht="38.25" customHeight="1">
      <c r="A181" s="159" t="s">
        <v>668</v>
      </c>
      <c r="B181" s="184" t="s">
        <v>669</v>
      </c>
      <c r="C181" s="154" t="s">
        <v>670</v>
      </c>
      <c r="D181" s="161" t="s">
        <v>1211</v>
      </c>
      <c r="E181" s="161" t="s">
        <v>1212</v>
      </c>
      <c r="F181" s="161" t="s">
        <v>673</v>
      </c>
      <c r="G181" s="161" t="s">
        <v>1213</v>
      </c>
      <c r="H181" s="161" t="s">
        <v>727</v>
      </c>
      <c r="I181" s="160">
        <v>9.8800000000000008</v>
      </c>
      <c r="J181" s="154" t="s">
        <v>574</v>
      </c>
      <c r="K181" s="185"/>
      <c r="L181" s="163" t="s">
        <v>748</v>
      </c>
      <c r="M181" s="164" t="s">
        <v>649</v>
      </c>
      <c r="N181" s="165" t="s">
        <v>676</v>
      </c>
      <c r="O181" s="165"/>
      <c r="P181" s="165"/>
      <c r="Q181" s="165"/>
      <c r="R181" s="165"/>
      <c r="S181" s="166" t="s">
        <v>1214</v>
      </c>
      <c r="T181" s="165" t="s">
        <v>678</v>
      </c>
    </row>
    <row r="182" spans="1:20" ht="38.25" customHeight="1">
      <c r="A182" s="169" t="s">
        <v>668</v>
      </c>
      <c r="B182" s="186" t="s">
        <v>669</v>
      </c>
      <c r="C182" s="156" t="s">
        <v>670</v>
      </c>
      <c r="D182" s="171" t="s">
        <v>1211</v>
      </c>
      <c r="E182" s="171" t="s">
        <v>1215</v>
      </c>
      <c r="F182" s="171" t="s">
        <v>673</v>
      </c>
      <c r="G182" s="171" t="s">
        <v>1213</v>
      </c>
      <c r="H182" s="171" t="s">
        <v>727</v>
      </c>
      <c r="I182" s="170">
        <v>9.77</v>
      </c>
      <c r="J182" s="156" t="s">
        <v>574</v>
      </c>
      <c r="K182" s="187"/>
      <c r="L182" s="172" t="s">
        <v>748</v>
      </c>
      <c r="M182" s="173" t="s">
        <v>649</v>
      </c>
      <c r="N182" s="174" t="s">
        <v>676</v>
      </c>
      <c r="O182" s="174"/>
      <c r="P182" s="174"/>
      <c r="Q182" s="174"/>
      <c r="R182" s="174"/>
      <c r="S182" s="175" t="s">
        <v>1216</v>
      </c>
      <c r="T182" s="174" t="s">
        <v>678</v>
      </c>
    </row>
    <row r="183" spans="1:20" ht="38.25" customHeight="1">
      <c r="A183" s="159" t="s">
        <v>668</v>
      </c>
      <c r="B183" s="184" t="s">
        <v>669</v>
      </c>
      <c r="C183" s="154" t="s">
        <v>670</v>
      </c>
      <c r="D183" s="161" t="s">
        <v>1217</v>
      </c>
      <c r="E183" s="161" t="s">
        <v>1218</v>
      </c>
      <c r="F183" s="161" t="s">
        <v>673</v>
      </c>
      <c r="G183" s="161" t="s">
        <v>1219</v>
      </c>
      <c r="H183" s="161" t="s">
        <v>727</v>
      </c>
      <c r="I183" s="160">
        <v>7.77</v>
      </c>
      <c r="J183" s="154" t="s">
        <v>574</v>
      </c>
      <c r="K183" s="185"/>
      <c r="L183" s="163" t="s">
        <v>748</v>
      </c>
      <c r="M183" s="164" t="s">
        <v>649</v>
      </c>
      <c r="N183" s="165" t="s">
        <v>676</v>
      </c>
      <c r="O183" s="165"/>
      <c r="P183" s="165"/>
      <c r="Q183" s="165"/>
      <c r="R183" s="165"/>
      <c r="S183" s="166" t="s">
        <v>825</v>
      </c>
      <c r="T183" s="165" t="s">
        <v>678</v>
      </c>
    </row>
    <row r="184" spans="1:20" ht="38.25" customHeight="1">
      <c r="A184" s="169" t="s">
        <v>668</v>
      </c>
      <c r="B184" s="186" t="s">
        <v>669</v>
      </c>
      <c r="C184" s="156" t="s">
        <v>670</v>
      </c>
      <c r="D184" s="171" t="s">
        <v>1220</v>
      </c>
      <c r="E184" s="171" t="s">
        <v>1221</v>
      </c>
      <c r="F184" s="171" t="s">
        <v>673</v>
      </c>
      <c r="G184" s="171" t="s">
        <v>1222</v>
      </c>
      <c r="H184" s="171" t="s">
        <v>727</v>
      </c>
      <c r="I184" s="170">
        <v>9.68</v>
      </c>
      <c r="J184" s="156" t="s">
        <v>574</v>
      </c>
      <c r="K184" s="187"/>
      <c r="L184" s="172" t="s">
        <v>748</v>
      </c>
      <c r="M184" s="173" t="s">
        <v>649</v>
      </c>
      <c r="N184" s="174" t="s">
        <v>676</v>
      </c>
      <c r="O184" s="174"/>
      <c r="P184" s="174"/>
      <c r="Q184" s="174"/>
      <c r="R184" s="174"/>
      <c r="S184" s="175" t="s">
        <v>1223</v>
      </c>
      <c r="T184" s="174" t="s">
        <v>678</v>
      </c>
    </row>
    <row r="185" spans="1:20" ht="38.25" customHeight="1">
      <c r="A185" s="159" t="s">
        <v>668</v>
      </c>
      <c r="B185" s="184" t="s">
        <v>669</v>
      </c>
      <c r="C185" s="154" t="s">
        <v>670</v>
      </c>
      <c r="D185" s="161" t="s">
        <v>1224</v>
      </c>
      <c r="E185" s="161" t="s">
        <v>1225</v>
      </c>
      <c r="F185" s="161" t="s">
        <v>673</v>
      </c>
      <c r="G185" s="161" t="s">
        <v>1226</v>
      </c>
      <c r="H185" s="161" t="s">
        <v>727</v>
      </c>
      <c r="I185" s="160">
        <v>9.2899999999999991</v>
      </c>
      <c r="J185" s="154" t="s">
        <v>574</v>
      </c>
      <c r="K185" s="185"/>
      <c r="L185" s="163" t="s">
        <v>748</v>
      </c>
      <c r="M185" s="164" t="s">
        <v>649</v>
      </c>
      <c r="N185" s="165" t="s">
        <v>676</v>
      </c>
      <c r="O185" s="165"/>
      <c r="P185" s="165"/>
      <c r="Q185" s="165"/>
      <c r="R185" s="165"/>
      <c r="S185" s="166" t="s">
        <v>1118</v>
      </c>
      <c r="T185" s="165" t="s">
        <v>678</v>
      </c>
    </row>
    <row r="186" spans="1:20" ht="38.25" customHeight="1">
      <c r="A186" s="169" t="s">
        <v>668</v>
      </c>
      <c r="B186" s="186" t="s">
        <v>669</v>
      </c>
      <c r="C186" s="156" t="s">
        <v>670</v>
      </c>
      <c r="D186" s="171" t="s">
        <v>1227</v>
      </c>
      <c r="E186" s="171" t="s">
        <v>1228</v>
      </c>
      <c r="F186" s="171" t="s">
        <v>673</v>
      </c>
      <c r="G186" s="171" t="s">
        <v>1229</v>
      </c>
      <c r="H186" s="171" t="s">
        <v>727</v>
      </c>
      <c r="I186" s="170">
        <v>8.69</v>
      </c>
      <c r="J186" s="156" t="s">
        <v>574</v>
      </c>
      <c r="K186" s="187"/>
      <c r="L186" s="172" t="s">
        <v>748</v>
      </c>
      <c r="M186" s="173" t="s">
        <v>649</v>
      </c>
      <c r="N186" s="174" t="s">
        <v>676</v>
      </c>
      <c r="O186" s="174"/>
      <c r="P186" s="174"/>
      <c r="Q186" s="174"/>
      <c r="R186" s="174"/>
      <c r="S186" s="175" t="s">
        <v>1230</v>
      </c>
      <c r="T186" s="174" t="s">
        <v>678</v>
      </c>
    </row>
    <row r="187" spans="1:20" ht="38.25" customHeight="1">
      <c r="A187" s="159" t="s">
        <v>668</v>
      </c>
      <c r="B187" s="184" t="s">
        <v>669</v>
      </c>
      <c r="C187" s="154" t="s">
        <v>670</v>
      </c>
      <c r="D187" s="161" t="s">
        <v>1231</v>
      </c>
      <c r="E187" s="161" t="s">
        <v>1232</v>
      </c>
      <c r="F187" s="161" t="s">
        <v>673</v>
      </c>
      <c r="G187" s="161" t="s">
        <v>1233</v>
      </c>
      <c r="H187" s="161" t="s">
        <v>727</v>
      </c>
      <c r="I187" s="160">
        <v>9.4499999999999993</v>
      </c>
      <c r="J187" s="154" t="s">
        <v>574</v>
      </c>
      <c r="K187" s="185"/>
      <c r="L187" s="163" t="s">
        <v>748</v>
      </c>
      <c r="M187" s="164" t="s">
        <v>649</v>
      </c>
      <c r="N187" s="165" t="s">
        <v>676</v>
      </c>
      <c r="O187" s="165"/>
      <c r="P187" s="165"/>
      <c r="Q187" s="165"/>
      <c r="R187" s="165"/>
      <c r="S187" s="166" t="s">
        <v>1234</v>
      </c>
      <c r="T187" s="165" t="s">
        <v>678</v>
      </c>
    </row>
    <row r="188" spans="1:20" ht="38.25" customHeight="1">
      <c r="A188" s="169" t="s">
        <v>668</v>
      </c>
      <c r="B188" s="186" t="s">
        <v>669</v>
      </c>
      <c r="C188" s="156" t="s">
        <v>670</v>
      </c>
      <c r="D188" s="171" t="s">
        <v>1235</v>
      </c>
      <c r="E188" s="171" t="s">
        <v>1236</v>
      </c>
      <c r="F188" s="171" t="s">
        <v>673</v>
      </c>
      <c r="G188" s="171" t="s">
        <v>1237</v>
      </c>
      <c r="H188" s="171" t="s">
        <v>727</v>
      </c>
      <c r="I188" s="170">
        <v>10.4</v>
      </c>
      <c r="J188" s="156" t="s">
        <v>574</v>
      </c>
      <c r="K188" s="187"/>
      <c r="L188" s="172" t="s">
        <v>748</v>
      </c>
      <c r="M188" s="173" t="s">
        <v>649</v>
      </c>
      <c r="N188" s="174" t="s">
        <v>676</v>
      </c>
      <c r="O188" s="174"/>
      <c r="P188" s="174"/>
      <c r="Q188" s="174"/>
      <c r="R188" s="174"/>
      <c r="S188" s="175" t="s">
        <v>693</v>
      </c>
      <c r="T188" s="174" t="s">
        <v>678</v>
      </c>
    </row>
    <row r="189" spans="1:20" ht="38.25" customHeight="1">
      <c r="A189" s="159" t="s">
        <v>668</v>
      </c>
      <c r="B189" s="184" t="s">
        <v>669</v>
      </c>
      <c r="C189" s="154" t="s">
        <v>670</v>
      </c>
      <c r="D189" s="161" t="s">
        <v>1238</v>
      </c>
      <c r="E189" s="161" t="s">
        <v>1239</v>
      </c>
      <c r="F189" s="161" t="s">
        <v>673</v>
      </c>
      <c r="G189" s="161" t="s">
        <v>1240</v>
      </c>
      <c r="H189" s="161" t="s">
        <v>727</v>
      </c>
      <c r="I189" s="160">
        <v>9.31</v>
      </c>
      <c r="J189" s="154" t="s">
        <v>574</v>
      </c>
      <c r="K189" s="185"/>
      <c r="L189" s="163" t="s">
        <v>748</v>
      </c>
      <c r="M189" s="164" t="s">
        <v>649</v>
      </c>
      <c r="N189" s="165" t="s">
        <v>676</v>
      </c>
      <c r="O189" s="165"/>
      <c r="P189" s="165"/>
      <c r="Q189" s="165"/>
      <c r="R189" s="165"/>
      <c r="S189" s="166" t="s">
        <v>1241</v>
      </c>
      <c r="T189" s="165" t="s">
        <v>678</v>
      </c>
    </row>
    <row r="190" spans="1:20" ht="38.25" customHeight="1">
      <c r="A190" s="169" t="s">
        <v>668</v>
      </c>
      <c r="B190" s="186" t="s">
        <v>669</v>
      </c>
      <c r="C190" s="156" t="s">
        <v>670</v>
      </c>
      <c r="D190" s="171" t="s">
        <v>1242</v>
      </c>
      <c r="E190" s="171" t="s">
        <v>1243</v>
      </c>
      <c r="F190" s="171" t="s">
        <v>673</v>
      </c>
      <c r="G190" s="171"/>
      <c r="H190" s="171" t="s">
        <v>727</v>
      </c>
      <c r="I190" s="170">
        <v>9.49</v>
      </c>
      <c r="J190" s="156" t="s">
        <v>574</v>
      </c>
      <c r="K190" s="187"/>
      <c r="L190" s="172" t="s">
        <v>748</v>
      </c>
      <c r="M190" s="173" t="s">
        <v>649</v>
      </c>
      <c r="N190" s="174" t="s">
        <v>676</v>
      </c>
      <c r="O190" s="174"/>
      <c r="P190" s="174"/>
      <c r="Q190" s="174"/>
      <c r="R190" s="174"/>
      <c r="S190" s="175" t="s">
        <v>1244</v>
      </c>
      <c r="T190" s="174" t="s">
        <v>678</v>
      </c>
    </row>
    <row r="191" spans="1:20" ht="38.25" customHeight="1">
      <c r="A191" s="159" t="s">
        <v>668</v>
      </c>
      <c r="B191" s="184" t="s">
        <v>669</v>
      </c>
      <c r="C191" s="154" t="s">
        <v>670</v>
      </c>
      <c r="D191" s="161" t="s">
        <v>1245</v>
      </c>
      <c r="E191" s="161" t="s">
        <v>1246</v>
      </c>
      <c r="F191" s="161" t="s">
        <v>706</v>
      </c>
      <c r="G191" s="161" t="s">
        <v>1247</v>
      </c>
      <c r="H191" s="161" t="s">
        <v>727</v>
      </c>
      <c r="I191" s="160">
        <v>8.43</v>
      </c>
      <c r="J191" s="154" t="s">
        <v>574</v>
      </c>
      <c r="K191" s="185"/>
      <c r="L191" s="163" t="s">
        <v>748</v>
      </c>
      <c r="M191" s="164" t="s">
        <v>649</v>
      </c>
      <c r="N191" s="165" t="s">
        <v>676</v>
      </c>
      <c r="O191" s="165"/>
      <c r="P191" s="165"/>
      <c r="Q191" s="165"/>
      <c r="R191" s="165"/>
      <c r="S191" s="166" t="s">
        <v>1067</v>
      </c>
      <c r="T191" s="165" t="s">
        <v>678</v>
      </c>
    </row>
    <row r="192" spans="1:20" ht="38.25" customHeight="1">
      <c r="A192" s="169" t="s">
        <v>668</v>
      </c>
      <c r="B192" s="186" t="s">
        <v>669</v>
      </c>
      <c r="C192" s="156" t="s">
        <v>670</v>
      </c>
      <c r="D192" s="171" t="s">
        <v>1248</v>
      </c>
      <c r="E192" s="171" t="s">
        <v>1249</v>
      </c>
      <c r="F192" s="171" t="s">
        <v>673</v>
      </c>
      <c r="G192" s="171" t="s">
        <v>1250</v>
      </c>
      <c r="H192" s="171" t="s">
        <v>727</v>
      </c>
      <c r="I192" s="170">
        <v>7.95</v>
      </c>
      <c r="J192" s="156" t="s">
        <v>574</v>
      </c>
      <c r="K192" s="187"/>
      <c r="L192" s="172" t="s">
        <v>748</v>
      </c>
      <c r="M192" s="173" t="s">
        <v>649</v>
      </c>
      <c r="N192" s="174" t="s">
        <v>676</v>
      </c>
      <c r="O192" s="174"/>
      <c r="P192" s="174"/>
      <c r="Q192" s="174"/>
      <c r="R192" s="174"/>
      <c r="S192" s="175" t="s">
        <v>1251</v>
      </c>
      <c r="T192" s="174" t="s">
        <v>678</v>
      </c>
    </row>
    <row r="193" spans="1:20" ht="38.25" customHeight="1">
      <c r="A193" s="159" t="s">
        <v>668</v>
      </c>
      <c r="B193" s="184" t="s">
        <v>669</v>
      </c>
      <c r="C193" s="154" t="s">
        <v>670</v>
      </c>
      <c r="D193" s="161" t="s">
        <v>1252</v>
      </c>
      <c r="E193" s="161" t="s">
        <v>1253</v>
      </c>
      <c r="F193" s="161" t="s">
        <v>673</v>
      </c>
      <c r="G193" s="161" t="s">
        <v>1254</v>
      </c>
      <c r="H193" s="161" t="s">
        <v>727</v>
      </c>
      <c r="I193" s="160">
        <v>10</v>
      </c>
      <c r="J193" s="154" t="s">
        <v>574</v>
      </c>
      <c r="K193" s="185"/>
      <c r="L193" s="163" t="s">
        <v>748</v>
      </c>
      <c r="M193" s="164" t="s">
        <v>649</v>
      </c>
      <c r="N193" s="165" t="s">
        <v>676</v>
      </c>
      <c r="O193" s="165"/>
      <c r="P193" s="165"/>
      <c r="Q193" s="165"/>
      <c r="R193" s="165"/>
      <c r="S193" s="166" t="s">
        <v>880</v>
      </c>
      <c r="T193" s="165" t="s">
        <v>678</v>
      </c>
    </row>
    <row r="194" spans="1:20" ht="38.25" customHeight="1">
      <c r="A194" s="169" t="s">
        <v>668</v>
      </c>
      <c r="B194" s="186" t="s">
        <v>669</v>
      </c>
      <c r="C194" s="156" t="s">
        <v>670</v>
      </c>
      <c r="D194" s="171" t="s">
        <v>1255</v>
      </c>
      <c r="E194" s="171" t="s">
        <v>1256</v>
      </c>
      <c r="F194" s="171" t="s">
        <v>706</v>
      </c>
      <c r="G194" s="171" t="s">
        <v>1257</v>
      </c>
      <c r="H194" s="171" t="s">
        <v>727</v>
      </c>
      <c r="I194" s="170">
        <v>9.68</v>
      </c>
      <c r="J194" s="156" t="s">
        <v>574</v>
      </c>
      <c r="K194" s="187"/>
      <c r="L194" s="172" t="s">
        <v>748</v>
      </c>
      <c r="M194" s="173" t="s">
        <v>649</v>
      </c>
      <c r="N194" s="174" t="s">
        <v>676</v>
      </c>
      <c r="O194" s="174"/>
      <c r="P194" s="174"/>
      <c r="Q194" s="174"/>
      <c r="R194" s="174"/>
      <c r="S194" s="175" t="s">
        <v>1223</v>
      </c>
      <c r="T194" s="174" t="s">
        <v>678</v>
      </c>
    </row>
    <row r="195" spans="1:20" ht="51" customHeight="1">
      <c r="A195" s="159" t="s">
        <v>668</v>
      </c>
      <c r="B195" s="184" t="s">
        <v>669</v>
      </c>
      <c r="C195" s="154" t="s">
        <v>670</v>
      </c>
      <c r="D195" s="161" t="s">
        <v>1258</v>
      </c>
      <c r="E195" s="161" t="s">
        <v>1259</v>
      </c>
      <c r="F195" s="161" t="s">
        <v>673</v>
      </c>
      <c r="G195" s="161" t="s">
        <v>1260</v>
      </c>
      <c r="H195" s="161" t="s">
        <v>727</v>
      </c>
      <c r="I195" s="160">
        <v>9.44</v>
      </c>
      <c r="J195" s="154" t="s">
        <v>574</v>
      </c>
      <c r="K195" s="185"/>
      <c r="L195" s="163" t="s">
        <v>748</v>
      </c>
      <c r="M195" s="164" t="s">
        <v>649</v>
      </c>
      <c r="N195" s="165" t="s">
        <v>676</v>
      </c>
      <c r="O195" s="165"/>
      <c r="P195" s="165"/>
      <c r="Q195" s="165"/>
      <c r="R195" s="165"/>
      <c r="S195" s="166" t="s">
        <v>1261</v>
      </c>
      <c r="T195" s="165" t="s">
        <v>678</v>
      </c>
    </row>
    <row r="196" spans="1:20" ht="38.25" customHeight="1">
      <c r="A196" s="169" t="s">
        <v>668</v>
      </c>
      <c r="B196" s="186" t="s">
        <v>669</v>
      </c>
      <c r="C196" s="156" t="s">
        <v>670</v>
      </c>
      <c r="D196" s="171" t="s">
        <v>1262</v>
      </c>
      <c r="E196" s="171" t="s">
        <v>1263</v>
      </c>
      <c r="F196" s="171" t="s">
        <v>673</v>
      </c>
      <c r="G196" s="171" t="s">
        <v>1264</v>
      </c>
      <c r="H196" s="171" t="s">
        <v>727</v>
      </c>
      <c r="I196" s="170">
        <v>8.84</v>
      </c>
      <c r="J196" s="156" t="s">
        <v>574</v>
      </c>
      <c r="K196" s="187"/>
      <c r="L196" s="172" t="s">
        <v>748</v>
      </c>
      <c r="M196" s="173" t="s">
        <v>649</v>
      </c>
      <c r="N196" s="174" t="s">
        <v>676</v>
      </c>
      <c r="O196" s="174"/>
      <c r="P196" s="174"/>
      <c r="Q196" s="174"/>
      <c r="R196" s="174"/>
      <c r="S196" s="175" t="s">
        <v>792</v>
      </c>
      <c r="T196" s="174" t="s">
        <v>678</v>
      </c>
    </row>
    <row r="197" spans="1:20" ht="38.25" customHeight="1">
      <c r="A197" s="159" t="s">
        <v>668</v>
      </c>
      <c r="B197" s="184" t="s">
        <v>669</v>
      </c>
      <c r="C197" s="154" t="s">
        <v>670</v>
      </c>
      <c r="D197" s="161" t="s">
        <v>1265</v>
      </c>
      <c r="E197" s="161" t="s">
        <v>1266</v>
      </c>
      <c r="F197" s="161" t="s">
        <v>673</v>
      </c>
      <c r="G197" s="161" t="s">
        <v>1267</v>
      </c>
      <c r="H197" s="161" t="s">
        <v>727</v>
      </c>
      <c r="I197" s="160">
        <v>10</v>
      </c>
      <c r="J197" s="154" t="s">
        <v>574</v>
      </c>
      <c r="K197" s="185"/>
      <c r="L197" s="163" t="s">
        <v>748</v>
      </c>
      <c r="M197" s="164" t="s">
        <v>649</v>
      </c>
      <c r="N197" s="165" t="s">
        <v>676</v>
      </c>
      <c r="O197" s="165"/>
      <c r="P197" s="165"/>
      <c r="Q197" s="165"/>
      <c r="R197" s="165"/>
      <c r="S197" s="166" t="s">
        <v>880</v>
      </c>
      <c r="T197" s="165" t="s">
        <v>678</v>
      </c>
    </row>
    <row r="198" spans="1:20" ht="38.25" customHeight="1">
      <c r="A198" s="169" t="s">
        <v>668</v>
      </c>
      <c r="B198" s="186" t="s">
        <v>669</v>
      </c>
      <c r="C198" s="156" t="s">
        <v>670</v>
      </c>
      <c r="D198" s="171" t="s">
        <v>1268</v>
      </c>
      <c r="E198" s="171" t="s">
        <v>1269</v>
      </c>
      <c r="F198" s="171" t="s">
        <v>673</v>
      </c>
      <c r="G198" s="171" t="s">
        <v>1270</v>
      </c>
      <c r="H198" s="171" t="s">
        <v>727</v>
      </c>
      <c r="I198" s="170">
        <v>9.16</v>
      </c>
      <c r="J198" s="156" t="s">
        <v>574</v>
      </c>
      <c r="K198" s="187"/>
      <c r="L198" s="172" t="s">
        <v>748</v>
      </c>
      <c r="M198" s="173" t="s">
        <v>649</v>
      </c>
      <c r="N198" s="174" t="s">
        <v>676</v>
      </c>
      <c r="O198" s="174"/>
      <c r="P198" s="174"/>
      <c r="Q198" s="174"/>
      <c r="R198" s="174"/>
      <c r="S198" s="175" t="s">
        <v>1271</v>
      </c>
      <c r="T198" s="174" t="s">
        <v>678</v>
      </c>
    </row>
    <row r="199" spans="1:20" ht="38.25" customHeight="1">
      <c r="A199" s="159" t="s">
        <v>668</v>
      </c>
      <c r="B199" s="184" t="s">
        <v>669</v>
      </c>
      <c r="C199" s="154" t="s">
        <v>670</v>
      </c>
      <c r="D199" s="161" t="s">
        <v>1272</v>
      </c>
      <c r="E199" s="161" t="s">
        <v>1273</v>
      </c>
      <c r="F199" s="161" t="s">
        <v>673</v>
      </c>
      <c r="G199" s="161" t="s">
        <v>1274</v>
      </c>
      <c r="H199" s="161" t="s">
        <v>727</v>
      </c>
      <c r="I199" s="160">
        <v>9.74</v>
      </c>
      <c r="J199" s="154" t="s">
        <v>574</v>
      </c>
      <c r="K199" s="185"/>
      <c r="L199" s="163" t="s">
        <v>748</v>
      </c>
      <c r="M199" s="164" t="s">
        <v>649</v>
      </c>
      <c r="N199" s="165" t="s">
        <v>676</v>
      </c>
      <c r="O199" s="165"/>
      <c r="P199" s="165"/>
      <c r="Q199" s="165"/>
      <c r="R199" s="165"/>
      <c r="S199" s="166" t="s">
        <v>1275</v>
      </c>
      <c r="T199" s="165" t="s">
        <v>678</v>
      </c>
    </row>
    <row r="200" spans="1:20" ht="38.25" customHeight="1">
      <c r="A200" s="169" t="s">
        <v>668</v>
      </c>
      <c r="B200" s="186" t="s">
        <v>669</v>
      </c>
      <c r="C200" s="156" t="s">
        <v>670</v>
      </c>
      <c r="D200" s="171" t="s">
        <v>1276</v>
      </c>
      <c r="E200" s="171" t="s">
        <v>1277</v>
      </c>
      <c r="F200" s="171" t="s">
        <v>673</v>
      </c>
      <c r="G200" s="171" t="s">
        <v>1278</v>
      </c>
      <c r="H200" s="171" t="s">
        <v>727</v>
      </c>
      <c r="I200" s="170">
        <v>9.5399999999999991</v>
      </c>
      <c r="J200" s="156" t="s">
        <v>574</v>
      </c>
      <c r="K200" s="187"/>
      <c r="L200" s="172" t="s">
        <v>748</v>
      </c>
      <c r="M200" s="173" t="s">
        <v>649</v>
      </c>
      <c r="N200" s="174" t="s">
        <v>676</v>
      </c>
      <c r="O200" s="174"/>
      <c r="P200" s="174"/>
      <c r="Q200" s="174"/>
      <c r="R200" s="174"/>
      <c r="S200" s="175" t="s">
        <v>1279</v>
      </c>
      <c r="T200" s="174" t="s">
        <v>678</v>
      </c>
    </row>
    <row r="201" spans="1:20" ht="38.25" customHeight="1">
      <c r="A201" s="159" t="s">
        <v>668</v>
      </c>
      <c r="B201" s="184" t="s">
        <v>669</v>
      </c>
      <c r="C201" s="154" t="s">
        <v>670</v>
      </c>
      <c r="D201" s="161" t="s">
        <v>1280</v>
      </c>
      <c r="E201" s="161" t="s">
        <v>1281</v>
      </c>
      <c r="F201" s="161" t="s">
        <v>673</v>
      </c>
      <c r="G201" s="161" t="s">
        <v>1282</v>
      </c>
      <c r="H201" s="161" t="s">
        <v>727</v>
      </c>
      <c r="I201" s="160">
        <v>9.58</v>
      </c>
      <c r="J201" s="154" t="s">
        <v>574</v>
      </c>
      <c r="K201" s="185"/>
      <c r="L201" s="163" t="s">
        <v>748</v>
      </c>
      <c r="M201" s="164" t="s">
        <v>649</v>
      </c>
      <c r="N201" s="165" t="s">
        <v>676</v>
      </c>
      <c r="O201" s="165"/>
      <c r="P201" s="165"/>
      <c r="Q201" s="165"/>
      <c r="R201" s="165"/>
      <c r="S201" s="166" t="s">
        <v>1283</v>
      </c>
      <c r="T201" s="165" t="s">
        <v>678</v>
      </c>
    </row>
    <row r="202" spans="1:20" ht="38.25" customHeight="1">
      <c r="A202" s="169" t="s">
        <v>668</v>
      </c>
      <c r="B202" s="186" t="s">
        <v>669</v>
      </c>
      <c r="C202" s="156" t="s">
        <v>670</v>
      </c>
      <c r="D202" s="171" t="s">
        <v>1284</v>
      </c>
      <c r="E202" s="171" t="s">
        <v>1285</v>
      </c>
      <c r="F202" s="171" t="s">
        <v>673</v>
      </c>
      <c r="G202" s="171" t="s">
        <v>1237</v>
      </c>
      <c r="H202" s="171" t="s">
        <v>727</v>
      </c>
      <c r="I202" s="170">
        <v>9.1999999999999993</v>
      </c>
      <c r="J202" s="156" t="s">
        <v>574</v>
      </c>
      <c r="K202" s="187"/>
      <c r="L202" s="172" t="s">
        <v>748</v>
      </c>
      <c r="M202" s="173" t="s">
        <v>649</v>
      </c>
      <c r="N202" s="174" t="s">
        <v>676</v>
      </c>
      <c r="O202" s="174"/>
      <c r="P202" s="174"/>
      <c r="Q202" s="174"/>
      <c r="R202" s="174"/>
      <c r="S202" s="175" t="s">
        <v>1286</v>
      </c>
      <c r="T202" s="174" t="s">
        <v>678</v>
      </c>
    </row>
    <row r="203" spans="1:20" ht="38.25" customHeight="1">
      <c r="A203" s="159" t="s">
        <v>668</v>
      </c>
      <c r="B203" s="184" t="s">
        <v>669</v>
      </c>
      <c r="C203" s="154" t="s">
        <v>670</v>
      </c>
      <c r="D203" s="161" t="s">
        <v>1287</v>
      </c>
      <c r="E203" s="161" t="s">
        <v>1288</v>
      </c>
      <c r="F203" s="161" t="s">
        <v>673</v>
      </c>
      <c r="G203" s="161" t="s">
        <v>697</v>
      </c>
      <c r="H203" s="161" t="s">
        <v>727</v>
      </c>
      <c r="I203" s="160">
        <v>9.73</v>
      </c>
      <c r="J203" s="154" t="s">
        <v>574</v>
      </c>
      <c r="K203" s="185"/>
      <c r="L203" s="163" t="s">
        <v>748</v>
      </c>
      <c r="M203" s="164" t="s">
        <v>649</v>
      </c>
      <c r="N203" s="165" t="s">
        <v>676</v>
      </c>
      <c r="O203" s="165"/>
      <c r="P203" s="165"/>
      <c r="Q203" s="165"/>
      <c r="R203" s="165"/>
      <c r="S203" s="166" t="s">
        <v>1033</v>
      </c>
      <c r="T203" s="165" t="s">
        <v>678</v>
      </c>
    </row>
    <row r="204" spans="1:20" ht="38.25" customHeight="1">
      <c r="A204" s="169" t="s">
        <v>668</v>
      </c>
      <c r="B204" s="186" t="s">
        <v>669</v>
      </c>
      <c r="C204" s="156" t="s">
        <v>670</v>
      </c>
      <c r="D204" s="171" t="s">
        <v>1289</v>
      </c>
      <c r="E204" s="171" t="s">
        <v>1290</v>
      </c>
      <c r="F204" s="171" t="s">
        <v>673</v>
      </c>
      <c r="G204" s="171" t="s">
        <v>726</v>
      </c>
      <c r="H204" s="171" t="s">
        <v>727</v>
      </c>
      <c r="I204" s="170">
        <v>9.4600000000000009</v>
      </c>
      <c r="J204" s="156" t="s">
        <v>574</v>
      </c>
      <c r="K204" s="187"/>
      <c r="L204" s="172" t="s">
        <v>748</v>
      </c>
      <c r="M204" s="173" t="s">
        <v>649</v>
      </c>
      <c r="N204" s="174" t="s">
        <v>676</v>
      </c>
      <c r="O204" s="174"/>
      <c r="P204" s="174"/>
      <c r="Q204" s="174"/>
      <c r="R204" s="174"/>
      <c r="S204" s="175" t="s">
        <v>811</v>
      </c>
      <c r="T204" s="174" t="s">
        <v>678</v>
      </c>
    </row>
    <row r="205" spans="1:20" ht="38.25" customHeight="1">
      <c r="A205" s="159" t="s">
        <v>668</v>
      </c>
      <c r="B205" s="184" t="s">
        <v>669</v>
      </c>
      <c r="C205" s="154" t="s">
        <v>670</v>
      </c>
      <c r="D205" s="161" t="s">
        <v>1289</v>
      </c>
      <c r="E205" s="161" t="s">
        <v>1291</v>
      </c>
      <c r="F205" s="161" t="s">
        <v>673</v>
      </c>
      <c r="G205" s="161" t="s">
        <v>726</v>
      </c>
      <c r="H205" s="161" t="s">
        <v>727</v>
      </c>
      <c r="I205" s="160">
        <v>7.99</v>
      </c>
      <c r="J205" s="154" t="s">
        <v>574</v>
      </c>
      <c r="K205" s="185"/>
      <c r="L205" s="163" t="s">
        <v>748</v>
      </c>
      <c r="M205" s="164" t="s">
        <v>649</v>
      </c>
      <c r="N205" s="165" t="s">
        <v>676</v>
      </c>
      <c r="O205" s="165"/>
      <c r="P205" s="165"/>
      <c r="Q205" s="165"/>
      <c r="R205" s="165"/>
      <c r="S205" s="166" t="s">
        <v>789</v>
      </c>
      <c r="T205" s="165" t="s">
        <v>678</v>
      </c>
    </row>
    <row r="206" spans="1:20" ht="38.25" customHeight="1">
      <c r="A206" s="169" t="s">
        <v>668</v>
      </c>
      <c r="B206" s="186" t="s">
        <v>669</v>
      </c>
      <c r="C206" s="156" t="s">
        <v>670</v>
      </c>
      <c r="D206" s="171" t="s">
        <v>1289</v>
      </c>
      <c r="E206" s="171" t="s">
        <v>1292</v>
      </c>
      <c r="F206" s="171" t="s">
        <v>673</v>
      </c>
      <c r="G206" s="171" t="s">
        <v>726</v>
      </c>
      <c r="H206" s="171" t="s">
        <v>727</v>
      </c>
      <c r="I206" s="170">
        <v>8.51</v>
      </c>
      <c r="J206" s="156" t="s">
        <v>574</v>
      </c>
      <c r="K206" s="187"/>
      <c r="L206" s="172" t="s">
        <v>748</v>
      </c>
      <c r="M206" s="173" t="s">
        <v>649</v>
      </c>
      <c r="N206" s="174" t="s">
        <v>676</v>
      </c>
      <c r="O206" s="174"/>
      <c r="P206" s="174"/>
      <c r="Q206" s="174"/>
      <c r="R206" s="174"/>
      <c r="S206" s="175" t="s">
        <v>917</v>
      </c>
      <c r="T206" s="174" t="s">
        <v>678</v>
      </c>
    </row>
    <row r="207" spans="1:20" ht="38.25" customHeight="1">
      <c r="A207" s="159" t="s">
        <v>668</v>
      </c>
      <c r="B207" s="184" t="s">
        <v>669</v>
      </c>
      <c r="C207" s="154" t="s">
        <v>670</v>
      </c>
      <c r="D207" s="161" t="s">
        <v>1293</v>
      </c>
      <c r="E207" s="161" t="s">
        <v>1294</v>
      </c>
      <c r="F207" s="161" t="s">
        <v>673</v>
      </c>
      <c r="G207" s="161" t="s">
        <v>1295</v>
      </c>
      <c r="H207" s="161" t="s">
        <v>727</v>
      </c>
      <c r="I207" s="160">
        <v>45.7</v>
      </c>
      <c r="J207" s="154" t="s">
        <v>574</v>
      </c>
      <c r="K207" s="185"/>
      <c r="L207" s="163" t="s">
        <v>748</v>
      </c>
      <c r="M207" s="164" t="s">
        <v>649</v>
      </c>
      <c r="N207" s="165" t="s">
        <v>676</v>
      </c>
      <c r="O207" s="165"/>
      <c r="P207" s="165"/>
      <c r="Q207" s="165"/>
      <c r="R207" s="165"/>
      <c r="S207" s="166" t="s">
        <v>1296</v>
      </c>
      <c r="T207" s="165" t="s">
        <v>678</v>
      </c>
    </row>
    <row r="208" spans="1:20" ht="38.25" customHeight="1">
      <c r="A208" s="169" t="s">
        <v>668</v>
      </c>
      <c r="B208" s="186" t="s">
        <v>669</v>
      </c>
      <c r="C208" s="156" t="s">
        <v>670</v>
      </c>
      <c r="D208" s="171" t="s">
        <v>1297</v>
      </c>
      <c r="E208" s="171" t="s">
        <v>1298</v>
      </c>
      <c r="F208" s="171" t="s">
        <v>673</v>
      </c>
      <c r="G208" s="171" t="s">
        <v>697</v>
      </c>
      <c r="H208" s="171" t="s">
        <v>727</v>
      </c>
      <c r="I208" s="170">
        <v>8.24</v>
      </c>
      <c r="J208" s="156" t="s">
        <v>574</v>
      </c>
      <c r="K208" s="187"/>
      <c r="L208" s="172" t="s">
        <v>748</v>
      </c>
      <c r="M208" s="173" t="s">
        <v>649</v>
      </c>
      <c r="N208" s="174" t="s">
        <v>676</v>
      </c>
      <c r="O208" s="174"/>
      <c r="P208" s="174"/>
      <c r="Q208" s="174"/>
      <c r="R208" s="174"/>
      <c r="S208" s="175" t="s">
        <v>1123</v>
      </c>
      <c r="T208" s="174" t="s">
        <v>678</v>
      </c>
    </row>
    <row r="209" spans="1:20" ht="38.25" customHeight="1">
      <c r="A209" s="159" t="s">
        <v>668</v>
      </c>
      <c r="B209" s="184" t="s">
        <v>669</v>
      </c>
      <c r="C209" s="154" t="s">
        <v>670</v>
      </c>
      <c r="D209" s="161" t="s">
        <v>1299</v>
      </c>
      <c r="E209" s="161" t="s">
        <v>1300</v>
      </c>
      <c r="F209" s="161" t="s">
        <v>673</v>
      </c>
      <c r="G209" s="161" t="s">
        <v>697</v>
      </c>
      <c r="H209" s="161" t="s">
        <v>727</v>
      </c>
      <c r="I209" s="160">
        <v>8.9</v>
      </c>
      <c r="J209" s="154" t="s">
        <v>574</v>
      </c>
      <c r="K209" s="185"/>
      <c r="L209" s="163" t="s">
        <v>748</v>
      </c>
      <c r="M209" s="164" t="s">
        <v>649</v>
      </c>
      <c r="N209" s="165" t="s">
        <v>676</v>
      </c>
      <c r="O209" s="165"/>
      <c r="P209" s="165"/>
      <c r="Q209" s="165"/>
      <c r="R209" s="165"/>
      <c r="S209" s="166" t="s">
        <v>1301</v>
      </c>
      <c r="T209" s="165" t="s">
        <v>678</v>
      </c>
    </row>
    <row r="210" spans="1:20" ht="38.25" customHeight="1">
      <c r="A210" s="169" t="s">
        <v>668</v>
      </c>
      <c r="B210" s="186" t="s">
        <v>669</v>
      </c>
      <c r="C210" s="156" t="s">
        <v>670</v>
      </c>
      <c r="D210" s="171" t="s">
        <v>1302</v>
      </c>
      <c r="E210" s="171" t="s">
        <v>1303</v>
      </c>
      <c r="F210" s="171" t="s">
        <v>673</v>
      </c>
      <c r="G210" s="171" t="s">
        <v>726</v>
      </c>
      <c r="H210" s="171" t="s">
        <v>727</v>
      </c>
      <c r="I210" s="170">
        <v>10.3</v>
      </c>
      <c r="J210" s="156" t="s">
        <v>574</v>
      </c>
      <c r="K210" s="187"/>
      <c r="L210" s="172" t="s">
        <v>748</v>
      </c>
      <c r="M210" s="173" t="s">
        <v>649</v>
      </c>
      <c r="N210" s="174" t="s">
        <v>676</v>
      </c>
      <c r="O210" s="174"/>
      <c r="P210" s="174"/>
      <c r="Q210" s="174"/>
      <c r="R210" s="174"/>
      <c r="S210" s="175" t="s">
        <v>757</v>
      </c>
      <c r="T210" s="174" t="s">
        <v>678</v>
      </c>
    </row>
    <row r="211" spans="1:20" ht="38.25" customHeight="1">
      <c r="A211" s="159" t="s">
        <v>668</v>
      </c>
      <c r="B211" s="184" t="s">
        <v>669</v>
      </c>
      <c r="C211" s="154" t="s">
        <v>670</v>
      </c>
      <c r="D211" s="161" t="s">
        <v>1304</v>
      </c>
      <c r="E211" s="161" t="s">
        <v>1305</v>
      </c>
      <c r="F211" s="161" t="s">
        <v>673</v>
      </c>
      <c r="G211" s="161" t="s">
        <v>1306</v>
      </c>
      <c r="H211" s="161" t="s">
        <v>727</v>
      </c>
      <c r="I211" s="160">
        <v>9.33</v>
      </c>
      <c r="J211" s="154" t="s">
        <v>574</v>
      </c>
      <c r="K211" s="185"/>
      <c r="L211" s="163" t="s">
        <v>748</v>
      </c>
      <c r="M211" s="164" t="s">
        <v>649</v>
      </c>
      <c r="N211" s="165" t="s">
        <v>676</v>
      </c>
      <c r="O211" s="165"/>
      <c r="P211" s="165"/>
      <c r="Q211" s="165"/>
      <c r="R211" s="165"/>
      <c r="S211" s="166" t="s">
        <v>1307</v>
      </c>
      <c r="T211" s="165" t="s">
        <v>678</v>
      </c>
    </row>
    <row r="212" spans="1:20" ht="38.25" customHeight="1">
      <c r="A212" s="169" t="s">
        <v>668</v>
      </c>
      <c r="B212" s="186" t="s">
        <v>669</v>
      </c>
      <c r="C212" s="156" t="s">
        <v>670</v>
      </c>
      <c r="D212" s="171" t="s">
        <v>1308</v>
      </c>
      <c r="E212" s="171" t="s">
        <v>1309</v>
      </c>
      <c r="F212" s="171" t="s">
        <v>673</v>
      </c>
      <c r="G212" s="171" t="s">
        <v>1310</v>
      </c>
      <c r="H212" s="171" t="s">
        <v>727</v>
      </c>
      <c r="I212" s="170">
        <v>9.18</v>
      </c>
      <c r="J212" s="156" t="s">
        <v>574</v>
      </c>
      <c r="K212" s="187"/>
      <c r="L212" s="172" t="s">
        <v>748</v>
      </c>
      <c r="M212" s="173" t="s">
        <v>649</v>
      </c>
      <c r="N212" s="174" t="s">
        <v>676</v>
      </c>
      <c r="O212" s="174"/>
      <c r="P212" s="174"/>
      <c r="Q212" s="174"/>
      <c r="R212" s="174"/>
      <c r="S212" s="175" t="s">
        <v>1311</v>
      </c>
      <c r="T212" s="174" t="s">
        <v>678</v>
      </c>
    </row>
    <row r="213" spans="1:20" ht="38.25" customHeight="1">
      <c r="A213" s="159" t="s">
        <v>668</v>
      </c>
      <c r="B213" s="184" t="s">
        <v>669</v>
      </c>
      <c r="C213" s="154" t="s">
        <v>670</v>
      </c>
      <c r="D213" s="161" t="s">
        <v>1312</v>
      </c>
      <c r="E213" s="161" t="s">
        <v>1313</v>
      </c>
      <c r="F213" s="161" t="s">
        <v>673</v>
      </c>
      <c r="G213" s="161" t="s">
        <v>1314</v>
      </c>
      <c r="H213" s="161" t="s">
        <v>727</v>
      </c>
      <c r="I213" s="160">
        <v>8.4700000000000006</v>
      </c>
      <c r="J213" s="154" t="s">
        <v>574</v>
      </c>
      <c r="K213" s="185"/>
      <c r="L213" s="163" t="s">
        <v>748</v>
      </c>
      <c r="M213" s="164" t="s">
        <v>649</v>
      </c>
      <c r="N213" s="165" t="s">
        <v>676</v>
      </c>
      <c r="O213" s="165"/>
      <c r="P213" s="165"/>
      <c r="Q213" s="165"/>
      <c r="R213" s="165"/>
      <c r="S213" s="166" t="s">
        <v>1315</v>
      </c>
      <c r="T213" s="165" t="s">
        <v>678</v>
      </c>
    </row>
    <row r="214" spans="1:20" ht="38.25" customHeight="1">
      <c r="A214" s="169" t="s">
        <v>668</v>
      </c>
      <c r="B214" s="186" t="s">
        <v>669</v>
      </c>
      <c r="C214" s="156" t="s">
        <v>670</v>
      </c>
      <c r="D214" s="171" t="s">
        <v>1316</v>
      </c>
      <c r="E214" s="171" t="s">
        <v>1317</v>
      </c>
      <c r="F214" s="171" t="s">
        <v>673</v>
      </c>
      <c r="G214" s="171" t="s">
        <v>1318</v>
      </c>
      <c r="H214" s="171" t="s">
        <v>727</v>
      </c>
      <c r="I214" s="170">
        <v>8.6999999999999993</v>
      </c>
      <c r="J214" s="156" t="s">
        <v>574</v>
      </c>
      <c r="K214" s="187"/>
      <c r="L214" s="172" t="s">
        <v>748</v>
      </c>
      <c r="M214" s="173" t="s">
        <v>649</v>
      </c>
      <c r="N214" s="174" t="s">
        <v>676</v>
      </c>
      <c r="O214" s="174"/>
      <c r="P214" s="174"/>
      <c r="Q214" s="174"/>
      <c r="R214" s="174"/>
      <c r="S214" s="175" t="s">
        <v>1319</v>
      </c>
      <c r="T214" s="174" t="s">
        <v>678</v>
      </c>
    </row>
    <row r="215" spans="1:20" ht="51" customHeight="1">
      <c r="A215" s="159" t="s">
        <v>668</v>
      </c>
      <c r="B215" s="184" t="s">
        <v>669</v>
      </c>
      <c r="C215" s="154" t="s">
        <v>670</v>
      </c>
      <c r="D215" s="161" t="s">
        <v>1320</v>
      </c>
      <c r="E215" s="161" t="s">
        <v>1321</v>
      </c>
      <c r="F215" s="161" t="s">
        <v>1322</v>
      </c>
      <c r="G215" s="161" t="s">
        <v>1323</v>
      </c>
      <c r="H215" s="161" t="s">
        <v>1324</v>
      </c>
      <c r="I215" s="160">
        <v>515</v>
      </c>
      <c r="J215" s="154" t="s">
        <v>574</v>
      </c>
      <c r="K215" s="185"/>
      <c r="L215" s="163" t="s">
        <v>748</v>
      </c>
      <c r="M215" s="164" t="s">
        <v>649</v>
      </c>
      <c r="N215" s="165" t="s">
        <v>676</v>
      </c>
      <c r="O215" s="165"/>
      <c r="P215" s="165"/>
      <c r="Q215" s="165"/>
      <c r="R215" s="165"/>
      <c r="S215" s="166" t="s">
        <v>1325</v>
      </c>
      <c r="T215" s="165" t="s">
        <v>678</v>
      </c>
    </row>
    <row r="216" spans="1:20" ht="38.25" customHeight="1">
      <c r="A216" s="169" t="s">
        <v>668</v>
      </c>
      <c r="B216" s="186" t="s">
        <v>669</v>
      </c>
      <c r="C216" s="156" t="s">
        <v>670</v>
      </c>
      <c r="D216" s="171" t="s">
        <v>1326</v>
      </c>
      <c r="E216" s="171" t="s">
        <v>1327</v>
      </c>
      <c r="F216" s="171" t="s">
        <v>740</v>
      </c>
      <c r="G216" s="171" t="s">
        <v>726</v>
      </c>
      <c r="H216" s="171" t="s">
        <v>727</v>
      </c>
      <c r="I216" s="170">
        <v>25</v>
      </c>
      <c r="J216" s="156" t="s">
        <v>574</v>
      </c>
      <c r="K216" s="187"/>
      <c r="L216" s="172" t="s">
        <v>748</v>
      </c>
      <c r="M216" s="173" t="s">
        <v>649</v>
      </c>
      <c r="N216" s="174" t="s">
        <v>733</v>
      </c>
      <c r="O216" s="174"/>
      <c r="P216" s="174"/>
      <c r="Q216" s="174"/>
      <c r="R216" s="174" t="s">
        <v>736</v>
      </c>
      <c r="S216" s="175" t="s">
        <v>1328</v>
      </c>
      <c r="T216" s="174" t="s">
        <v>678</v>
      </c>
    </row>
    <row r="217" spans="1:20" ht="38.25" customHeight="1">
      <c r="A217" s="159" t="s">
        <v>668</v>
      </c>
      <c r="B217" s="184" t="s">
        <v>669</v>
      </c>
      <c r="C217" s="154" t="s">
        <v>670</v>
      </c>
      <c r="D217" s="161" t="s">
        <v>1329</v>
      </c>
      <c r="E217" s="161" t="s">
        <v>1330</v>
      </c>
      <c r="F217" s="161" t="s">
        <v>740</v>
      </c>
      <c r="G217" s="161" t="s">
        <v>726</v>
      </c>
      <c r="H217" s="161" t="s">
        <v>727</v>
      </c>
      <c r="I217" s="160">
        <v>25</v>
      </c>
      <c r="J217" s="154" t="s">
        <v>574</v>
      </c>
      <c r="K217" s="185"/>
      <c r="L217" s="163" t="s">
        <v>748</v>
      </c>
      <c r="M217" s="164" t="s">
        <v>649</v>
      </c>
      <c r="N217" s="165" t="s">
        <v>733</v>
      </c>
      <c r="O217" s="165"/>
      <c r="P217" s="165"/>
      <c r="Q217" s="165"/>
      <c r="R217" s="165" t="s">
        <v>736</v>
      </c>
      <c r="S217" s="166" t="s">
        <v>1328</v>
      </c>
      <c r="T217" s="165" t="s">
        <v>678</v>
      </c>
    </row>
    <row r="218" spans="1:20" ht="38.25" customHeight="1">
      <c r="A218" s="169" t="s">
        <v>668</v>
      </c>
      <c r="B218" s="186" t="s">
        <v>669</v>
      </c>
      <c r="C218" s="156" t="s">
        <v>670</v>
      </c>
      <c r="D218" s="171" t="s">
        <v>1331</v>
      </c>
      <c r="E218" s="171" t="s">
        <v>1332</v>
      </c>
      <c r="F218" s="171" t="s">
        <v>740</v>
      </c>
      <c r="G218" s="171" t="s">
        <v>1333</v>
      </c>
      <c r="H218" s="171" t="s">
        <v>727</v>
      </c>
      <c r="I218" s="170">
        <v>24</v>
      </c>
      <c r="J218" s="156" t="s">
        <v>574</v>
      </c>
      <c r="K218" s="187"/>
      <c r="L218" s="172" t="s">
        <v>748</v>
      </c>
      <c r="M218" s="173" t="s">
        <v>649</v>
      </c>
      <c r="N218" s="174" t="s">
        <v>733</v>
      </c>
      <c r="O218" s="174"/>
      <c r="P218" s="174"/>
      <c r="Q218" s="174"/>
      <c r="R218" s="174" t="s">
        <v>736</v>
      </c>
      <c r="S218" s="175" t="s">
        <v>1334</v>
      </c>
      <c r="T218" s="174" t="s">
        <v>678</v>
      </c>
    </row>
    <row r="219" spans="1:20" ht="38.25" customHeight="1">
      <c r="A219" s="159" t="s">
        <v>668</v>
      </c>
      <c r="B219" s="184" t="s">
        <v>669</v>
      </c>
      <c r="C219" s="154" t="s">
        <v>670</v>
      </c>
      <c r="D219" s="161" t="s">
        <v>1335</v>
      </c>
      <c r="E219" s="161" t="s">
        <v>1336</v>
      </c>
      <c r="F219" s="161" t="s">
        <v>706</v>
      </c>
      <c r="G219" s="161" t="s">
        <v>820</v>
      </c>
      <c r="H219" s="161" t="s">
        <v>1337</v>
      </c>
      <c r="I219" s="160">
        <v>24</v>
      </c>
      <c r="J219" s="154" t="s">
        <v>574</v>
      </c>
      <c r="K219" s="185"/>
      <c r="L219" s="163" t="s">
        <v>748</v>
      </c>
      <c r="M219" s="164" t="s">
        <v>649</v>
      </c>
      <c r="N219" s="165" t="s">
        <v>733</v>
      </c>
      <c r="O219" s="165"/>
      <c r="P219" s="165"/>
      <c r="Q219" s="165"/>
      <c r="R219" s="165" t="s">
        <v>736</v>
      </c>
      <c r="S219" s="166" t="s">
        <v>1334</v>
      </c>
      <c r="T219" s="165" t="s">
        <v>678</v>
      </c>
    </row>
    <row r="220" spans="1:20" ht="38.25" customHeight="1">
      <c r="A220" s="169" t="s">
        <v>668</v>
      </c>
      <c r="B220" s="186" t="s">
        <v>669</v>
      </c>
      <c r="C220" s="156" t="s">
        <v>670</v>
      </c>
      <c r="D220" s="171" t="s">
        <v>1338</v>
      </c>
      <c r="E220" s="171" t="s">
        <v>1339</v>
      </c>
      <c r="F220" s="171" t="s">
        <v>740</v>
      </c>
      <c r="G220" s="171" t="s">
        <v>1340</v>
      </c>
      <c r="H220" s="171" t="s">
        <v>1337</v>
      </c>
      <c r="I220" s="170">
        <v>24</v>
      </c>
      <c r="J220" s="156" t="s">
        <v>574</v>
      </c>
      <c r="K220" s="187"/>
      <c r="L220" s="172" t="s">
        <v>748</v>
      </c>
      <c r="M220" s="173" t="s">
        <v>649</v>
      </c>
      <c r="N220" s="174" t="s">
        <v>733</v>
      </c>
      <c r="O220" s="174"/>
      <c r="P220" s="174"/>
      <c r="Q220" s="174"/>
      <c r="R220" s="174" t="s">
        <v>736</v>
      </c>
      <c r="S220" s="175" t="s">
        <v>1334</v>
      </c>
      <c r="T220" s="174" t="s">
        <v>678</v>
      </c>
    </row>
    <row r="221" spans="1:20" ht="38.25" customHeight="1">
      <c r="A221" s="159" t="s">
        <v>668</v>
      </c>
      <c r="B221" s="184" t="s">
        <v>669</v>
      </c>
      <c r="C221" s="154" t="s">
        <v>670</v>
      </c>
      <c r="D221" s="161" t="s">
        <v>1341</v>
      </c>
      <c r="E221" s="161" t="s">
        <v>1342</v>
      </c>
      <c r="F221" s="161" t="s">
        <v>1343</v>
      </c>
      <c r="G221" s="161" t="s">
        <v>1344</v>
      </c>
      <c r="H221" s="161" t="s">
        <v>1337</v>
      </c>
      <c r="I221" s="160">
        <v>5</v>
      </c>
      <c r="J221" s="154" t="s">
        <v>574</v>
      </c>
      <c r="K221" s="185"/>
      <c r="L221" s="163" t="s">
        <v>748</v>
      </c>
      <c r="M221" s="164" t="s">
        <v>649</v>
      </c>
      <c r="N221" s="165" t="s">
        <v>733</v>
      </c>
      <c r="O221" s="165"/>
      <c r="P221" s="165"/>
      <c r="Q221" s="165"/>
      <c r="R221" s="165" t="s">
        <v>736</v>
      </c>
      <c r="S221" s="166" t="s">
        <v>1345</v>
      </c>
      <c r="T221" s="165" t="s">
        <v>678</v>
      </c>
    </row>
    <row r="222" spans="1:20" ht="38.25" customHeight="1">
      <c r="A222" s="169" t="s">
        <v>668</v>
      </c>
      <c r="B222" s="186" t="s">
        <v>669</v>
      </c>
      <c r="C222" s="156" t="s">
        <v>670</v>
      </c>
      <c r="D222" s="171" t="s">
        <v>1346</v>
      </c>
      <c r="E222" s="171" t="s">
        <v>1347</v>
      </c>
      <c r="F222" s="171" t="s">
        <v>740</v>
      </c>
      <c r="G222" s="171" t="s">
        <v>1348</v>
      </c>
      <c r="H222" s="171" t="s">
        <v>1337</v>
      </c>
      <c r="I222" s="170">
        <v>4.3</v>
      </c>
      <c r="J222" s="156" t="s">
        <v>574</v>
      </c>
      <c r="K222" s="187"/>
      <c r="L222" s="172" t="s">
        <v>748</v>
      </c>
      <c r="M222" s="173" t="s">
        <v>649</v>
      </c>
      <c r="N222" s="174" t="s">
        <v>733</v>
      </c>
      <c r="O222" s="174"/>
      <c r="P222" s="174"/>
      <c r="Q222" s="174"/>
      <c r="R222" s="174" t="s">
        <v>736</v>
      </c>
      <c r="S222" s="175" t="s">
        <v>1349</v>
      </c>
      <c r="T222" s="174" t="s">
        <v>678</v>
      </c>
    </row>
    <row r="223" spans="1:20" ht="38.25" customHeight="1">
      <c r="A223" s="159" t="s">
        <v>668</v>
      </c>
      <c r="B223" s="184" t="s">
        <v>669</v>
      </c>
      <c r="C223" s="154" t="s">
        <v>670</v>
      </c>
      <c r="D223" s="161" t="s">
        <v>1350</v>
      </c>
      <c r="E223" s="161" t="s">
        <v>1351</v>
      </c>
      <c r="F223" s="161" t="s">
        <v>706</v>
      </c>
      <c r="G223" s="161" t="s">
        <v>1352</v>
      </c>
      <c r="H223" s="161" t="s">
        <v>1337</v>
      </c>
      <c r="I223" s="160">
        <v>24</v>
      </c>
      <c r="J223" s="154" t="s">
        <v>574</v>
      </c>
      <c r="K223" s="185"/>
      <c r="L223" s="163" t="s">
        <v>748</v>
      </c>
      <c r="M223" s="164" t="s">
        <v>649</v>
      </c>
      <c r="N223" s="165" t="s">
        <v>733</v>
      </c>
      <c r="O223" s="165"/>
      <c r="P223" s="165"/>
      <c r="Q223" s="165"/>
      <c r="R223" s="165" t="s">
        <v>736</v>
      </c>
      <c r="S223" s="166" t="s">
        <v>1334</v>
      </c>
      <c r="T223" s="165" t="s">
        <v>678</v>
      </c>
    </row>
    <row r="224" spans="1:20" ht="38.25" customHeight="1">
      <c r="A224" s="169" t="s">
        <v>668</v>
      </c>
      <c r="B224" s="186" t="s">
        <v>669</v>
      </c>
      <c r="C224" s="156" t="s">
        <v>670</v>
      </c>
      <c r="D224" s="171" t="s">
        <v>1353</v>
      </c>
      <c r="E224" s="171" t="s">
        <v>1354</v>
      </c>
      <c r="F224" s="171" t="s">
        <v>706</v>
      </c>
      <c r="G224" s="171" t="s">
        <v>1355</v>
      </c>
      <c r="H224" s="171" t="s">
        <v>1337</v>
      </c>
      <c r="I224" s="170">
        <v>24</v>
      </c>
      <c r="J224" s="156" t="s">
        <v>574</v>
      </c>
      <c r="K224" s="187"/>
      <c r="L224" s="172" t="s">
        <v>748</v>
      </c>
      <c r="M224" s="173" t="s">
        <v>649</v>
      </c>
      <c r="N224" s="174" t="s">
        <v>733</v>
      </c>
      <c r="O224" s="174"/>
      <c r="P224" s="174"/>
      <c r="Q224" s="174"/>
      <c r="R224" s="174" t="s">
        <v>736</v>
      </c>
      <c r="S224" s="175" t="s">
        <v>1334</v>
      </c>
      <c r="T224" s="174" t="s">
        <v>678</v>
      </c>
    </row>
    <row r="225" spans="1:20" ht="38.25" customHeight="1">
      <c r="A225" s="159" t="s">
        <v>668</v>
      </c>
      <c r="B225" s="184" t="s">
        <v>669</v>
      </c>
      <c r="C225" s="154" t="s">
        <v>670</v>
      </c>
      <c r="D225" s="161" t="s">
        <v>1356</v>
      </c>
      <c r="E225" s="161" t="s">
        <v>1357</v>
      </c>
      <c r="F225" s="161" t="s">
        <v>740</v>
      </c>
      <c r="G225" s="161" t="s">
        <v>1086</v>
      </c>
      <c r="H225" s="161" t="s">
        <v>1337</v>
      </c>
      <c r="I225" s="160">
        <v>18</v>
      </c>
      <c r="J225" s="154" t="s">
        <v>574</v>
      </c>
      <c r="K225" s="185"/>
      <c r="L225" s="163" t="s">
        <v>748</v>
      </c>
      <c r="M225" s="164" t="s">
        <v>649</v>
      </c>
      <c r="N225" s="165" t="s">
        <v>733</v>
      </c>
      <c r="O225" s="165"/>
      <c r="P225" s="165"/>
      <c r="Q225" s="165"/>
      <c r="R225" s="165" t="s">
        <v>736</v>
      </c>
      <c r="S225" s="166" t="s">
        <v>1358</v>
      </c>
      <c r="T225" s="165" t="s">
        <v>678</v>
      </c>
    </row>
    <row r="226" spans="1:20" ht="38.25" customHeight="1">
      <c r="A226" s="169" t="s">
        <v>668</v>
      </c>
      <c r="B226" s="186" t="s">
        <v>669</v>
      </c>
      <c r="C226" s="156" t="s">
        <v>670</v>
      </c>
      <c r="D226" s="171" t="s">
        <v>1359</v>
      </c>
      <c r="E226" s="171" t="s">
        <v>1360</v>
      </c>
      <c r="F226" s="171" t="s">
        <v>706</v>
      </c>
      <c r="G226" s="171" t="s">
        <v>697</v>
      </c>
      <c r="H226" s="171" t="s">
        <v>747</v>
      </c>
      <c r="I226" s="170">
        <v>25</v>
      </c>
      <c r="J226" s="156" t="s">
        <v>574</v>
      </c>
      <c r="K226" s="187"/>
      <c r="L226" s="172" t="s">
        <v>748</v>
      </c>
      <c r="M226" s="173" t="s">
        <v>649</v>
      </c>
      <c r="N226" s="174" t="s">
        <v>733</v>
      </c>
      <c r="O226" s="174"/>
      <c r="P226" s="174"/>
      <c r="Q226" s="174"/>
      <c r="R226" s="174" t="s">
        <v>736</v>
      </c>
      <c r="S226" s="175" t="s">
        <v>1328</v>
      </c>
      <c r="T226" s="174" t="s">
        <v>678</v>
      </c>
    </row>
    <row r="227" spans="1:20" ht="38.25" customHeight="1">
      <c r="A227" s="159" t="s">
        <v>668</v>
      </c>
      <c r="B227" s="184" t="s">
        <v>669</v>
      </c>
      <c r="C227" s="154" t="s">
        <v>670</v>
      </c>
      <c r="D227" s="161" t="s">
        <v>1361</v>
      </c>
      <c r="E227" s="161" t="s">
        <v>1362</v>
      </c>
      <c r="F227" s="161" t="s">
        <v>706</v>
      </c>
      <c r="G227" s="161" t="s">
        <v>1363</v>
      </c>
      <c r="H227" s="161" t="s">
        <v>747</v>
      </c>
      <c r="I227" s="160">
        <v>25</v>
      </c>
      <c r="J227" s="154" t="s">
        <v>574</v>
      </c>
      <c r="K227" s="185"/>
      <c r="L227" s="163" t="s">
        <v>748</v>
      </c>
      <c r="M227" s="164" t="s">
        <v>649</v>
      </c>
      <c r="N227" s="165" t="s">
        <v>733</v>
      </c>
      <c r="O227" s="165"/>
      <c r="P227" s="165"/>
      <c r="Q227" s="165"/>
      <c r="R227" s="165" t="s">
        <v>736</v>
      </c>
      <c r="S227" s="166" t="s">
        <v>1328</v>
      </c>
      <c r="T227" s="165" t="s">
        <v>678</v>
      </c>
    </row>
    <row r="228" spans="1:20" ht="38.25" customHeight="1">
      <c r="A228" s="169" t="s">
        <v>668</v>
      </c>
      <c r="B228" s="186" t="s">
        <v>669</v>
      </c>
      <c r="C228" s="156" t="s">
        <v>670</v>
      </c>
      <c r="D228" s="171" t="s">
        <v>1364</v>
      </c>
      <c r="E228" s="171" t="s">
        <v>1365</v>
      </c>
      <c r="F228" s="171" t="s">
        <v>706</v>
      </c>
      <c r="G228" s="171" t="s">
        <v>1366</v>
      </c>
      <c r="H228" s="171" t="s">
        <v>747</v>
      </c>
      <c r="I228" s="170">
        <v>24</v>
      </c>
      <c r="J228" s="156" t="s">
        <v>574</v>
      </c>
      <c r="K228" s="187"/>
      <c r="L228" s="172" t="s">
        <v>748</v>
      </c>
      <c r="M228" s="173" t="s">
        <v>649</v>
      </c>
      <c r="N228" s="174" t="s">
        <v>733</v>
      </c>
      <c r="O228" s="174"/>
      <c r="P228" s="174"/>
      <c r="Q228" s="174"/>
      <c r="R228" s="174" t="s">
        <v>736</v>
      </c>
      <c r="S228" s="175" t="s">
        <v>1334</v>
      </c>
      <c r="T228" s="174" t="s">
        <v>678</v>
      </c>
    </row>
    <row r="229" spans="1:20" ht="38.25" customHeight="1">
      <c r="A229" s="159" t="s">
        <v>668</v>
      </c>
      <c r="B229" s="184" t="s">
        <v>669</v>
      </c>
      <c r="C229" s="154" t="s">
        <v>670</v>
      </c>
      <c r="D229" s="161" t="s">
        <v>1367</v>
      </c>
      <c r="E229" s="161" t="s">
        <v>1368</v>
      </c>
      <c r="F229" s="161" t="s">
        <v>706</v>
      </c>
      <c r="G229" s="161" t="s">
        <v>820</v>
      </c>
      <c r="H229" s="161" t="s">
        <v>747</v>
      </c>
      <c r="I229" s="160">
        <v>25</v>
      </c>
      <c r="J229" s="154" t="s">
        <v>574</v>
      </c>
      <c r="K229" s="185"/>
      <c r="L229" s="163" t="s">
        <v>748</v>
      </c>
      <c r="M229" s="164" t="s">
        <v>649</v>
      </c>
      <c r="N229" s="165" t="s">
        <v>733</v>
      </c>
      <c r="O229" s="165"/>
      <c r="P229" s="165"/>
      <c r="Q229" s="165"/>
      <c r="R229" s="165" t="s">
        <v>736</v>
      </c>
      <c r="S229" s="166" t="s">
        <v>1328</v>
      </c>
      <c r="T229" s="165" t="s">
        <v>678</v>
      </c>
    </row>
    <row r="230" spans="1:20" ht="38.25" customHeight="1">
      <c r="A230" s="169" t="s">
        <v>668</v>
      </c>
      <c r="B230" s="186" t="s">
        <v>669</v>
      </c>
      <c r="C230" s="156" t="s">
        <v>670</v>
      </c>
      <c r="D230" s="171" t="s">
        <v>1369</v>
      </c>
      <c r="E230" s="171" t="s">
        <v>1370</v>
      </c>
      <c r="F230" s="171" t="s">
        <v>706</v>
      </c>
      <c r="G230" s="171" t="s">
        <v>1344</v>
      </c>
      <c r="H230" s="171" t="s">
        <v>747</v>
      </c>
      <c r="I230" s="170">
        <v>24</v>
      </c>
      <c r="J230" s="156" t="s">
        <v>574</v>
      </c>
      <c r="K230" s="187"/>
      <c r="L230" s="172" t="s">
        <v>748</v>
      </c>
      <c r="M230" s="173" t="s">
        <v>649</v>
      </c>
      <c r="N230" s="174" t="s">
        <v>733</v>
      </c>
      <c r="O230" s="174"/>
      <c r="P230" s="174"/>
      <c r="Q230" s="174"/>
      <c r="R230" s="174" t="s">
        <v>736</v>
      </c>
      <c r="S230" s="175" t="s">
        <v>1334</v>
      </c>
      <c r="T230" s="174" t="s">
        <v>678</v>
      </c>
    </row>
    <row r="231" spans="1:20" ht="38.25" customHeight="1">
      <c r="A231" s="159" t="s">
        <v>668</v>
      </c>
      <c r="B231" s="184" t="s">
        <v>669</v>
      </c>
      <c r="C231" s="154" t="s">
        <v>670</v>
      </c>
      <c r="D231" s="161" t="s">
        <v>1371</v>
      </c>
      <c r="E231" s="161" t="s">
        <v>1372</v>
      </c>
      <c r="F231" s="161" t="s">
        <v>706</v>
      </c>
      <c r="G231" s="161" t="s">
        <v>1373</v>
      </c>
      <c r="H231" s="161" t="s">
        <v>747</v>
      </c>
      <c r="I231" s="160">
        <v>24</v>
      </c>
      <c r="J231" s="154" t="s">
        <v>574</v>
      </c>
      <c r="K231" s="185"/>
      <c r="L231" s="163" t="s">
        <v>748</v>
      </c>
      <c r="M231" s="164" t="s">
        <v>649</v>
      </c>
      <c r="N231" s="165" t="s">
        <v>733</v>
      </c>
      <c r="O231" s="165"/>
      <c r="P231" s="165"/>
      <c r="Q231" s="165"/>
      <c r="R231" s="165" t="s">
        <v>736</v>
      </c>
      <c r="S231" s="166" t="s">
        <v>1334</v>
      </c>
      <c r="T231" s="165" t="s">
        <v>678</v>
      </c>
    </row>
    <row r="232" spans="1:20" ht="38.25" customHeight="1">
      <c r="A232" s="169" t="s">
        <v>668</v>
      </c>
      <c r="B232" s="186" t="s">
        <v>669</v>
      </c>
      <c r="C232" s="156" t="s">
        <v>670</v>
      </c>
      <c r="D232" s="171" t="s">
        <v>1374</v>
      </c>
      <c r="E232" s="171" t="s">
        <v>1375</v>
      </c>
      <c r="F232" s="171" t="s">
        <v>740</v>
      </c>
      <c r="G232" s="171" t="s">
        <v>1376</v>
      </c>
      <c r="H232" s="171" t="s">
        <v>747</v>
      </c>
      <c r="I232" s="170">
        <v>22</v>
      </c>
      <c r="J232" s="156" t="s">
        <v>574</v>
      </c>
      <c r="K232" s="187"/>
      <c r="L232" s="172" t="s">
        <v>748</v>
      </c>
      <c r="M232" s="173" t="s">
        <v>649</v>
      </c>
      <c r="N232" s="174" t="s">
        <v>733</v>
      </c>
      <c r="O232" s="174"/>
      <c r="P232" s="174"/>
      <c r="Q232" s="174"/>
      <c r="R232" s="174" t="s">
        <v>736</v>
      </c>
      <c r="S232" s="175" t="s">
        <v>1377</v>
      </c>
      <c r="T232" s="174" t="s">
        <v>678</v>
      </c>
    </row>
    <row r="233" spans="1:20" ht="38.25" customHeight="1">
      <c r="A233" s="159" t="s">
        <v>668</v>
      </c>
      <c r="B233" s="184" t="s">
        <v>669</v>
      </c>
      <c r="C233" s="154" t="s">
        <v>670</v>
      </c>
      <c r="D233" s="161" t="s">
        <v>1378</v>
      </c>
      <c r="E233" s="161" t="s">
        <v>1379</v>
      </c>
      <c r="F233" s="161" t="s">
        <v>740</v>
      </c>
      <c r="G233" s="161" t="s">
        <v>697</v>
      </c>
      <c r="H233" s="161" t="s">
        <v>747</v>
      </c>
      <c r="I233" s="160">
        <v>24</v>
      </c>
      <c r="J233" s="154" t="s">
        <v>574</v>
      </c>
      <c r="K233" s="185"/>
      <c r="L233" s="163" t="s">
        <v>748</v>
      </c>
      <c r="M233" s="164" t="s">
        <v>649</v>
      </c>
      <c r="N233" s="165" t="s">
        <v>733</v>
      </c>
      <c r="O233" s="165"/>
      <c r="P233" s="165"/>
      <c r="Q233" s="165"/>
      <c r="R233" s="165" t="s">
        <v>736</v>
      </c>
      <c r="S233" s="166" t="s">
        <v>1334</v>
      </c>
      <c r="T233" s="165" t="s">
        <v>678</v>
      </c>
    </row>
    <row r="234" spans="1:20" ht="38.25" customHeight="1">
      <c r="A234" s="169" t="s">
        <v>668</v>
      </c>
      <c r="B234" s="186" t="s">
        <v>669</v>
      </c>
      <c r="C234" s="156" t="s">
        <v>670</v>
      </c>
      <c r="D234" s="171" t="s">
        <v>1380</v>
      </c>
      <c r="E234" s="171" t="s">
        <v>1381</v>
      </c>
      <c r="F234" s="171" t="s">
        <v>740</v>
      </c>
      <c r="G234" s="171" t="s">
        <v>752</v>
      </c>
      <c r="H234" s="171" t="s">
        <v>747</v>
      </c>
      <c r="I234" s="170">
        <v>24</v>
      </c>
      <c r="J234" s="156" t="s">
        <v>574</v>
      </c>
      <c r="K234" s="187"/>
      <c r="L234" s="172" t="s">
        <v>748</v>
      </c>
      <c r="M234" s="173" t="s">
        <v>649</v>
      </c>
      <c r="N234" s="174" t="s">
        <v>733</v>
      </c>
      <c r="O234" s="174"/>
      <c r="P234" s="174"/>
      <c r="Q234" s="174"/>
      <c r="R234" s="174" t="s">
        <v>736</v>
      </c>
      <c r="S234" s="175" t="s">
        <v>1334</v>
      </c>
      <c r="T234" s="174" t="s">
        <v>678</v>
      </c>
    </row>
    <row r="235" spans="1:20" ht="38.25" customHeight="1">
      <c r="A235" s="159" t="s">
        <v>668</v>
      </c>
      <c r="B235" s="184" t="s">
        <v>669</v>
      </c>
      <c r="C235" s="154" t="s">
        <v>670</v>
      </c>
      <c r="D235" s="161" t="s">
        <v>1382</v>
      </c>
      <c r="E235" s="161" t="s">
        <v>1383</v>
      </c>
      <c r="F235" s="161" t="s">
        <v>740</v>
      </c>
      <c r="G235" s="161" t="s">
        <v>741</v>
      </c>
      <c r="H235" s="161" t="s">
        <v>741</v>
      </c>
      <c r="I235" s="160">
        <v>24</v>
      </c>
      <c r="J235" s="154" t="s">
        <v>574</v>
      </c>
      <c r="K235" s="185"/>
      <c r="L235" s="163" t="s">
        <v>748</v>
      </c>
      <c r="M235" s="164" t="s">
        <v>649</v>
      </c>
      <c r="N235" s="165" t="s">
        <v>733</v>
      </c>
      <c r="O235" s="165"/>
      <c r="P235" s="165"/>
      <c r="Q235" s="165"/>
      <c r="R235" s="165" t="s">
        <v>736</v>
      </c>
      <c r="S235" s="166" t="s">
        <v>1334</v>
      </c>
      <c r="T235" s="165" t="s">
        <v>678</v>
      </c>
    </row>
    <row r="236" spans="1:20" ht="38.25" customHeight="1">
      <c r="A236" s="169" t="s">
        <v>668</v>
      </c>
      <c r="B236" s="186" t="s">
        <v>669</v>
      </c>
      <c r="C236" s="156" t="s">
        <v>670</v>
      </c>
      <c r="D236" s="171" t="s">
        <v>1384</v>
      </c>
      <c r="E236" s="171" t="s">
        <v>1385</v>
      </c>
      <c r="F236" s="171" t="s">
        <v>740</v>
      </c>
      <c r="G236" s="171" t="s">
        <v>741</v>
      </c>
      <c r="H236" s="171" t="s">
        <v>741</v>
      </c>
      <c r="I236" s="170">
        <v>24</v>
      </c>
      <c r="J236" s="156" t="s">
        <v>574</v>
      </c>
      <c r="K236" s="187"/>
      <c r="L236" s="172" t="s">
        <v>748</v>
      </c>
      <c r="M236" s="173" t="s">
        <v>649</v>
      </c>
      <c r="N236" s="174" t="s">
        <v>733</v>
      </c>
      <c r="O236" s="174"/>
      <c r="P236" s="174"/>
      <c r="Q236" s="174"/>
      <c r="R236" s="174" t="s">
        <v>736</v>
      </c>
      <c r="S236" s="175" t="s">
        <v>1334</v>
      </c>
      <c r="T236" s="174" t="s">
        <v>678</v>
      </c>
    </row>
    <row r="237" spans="1:20" ht="38.25" customHeight="1">
      <c r="A237" s="159" t="s">
        <v>668</v>
      </c>
      <c r="B237" s="184" t="s">
        <v>669</v>
      </c>
      <c r="C237" s="154" t="s">
        <v>670</v>
      </c>
      <c r="D237" s="161" t="s">
        <v>1386</v>
      </c>
      <c r="E237" s="161" t="s">
        <v>1387</v>
      </c>
      <c r="F237" s="161" t="s">
        <v>740</v>
      </c>
      <c r="G237" s="161" t="s">
        <v>741</v>
      </c>
      <c r="H237" s="161" t="s">
        <v>741</v>
      </c>
      <c r="I237" s="160">
        <v>21</v>
      </c>
      <c r="J237" s="154" t="s">
        <v>574</v>
      </c>
      <c r="K237" s="185"/>
      <c r="L237" s="163" t="s">
        <v>748</v>
      </c>
      <c r="M237" s="164" t="s">
        <v>649</v>
      </c>
      <c r="N237" s="165" t="s">
        <v>733</v>
      </c>
      <c r="O237" s="165"/>
      <c r="P237" s="165"/>
      <c r="Q237" s="165"/>
      <c r="R237" s="165" t="s">
        <v>736</v>
      </c>
      <c r="S237" s="166" t="s">
        <v>1388</v>
      </c>
      <c r="T237" s="165" t="s">
        <v>678</v>
      </c>
    </row>
    <row r="238" spans="1:20" ht="38.25" customHeight="1">
      <c r="A238" s="169" t="s">
        <v>668</v>
      </c>
      <c r="B238" s="186" t="s">
        <v>669</v>
      </c>
      <c r="C238" s="156" t="s">
        <v>670</v>
      </c>
      <c r="D238" s="171" t="s">
        <v>1389</v>
      </c>
      <c r="E238" s="171" t="s">
        <v>1390</v>
      </c>
      <c r="F238" s="171" t="s">
        <v>706</v>
      </c>
      <c r="G238" s="171" t="s">
        <v>1391</v>
      </c>
      <c r="H238" s="171" t="s">
        <v>716</v>
      </c>
      <c r="I238" s="170">
        <v>24</v>
      </c>
      <c r="J238" s="156" t="s">
        <v>574</v>
      </c>
      <c r="K238" s="187"/>
      <c r="L238" s="172" t="s">
        <v>748</v>
      </c>
      <c r="M238" s="173" t="s">
        <v>649</v>
      </c>
      <c r="N238" s="174" t="s">
        <v>733</v>
      </c>
      <c r="O238" s="174"/>
      <c r="P238" s="174"/>
      <c r="Q238" s="174"/>
      <c r="R238" s="174" t="s">
        <v>736</v>
      </c>
      <c r="S238" s="175" t="s">
        <v>1334</v>
      </c>
      <c r="T238" s="174" t="s">
        <v>678</v>
      </c>
    </row>
    <row r="239" spans="1:20" ht="38.25" customHeight="1">
      <c r="A239" s="159" t="s">
        <v>668</v>
      </c>
      <c r="B239" s="184" t="s">
        <v>669</v>
      </c>
      <c r="C239" s="154" t="s">
        <v>670</v>
      </c>
      <c r="D239" s="161" t="s">
        <v>1392</v>
      </c>
      <c r="E239" s="161" t="s">
        <v>1393</v>
      </c>
      <c r="F239" s="161" t="s">
        <v>706</v>
      </c>
      <c r="G239" s="161" t="s">
        <v>1391</v>
      </c>
      <c r="H239" s="161" t="s">
        <v>716</v>
      </c>
      <c r="I239" s="160">
        <v>25</v>
      </c>
      <c r="J239" s="154" t="s">
        <v>574</v>
      </c>
      <c r="K239" s="185"/>
      <c r="L239" s="163" t="s">
        <v>748</v>
      </c>
      <c r="M239" s="164" t="s">
        <v>649</v>
      </c>
      <c r="N239" s="165" t="s">
        <v>733</v>
      </c>
      <c r="O239" s="165"/>
      <c r="P239" s="165"/>
      <c r="Q239" s="165"/>
      <c r="R239" s="165" t="s">
        <v>736</v>
      </c>
      <c r="S239" s="166" t="s">
        <v>1328</v>
      </c>
      <c r="T239" s="165" t="s">
        <v>678</v>
      </c>
    </row>
    <row r="240" spans="1:20" ht="38.25" customHeight="1">
      <c r="A240" s="169" t="s">
        <v>668</v>
      </c>
      <c r="B240" s="186" t="s">
        <v>669</v>
      </c>
      <c r="C240" s="156" t="s">
        <v>670</v>
      </c>
      <c r="D240" s="171" t="s">
        <v>1394</v>
      </c>
      <c r="E240" s="171" t="s">
        <v>1395</v>
      </c>
      <c r="F240" s="171" t="s">
        <v>706</v>
      </c>
      <c r="G240" s="171" t="s">
        <v>1396</v>
      </c>
      <c r="H240" s="171" t="s">
        <v>1396</v>
      </c>
      <c r="I240" s="170">
        <v>24</v>
      </c>
      <c r="J240" s="156" t="s">
        <v>574</v>
      </c>
      <c r="K240" s="187"/>
      <c r="L240" s="172" t="s">
        <v>748</v>
      </c>
      <c r="M240" s="173" t="s">
        <v>649</v>
      </c>
      <c r="N240" s="174" t="s">
        <v>733</v>
      </c>
      <c r="O240" s="174"/>
      <c r="P240" s="174"/>
      <c r="Q240" s="174"/>
      <c r="R240" s="174" t="s">
        <v>736</v>
      </c>
      <c r="S240" s="175" t="s">
        <v>1334</v>
      </c>
      <c r="T240" s="174" t="s">
        <v>678</v>
      </c>
    </row>
    <row r="241" spans="1:20" ht="38.25" customHeight="1">
      <c r="A241" s="159" t="s">
        <v>668</v>
      </c>
      <c r="B241" s="184" t="s">
        <v>669</v>
      </c>
      <c r="C241" s="154" t="s">
        <v>670</v>
      </c>
      <c r="D241" s="161" t="s">
        <v>1397</v>
      </c>
      <c r="E241" s="161" t="s">
        <v>1398</v>
      </c>
      <c r="F241" s="161" t="s">
        <v>740</v>
      </c>
      <c r="G241" s="161" t="s">
        <v>1396</v>
      </c>
      <c r="H241" s="161" t="s">
        <v>1396</v>
      </c>
      <c r="I241" s="160">
        <v>24</v>
      </c>
      <c r="J241" s="154" t="s">
        <v>574</v>
      </c>
      <c r="K241" s="185"/>
      <c r="L241" s="163" t="s">
        <v>748</v>
      </c>
      <c r="M241" s="164" t="s">
        <v>649</v>
      </c>
      <c r="N241" s="165" t="s">
        <v>733</v>
      </c>
      <c r="O241" s="165"/>
      <c r="P241" s="165"/>
      <c r="Q241" s="165"/>
      <c r="R241" s="165" t="s">
        <v>736</v>
      </c>
      <c r="S241" s="166" t="s">
        <v>1334</v>
      </c>
      <c r="T241" s="165" t="s">
        <v>678</v>
      </c>
    </row>
    <row r="242" spans="1:20" ht="51" customHeight="1">
      <c r="A242" s="169" t="s">
        <v>668</v>
      </c>
      <c r="B242" s="186" t="s">
        <v>669</v>
      </c>
      <c r="C242" s="156" t="s">
        <v>670</v>
      </c>
      <c r="D242" s="171" t="s">
        <v>1399</v>
      </c>
      <c r="E242" s="171" t="s">
        <v>1400</v>
      </c>
      <c r="F242" s="171" t="s">
        <v>740</v>
      </c>
      <c r="G242" s="171" t="s">
        <v>1401</v>
      </c>
      <c r="H242" s="171" t="s">
        <v>1402</v>
      </c>
      <c r="I242" s="170">
        <v>25</v>
      </c>
      <c r="J242" s="156" t="s">
        <v>574</v>
      </c>
      <c r="K242" s="187"/>
      <c r="L242" s="172" t="s">
        <v>748</v>
      </c>
      <c r="M242" s="173" t="s">
        <v>649</v>
      </c>
      <c r="N242" s="174" t="s">
        <v>733</v>
      </c>
      <c r="O242" s="174"/>
      <c r="P242" s="174"/>
      <c r="Q242" s="174"/>
      <c r="R242" s="174" t="s">
        <v>736</v>
      </c>
      <c r="S242" s="175" t="s">
        <v>1328</v>
      </c>
      <c r="T242" s="174" t="s">
        <v>678</v>
      </c>
    </row>
    <row r="243" spans="1:20" ht="38.25" customHeight="1">
      <c r="A243" s="159" t="s">
        <v>668</v>
      </c>
      <c r="B243" s="184" t="s">
        <v>669</v>
      </c>
      <c r="C243" s="154" t="s">
        <v>670</v>
      </c>
      <c r="D243" s="161" t="s">
        <v>1403</v>
      </c>
      <c r="E243" s="161" t="s">
        <v>1404</v>
      </c>
      <c r="F243" s="161" t="s">
        <v>740</v>
      </c>
      <c r="G243" s="161" t="s">
        <v>1405</v>
      </c>
      <c r="H243" s="161" t="s">
        <v>1402</v>
      </c>
      <c r="I243" s="160">
        <v>25</v>
      </c>
      <c r="J243" s="154" t="s">
        <v>574</v>
      </c>
      <c r="K243" s="185"/>
      <c r="L243" s="163" t="s">
        <v>748</v>
      </c>
      <c r="M243" s="164" t="s">
        <v>649</v>
      </c>
      <c r="N243" s="165" t="s">
        <v>733</v>
      </c>
      <c r="O243" s="165"/>
      <c r="P243" s="165"/>
      <c r="Q243" s="165"/>
      <c r="R243" s="165" t="s">
        <v>736</v>
      </c>
      <c r="S243" s="166" t="s">
        <v>1328</v>
      </c>
      <c r="T243" s="165" t="s">
        <v>678</v>
      </c>
    </row>
    <row r="244" spans="1:20" ht="38.25" customHeight="1">
      <c r="A244" s="169" t="s">
        <v>668</v>
      </c>
      <c r="B244" s="186" t="s">
        <v>669</v>
      </c>
      <c r="C244" s="156" t="s">
        <v>670</v>
      </c>
      <c r="D244" s="171" t="s">
        <v>1406</v>
      </c>
      <c r="E244" s="171" t="s">
        <v>1407</v>
      </c>
      <c r="F244" s="171" t="s">
        <v>1343</v>
      </c>
      <c r="G244" s="171" t="s">
        <v>722</v>
      </c>
      <c r="H244" s="171" t="s">
        <v>722</v>
      </c>
      <c r="I244" s="170">
        <v>25</v>
      </c>
      <c r="J244" s="156" t="s">
        <v>574</v>
      </c>
      <c r="K244" s="187"/>
      <c r="L244" s="172" t="s">
        <v>748</v>
      </c>
      <c r="M244" s="173" t="s">
        <v>649</v>
      </c>
      <c r="N244" s="174" t="s">
        <v>733</v>
      </c>
      <c r="O244" s="174"/>
      <c r="P244" s="174"/>
      <c r="Q244" s="174"/>
      <c r="R244" s="174" t="s">
        <v>736</v>
      </c>
      <c r="S244" s="175" t="s">
        <v>1328</v>
      </c>
      <c r="T244" s="174" t="s">
        <v>678</v>
      </c>
    </row>
    <row r="245" spans="1:20" ht="38.25" customHeight="1">
      <c r="A245" s="159" t="s">
        <v>668</v>
      </c>
      <c r="B245" s="184" t="s">
        <v>669</v>
      </c>
      <c r="C245" s="154" t="s">
        <v>670</v>
      </c>
      <c r="D245" s="161" t="s">
        <v>1408</v>
      </c>
      <c r="E245" s="161" t="s">
        <v>1409</v>
      </c>
      <c r="F245" s="161" t="s">
        <v>740</v>
      </c>
      <c r="G245" s="161" t="s">
        <v>722</v>
      </c>
      <c r="H245" s="161" t="s">
        <v>722</v>
      </c>
      <c r="I245" s="160">
        <v>23</v>
      </c>
      <c r="J245" s="154" t="s">
        <v>574</v>
      </c>
      <c r="K245" s="185"/>
      <c r="L245" s="163" t="s">
        <v>748</v>
      </c>
      <c r="M245" s="164" t="s">
        <v>649</v>
      </c>
      <c r="N245" s="165" t="s">
        <v>733</v>
      </c>
      <c r="O245" s="165"/>
      <c r="P245" s="165"/>
      <c r="Q245" s="165"/>
      <c r="R245" s="165" t="s">
        <v>736</v>
      </c>
      <c r="S245" s="166" t="s">
        <v>737</v>
      </c>
      <c r="T245" s="165" t="s">
        <v>678</v>
      </c>
    </row>
    <row r="246" spans="1:20" ht="38.25" customHeight="1">
      <c r="A246" s="169" t="s">
        <v>668</v>
      </c>
      <c r="B246" s="186" t="s">
        <v>669</v>
      </c>
      <c r="C246" s="156" t="s">
        <v>670</v>
      </c>
      <c r="D246" s="171" t="s">
        <v>1410</v>
      </c>
      <c r="E246" s="171" t="s">
        <v>1411</v>
      </c>
      <c r="F246" s="171" t="s">
        <v>706</v>
      </c>
      <c r="G246" s="171" t="s">
        <v>722</v>
      </c>
      <c r="H246" s="171" t="s">
        <v>722</v>
      </c>
      <c r="I246" s="170">
        <v>23</v>
      </c>
      <c r="J246" s="156" t="s">
        <v>574</v>
      </c>
      <c r="K246" s="187"/>
      <c r="L246" s="172" t="s">
        <v>748</v>
      </c>
      <c r="M246" s="173" t="s">
        <v>649</v>
      </c>
      <c r="N246" s="174" t="s">
        <v>733</v>
      </c>
      <c r="O246" s="174"/>
      <c r="P246" s="174"/>
      <c r="Q246" s="174"/>
      <c r="R246" s="174" t="s">
        <v>736</v>
      </c>
      <c r="S246" s="175" t="s">
        <v>737</v>
      </c>
      <c r="T246" s="174" t="s">
        <v>678</v>
      </c>
    </row>
    <row r="247" spans="1:20" ht="38.25" customHeight="1">
      <c r="A247" s="159" t="s">
        <v>668</v>
      </c>
      <c r="B247" s="184" t="s">
        <v>669</v>
      </c>
      <c r="C247" s="154" t="s">
        <v>670</v>
      </c>
      <c r="D247" s="161" t="s">
        <v>1412</v>
      </c>
      <c r="E247" s="161" t="s">
        <v>1413</v>
      </c>
      <c r="F247" s="161" t="s">
        <v>706</v>
      </c>
      <c r="G247" s="161" t="s">
        <v>722</v>
      </c>
      <c r="H247" s="161" t="s">
        <v>722</v>
      </c>
      <c r="I247" s="160">
        <v>25</v>
      </c>
      <c r="J247" s="154" t="s">
        <v>574</v>
      </c>
      <c r="K247" s="185"/>
      <c r="L247" s="163" t="s">
        <v>748</v>
      </c>
      <c r="M247" s="164" t="s">
        <v>649</v>
      </c>
      <c r="N247" s="165" t="s">
        <v>733</v>
      </c>
      <c r="O247" s="165"/>
      <c r="P247" s="165"/>
      <c r="Q247" s="165"/>
      <c r="R247" s="165" t="s">
        <v>736</v>
      </c>
      <c r="S247" s="166" t="s">
        <v>1328</v>
      </c>
      <c r="T247" s="165" t="s">
        <v>678</v>
      </c>
    </row>
    <row r="248" spans="1:20" ht="38.25" customHeight="1">
      <c r="A248" s="169" t="s">
        <v>668</v>
      </c>
      <c r="B248" s="186" t="s">
        <v>669</v>
      </c>
      <c r="C248" s="156" t="s">
        <v>670</v>
      </c>
      <c r="D248" s="171" t="s">
        <v>1414</v>
      </c>
      <c r="E248" s="171" t="s">
        <v>1415</v>
      </c>
      <c r="F248" s="171" t="s">
        <v>740</v>
      </c>
      <c r="G248" s="171" t="s">
        <v>722</v>
      </c>
      <c r="H248" s="171" t="s">
        <v>722</v>
      </c>
      <c r="I248" s="170">
        <v>4.7</v>
      </c>
      <c r="J248" s="156" t="s">
        <v>574</v>
      </c>
      <c r="K248" s="187"/>
      <c r="L248" s="172" t="s">
        <v>748</v>
      </c>
      <c r="M248" s="173" t="s">
        <v>649</v>
      </c>
      <c r="N248" s="174" t="s">
        <v>733</v>
      </c>
      <c r="O248" s="174"/>
      <c r="P248" s="174"/>
      <c r="Q248" s="174"/>
      <c r="R248" s="174" t="s">
        <v>736</v>
      </c>
      <c r="S248" s="175" t="s">
        <v>1416</v>
      </c>
      <c r="T248" s="174" t="s">
        <v>678</v>
      </c>
    </row>
    <row r="249" spans="1:20" ht="38.25" customHeight="1">
      <c r="A249" s="159" t="s">
        <v>668</v>
      </c>
      <c r="B249" s="184" t="s">
        <v>669</v>
      </c>
      <c r="C249" s="154" t="s">
        <v>670</v>
      </c>
      <c r="D249" s="161" t="s">
        <v>1417</v>
      </c>
      <c r="E249" s="161" t="s">
        <v>1418</v>
      </c>
      <c r="F249" s="161" t="s">
        <v>740</v>
      </c>
      <c r="G249" s="161" t="s">
        <v>1419</v>
      </c>
      <c r="H249" s="161" t="s">
        <v>722</v>
      </c>
      <c r="I249" s="160">
        <v>23</v>
      </c>
      <c r="J249" s="154" t="s">
        <v>574</v>
      </c>
      <c r="K249" s="185"/>
      <c r="L249" s="163" t="s">
        <v>748</v>
      </c>
      <c r="M249" s="164" t="s">
        <v>649</v>
      </c>
      <c r="N249" s="165" t="s">
        <v>733</v>
      </c>
      <c r="O249" s="165"/>
      <c r="P249" s="165"/>
      <c r="Q249" s="165"/>
      <c r="R249" s="165" t="s">
        <v>736</v>
      </c>
      <c r="S249" s="166" t="s">
        <v>737</v>
      </c>
      <c r="T249" s="165" t="s">
        <v>678</v>
      </c>
    </row>
    <row r="250" spans="1:20" ht="38.25" customHeight="1">
      <c r="A250" s="169" t="s">
        <v>668</v>
      </c>
      <c r="B250" s="186" t="s">
        <v>669</v>
      </c>
      <c r="C250" s="156" t="s">
        <v>670</v>
      </c>
      <c r="D250" s="171" t="s">
        <v>1420</v>
      </c>
      <c r="E250" s="171" t="s">
        <v>1421</v>
      </c>
      <c r="F250" s="171" t="s">
        <v>740</v>
      </c>
      <c r="G250" s="171" t="s">
        <v>722</v>
      </c>
      <c r="H250" s="171" t="s">
        <v>722</v>
      </c>
      <c r="I250" s="170">
        <v>25</v>
      </c>
      <c r="J250" s="156" t="s">
        <v>574</v>
      </c>
      <c r="K250" s="187"/>
      <c r="L250" s="172" t="s">
        <v>748</v>
      </c>
      <c r="M250" s="173" t="s">
        <v>649</v>
      </c>
      <c r="N250" s="174" t="s">
        <v>733</v>
      </c>
      <c r="O250" s="174"/>
      <c r="P250" s="174"/>
      <c r="Q250" s="174"/>
      <c r="R250" s="174" t="s">
        <v>736</v>
      </c>
      <c r="S250" s="175" t="s">
        <v>1328</v>
      </c>
      <c r="T250" s="174" t="s">
        <v>678</v>
      </c>
    </row>
    <row r="251" spans="1:20" ht="51" customHeight="1">
      <c r="A251" s="159" t="s">
        <v>668</v>
      </c>
      <c r="B251" s="184" t="s">
        <v>669</v>
      </c>
      <c r="C251" s="154" t="s">
        <v>670</v>
      </c>
      <c r="D251" s="161" t="s">
        <v>1422</v>
      </c>
      <c r="E251" s="161" t="s">
        <v>1423</v>
      </c>
      <c r="F251" s="161" t="s">
        <v>740</v>
      </c>
      <c r="G251" s="161" t="s">
        <v>1424</v>
      </c>
      <c r="H251" s="161" t="s">
        <v>722</v>
      </c>
      <c r="I251" s="160">
        <v>4.7</v>
      </c>
      <c r="J251" s="154" t="s">
        <v>574</v>
      </c>
      <c r="K251" s="185"/>
      <c r="L251" s="163" t="s">
        <v>748</v>
      </c>
      <c r="M251" s="164" t="s">
        <v>649</v>
      </c>
      <c r="N251" s="165" t="s">
        <v>733</v>
      </c>
      <c r="O251" s="165"/>
      <c r="P251" s="165"/>
      <c r="Q251" s="165"/>
      <c r="R251" s="165" t="s">
        <v>736</v>
      </c>
      <c r="S251" s="166" t="s">
        <v>1416</v>
      </c>
      <c r="T251" s="165" t="s">
        <v>678</v>
      </c>
    </row>
    <row r="252" spans="1:20" ht="38.25" customHeight="1">
      <c r="A252" s="169" t="s">
        <v>668</v>
      </c>
      <c r="B252" s="186" t="s">
        <v>669</v>
      </c>
      <c r="C252" s="156" t="s">
        <v>670</v>
      </c>
      <c r="D252" s="171" t="s">
        <v>1425</v>
      </c>
      <c r="E252" s="171" t="s">
        <v>1426</v>
      </c>
      <c r="F252" s="171" t="s">
        <v>740</v>
      </c>
      <c r="G252" s="171" t="s">
        <v>722</v>
      </c>
      <c r="H252" s="171" t="s">
        <v>722</v>
      </c>
      <c r="I252" s="170">
        <v>24</v>
      </c>
      <c r="J252" s="156" t="s">
        <v>574</v>
      </c>
      <c r="K252" s="187"/>
      <c r="L252" s="172" t="s">
        <v>748</v>
      </c>
      <c r="M252" s="173" t="s">
        <v>649</v>
      </c>
      <c r="N252" s="174" t="s">
        <v>733</v>
      </c>
      <c r="O252" s="174"/>
      <c r="P252" s="174"/>
      <c r="Q252" s="174"/>
      <c r="R252" s="174" t="s">
        <v>736</v>
      </c>
      <c r="S252" s="175" t="s">
        <v>1334</v>
      </c>
      <c r="T252" s="174" t="s">
        <v>678</v>
      </c>
    </row>
    <row r="253" spans="1:20" ht="38.25" customHeight="1">
      <c r="A253" s="159" t="s">
        <v>668</v>
      </c>
      <c r="B253" s="184" t="s">
        <v>669</v>
      </c>
      <c r="C253" s="154" t="s">
        <v>670</v>
      </c>
      <c r="D253" s="161" t="s">
        <v>1427</v>
      </c>
      <c r="E253" s="161" t="s">
        <v>1428</v>
      </c>
      <c r="F253" s="161" t="s">
        <v>706</v>
      </c>
      <c r="G253" s="161" t="s">
        <v>876</v>
      </c>
      <c r="H253" s="161" t="s">
        <v>722</v>
      </c>
      <c r="I253" s="160">
        <v>23</v>
      </c>
      <c r="J253" s="154" t="s">
        <v>574</v>
      </c>
      <c r="K253" s="185"/>
      <c r="L253" s="163" t="s">
        <v>748</v>
      </c>
      <c r="M253" s="164" t="s">
        <v>649</v>
      </c>
      <c r="N253" s="165" t="s">
        <v>733</v>
      </c>
      <c r="O253" s="165"/>
      <c r="P253" s="165"/>
      <c r="Q253" s="165"/>
      <c r="R253" s="165" t="s">
        <v>736</v>
      </c>
      <c r="S253" s="166" t="s">
        <v>737</v>
      </c>
      <c r="T253" s="165" t="s">
        <v>678</v>
      </c>
    </row>
    <row r="254" spans="1:20" ht="38.25" customHeight="1">
      <c r="A254" s="169" t="s">
        <v>668</v>
      </c>
      <c r="B254" s="186" t="s">
        <v>669</v>
      </c>
      <c r="C254" s="156" t="s">
        <v>670</v>
      </c>
      <c r="D254" s="171" t="s">
        <v>1429</v>
      </c>
      <c r="E254" s="171" t="s">
        <v>1430</v>
      </c>
      <c r="F254" s="171" t="s">
        <v>740</v>
      </c>
      <c r="G254" s="171" t="s">
        <v>1431</v>
      </c>
      <c r="H254" s="171" t="s">
        <v>675</v>
      </c>
      <c r="I254" s="170">
        <v>22</v>
      </c>
      <c r="J254" s="156" t="s">
        <v>574</v>
      </c>
      <c r="K254" s="187"/>
      <c r="L254" s="172" t="s">
        <v>748</v>
      </c>
      <c r="M254" s="173" t="s">
        <v>649</v>
      </c>
      <c r="N254" s="174" t="s">
        <v>733</v>
      </c>
      <c r="O254" s="174"/>
      <c r="P254" s="174"/>
      <c r="Q254" s="174"/>
      <c r="R254" s="174" t="s">
        <v>736</v>
      </c>
      <c r="S254" s="175" t="s">
        <v>1377</v>
      </c>
      <c r="T254" s="174" t="s">
        <v>678</v>
      </c>
    </row>
    <row r="255" spans="1:20" ht="38.25" customHeight="1">
      <c r="A255" s="159" t="s">
        <v>668</v>
      </c>
      <c r="B255" s="184" t="s">
        <v>669</v>
      </c>
      <c r="C255" s="154" t="s">
        <v>670</v>
      </c>
      <c r="D255" s="161" t="s">
        <v>1432</v>
      </c>
      <c r="E255" s="161" t="s">
        <v>1433</v>
      </c>
      <c r="F255" s="161" t="s">
        <v>706</v>
      </c>
      <c r="G255" s="161" t="s">
        <v>697</v>
      </c>
      <c r="H255" s="161" t="s">
        <v>1162</v>
      </c>
      <c r="I255" s="160">
        <v>25</v>
      </c>
      <c r="J255" s="154" t="s">
        <v>574</v>
      </c>
      <c r="K255" s="185"/>
      <c r="L255" s="163" t="s">
        <v>748</v>
      </c>
      <c r="M255" s="164" t="s">
        <v>649</v>
      </c>
      <c r="N255" s="165" t="s">
        <v>733</v>
      </c>
      <c r="O255" s="165"/>
      <c r="P255" s="165"/>
      <c r="Q255" s="165"/>
      <c r="R255" s="165" t="s">
        <v>736</v>
      </c>
      <c r="S255" s="166" t="s">
        <v>1328</v>
      </c>
      <c r="T255" s="165" t="s">
        <v>678</v>
      </c>
    </row>
    <row r="256" spans="1:20" ht="51" customHeight="1">
      <c r="A256" s="169" t="s">
        <v>668</v>
      </c>
      <c r="B256" s="186" t="s">
        <v>669</v>
      </c>
      <c r="C256" s="156" t="s">
        <v>670</v>
      </c>
      <c r="D256" s="171" t="s">
        <v>1434</v>
      </c>
      <c r="E256" s="171" t="s">
        <v>1435</v>
      </c>
      <c r="F256" s="171" t="s">
        <v>740</v>
      </c>
      <c r="G256" s="171" t="s">
        <v>1348</v>
      </c>
      <c r="H256" s="171" t="s">
        <v>675</v>
      </c>
      <c r="I256" s="170">
        <v>25</v>
      </c>
      <c r="J256" s="156" t="s">
        <v>574</v>
      </c>
      <c r="K256" s="187"/>
      <c r="L256" s="172" t="s">
        <v>748</v>
      </c>
      <c r="M256" s="173" t="s">
        <v>649</v>
      </c>
      <c r="N256" s="174" t="s">
        <v>733</v>
      </c>
      <c r="O256" s="174"/>
      <c r="P256" s="174"/>
      <c r="Q256" s="174"/>
      <c r="R256" s="174" t="s">
        <v>736</v>
      </c>
      <c r="S256" s="175" t="s">
        <v>1328</v>
      </c>
      <c r="T256" s="174" t="s">
        <v>678</v>
      </c>
    </row>
    <row r="257" spans="1:20" ht="38.25" customHeight="1">
      <c r="A257" s="159" t="s">
        <v>668</v>
      </c>
      <c r="B257" s="184" t="s">
        <v>669</v>
      </c>
      <c r="C257" s="154" t="s">
        <v>670</v>
      </c>
      <c r="D257" s="161" t="s">
        <v>1436</v>
      </c>
      <c r="E257" s="161" t="s">
        <v>1437</v>
      </c>
      <c r="F257" s="161" t="s">
        <v>706</v>
      </c>
      <c r="G257" s="161" t="s">
        <v>1438</v>
      </c>
      <c r="H257" s="161" t="s">
        <v>675</v>
      </c>
      <c r="I257" s="160">
        <v>23</v>
      </c>
      <c r="J257" s="154" t="s">
        <v>574</v>
      </c>
      <c r="K257" s="185"/>
      <c r="L257" s="163" t="s">
        <v>748</v>
      </c>
      <c r="M257" s="164" t="s">
        <v>649</v>
      </c>
      <c r="N257" s="165" t="s">
        <v>733</v>
      </c>
      <c r="O257" s="165"/>
      <c r="P257" s="165"/>
      <c r="Q257" s="165"/>
      <c r="R257" s="165" t="s">
        <v>736</v>
      </c>
      <c r="S257" s="166" t="s">
        <v>737</v>
      </c>
      <c r="T257" s="165" t="s">
        <v>678</v>
      </c>
    </row>
    <row r="258" spans="1:20" ht="38.25" customHeight="1">
      <c r="A258" s="169" t="s">
        <v>668</v>
      </c>
      <c r="B258" s="186" t="s">
        <v>669</v>
      </c>
      <c r="C258" s="156" t="s">
        <v>670</v>
      </c>
      <c r="D258" s="171" t="s">
        <v>1439</v>
      </c>
      <c r="E258" s="171" t="s">
        <v>1440</v>
      </c>
      <c r="F258" s="171" t="s">
        <v>706</v>
      </c>
      <c r="G258" s="171" t="s">
        <v>1431</v>
      </c>
      <c r="H258" s="171" t="s">
        <v>675</v>
      </c>
      <c r="I258" s="170">
        <v>24</v>
      </c>
      <c r="J258" s="156" t="s">
        <v>574</v>
      </c>
      <c r="K258" s="187"/>
      <c r="L258" s="172" t="s">
        <v>748</v>
      </c>
      <c r="M258" s="173" t="s">
        <v>649</v>
      </c>
      <c r="N258" s="174" t="s">
        <v>733</v>
      </c>
      <c r="O258" s="174"/>
      <c r="P258" s="174"/>
      <c r="Q258" s="174"/>
      <c r="R258" s="174" t="s">
        <v>736</v>
      </c>
      <c r="S258" s="175" t="s">
        <v>1334</v>
      </c>
      <c r="T258" s="174" t="s">
        <v>678</v>
      </c>
    </row>
    <row r="259" spans="1:20" ht="38.25" customHeight="1">
      <c r="A259" s="159" t="s">
        <v>668</v>
      </c>
      <c r="B259" s="184" t="s">
        <v>669</v>
      </c>
      <c r="C259" s="154" t="s">
        <v>670</v>
      </c>
      <c r="D259" s="161" t="s">
        <v>1441</v>
      </c>
      <c r="E259" s="161" t="s">
        <v>1442</v>
      </c>
      <c r="F259" s="161" t="s">
        <v>740</v>
      </c>
      <c r="G259" s="161" t="s">
        <v>741</v>
      </c>
      <c r="H259" s="161" t="s">
        <v>741</v>
      </c>
      <c r="I259" s="160">
        <v>4.3</v>
      </c>
      <c r="J259" s="154" t="s">
        <v>574</v>
      </c>
      <c r="K259" s="185"/>
      <c r="L259" s="163" t="s">
        <v>748</v>
      </c>
      <c r="M259" s="164" t="s">
        <v>649</v>
      </c>
      <c r="N259" s="165" t="s">
        <v>733</v>
      </c>
      <c r="O259" s="165"/>
      <c r="P259" s="165"/>
      <c r="Q259" s="165"/>
      <c r="R259" s="165" t="s">
        <v>736</v>
      </c>
      <c r="S259" s="166" t="s">
        <v>1349</v>
      </c>
      <c r="T259" s="165" t="s">
        <v>678</v>
      </c>
    </row>
    <row r="260" spans="1:20" ht="51" customHeight="1">
      <c r="A260" s="169" t="s">
        <v>668</v>
      </c>
      <c r="B260" s="186" t="s">
        <v>669</v>
      </c>
      <c r="C260" s="156" t="s">
        <v>670</v>
      </c>
      <c r="D260" s="171" t="s">
        <v>1443</v>
      </c>
      <c r="E260" s="171" t="s">
        <v>1444</v>
      </c>
      <c r="F260" s="171" t="s">
        <v>1343</v>
      </c>
      <c r="G260" s="171" t="s">
        <v>1445</v>
      </c>
      <c r="H260" s="171" t="s">
        <v>1162</v>
      </c>
      <c r="I260" s="170">
        <v>25</v>
      </c>
      <c r="J260" s="156" t="s">
        <v>574</v>
      </c>
      <c r="K260" s="187"/>
      <c r="L260" s="172" t="s">
        <v>748</v>
      </c>
      <c r="M260" s="173" t="s">
        <v>649</v>
      </c>
      <c r="N260" s="174" t="s">
        <v>733</v>
      </c>
      <c r="O260" s="174"/>
      <c r="P260" s="174"/>
      <c r="Q260" s="174"/>
      <c r="R260" s="174" t="s">
        <v>736</v>
      </c>
      <c r="S260" s="175" t="s">
        <v>1328</v>
      </c>
      <c r="T260" s="174" t="s">
        <v>678</v>
      </c>
    </row>
    <row r="261" spans="1:20" ht="38.25" customHeight="1">
      <c r="A261" s="159" t="s">
        <v>668</v>
      </c>
      <c r="B261" s="184" t="s">
        <v>669</v>
      </c>
      <c r="C261" s="154" t="s">
        <v>670</v>
      </c>
      <c r="D261" s="161" t="s">
        <v>1446</v>
      </c>
      <c r="E261" s="161" t="s">
        <v>1447</v>
      </c>
      <c r="F261" s="161" t="s">
        <v>740</v>
      </c>
      <c r="G261" s="161" t="s">
        <v>1448</v>
      </c>
      <c r="H261" s="161" t="s">
        <v>727</v>
      </c>
      <c r="I261" s="160">
        <v>24</v>
      </c>
      <c r="J261" s="154" t="s">
        <v>574</v>
      </c>
      <c r="K261" s="185"/>
      <c r="L261" s="163" t="s">
        <v>748</v>
      </c>
      <c r="M261" s="164" t="s">
        <v>649</v>
      </c>
      <c r="N261" s="165" t="s">
        <v>733</v>
      </c>
      <c r="O261" s="165"/>
      <c r="P261" s="165"/>
      <c r="Q261" s="165"/>
      <c r="R261" s="165" t="s">
        <v>736</v>
      </c>
      <c r="S261" s="166" t="s">
        <v>1334</v>
      </c>
      <c r="T261" s="165" t="s">
        <v>678</v>
      </c>
    </row>
    <row r="262" spans="1:20" ht="38.25" customHeight="1">
      <c r="A262" s="169" t="s">
        <v>668</v>
      </c>
      <c r="B262" s="186" t="s">
        <v>669</v>
      </c>
      <c r="C262" s="156" t="s">
        <v>670</v>
      </c>
      <c r="D262" s="171" t="s">
        <v>1449</v>
      </c>
      <c r="E262" s="171" t="s">
        <v>1450</v>
      </c>
      <c r="F262" s="171" t="s">
        <v>706</v>
      </c>
      <c r="G262" s="171" t="s">
        <v>1451</v>
      </c>
      <c r="H262" s="171" t="s">
        <v>1324</v>
      </c>
      <c r="I262" s="170">
        <v>23</v>
      </c>
      <c r="J262" s="156" t="s">
        <v>574</v>
      </c>
      <c r="K262" s="187"/>
      <c r="L262" s="172" t="s">
        <v>748</v>
      </c>
      <c r="M262" s="173" t="s">
        <v>649</v>
      </c>
      <c r="N262" s="174" t="s">
        <v>733</v>
      </c>
      <c r="O262" s="174"/>
      <c r="P262" s="174"/>
      <c r="Q262" s="174"/>
      <c r="R262" s="174" t="s">
        <v>736</v>
      </c>
      <c r="S262" s="175" t="s">
        <v>737</v>
      </c>
      <c r="T262" s="174" t="s">
        <v>678</v>
      </c>
    </row>
    <row r="263" spans="1:20" ht="38.25" customHeight="1">
      <c r="A263" s="159" t="s">
        <v>668</v>
      </c>
      <c r="B263" s="184" t="s">
        <v>669</v>
      </c>
      <c r="C263" s="154" t="s">
        <v>670</v>
      </c>
      <c r="D263" s="161" t="s">
        <v>1452</v>
      </c>
      <c r="E263" s="161" t="s">
        <v>1453</v>
      </c>
      <c r="F263" s="161" t="s">
        <v>740</v>
      </c>
      <c r="G263" s="161" t="s">
        <v>716</v>
      </c>
      <c r="H263" s="161" t="s">
        <v>716</v>
      </c>
      <c r="I263" s="160">
        <v>22</v>
      </c>
      <c r="J263" s="154" t="s">
        <v>574</v>
      </c>
      <c r="K263" s="185"/>
      <c r="L263" s="163" t="s">
        <v>748</v>
      </c>
      <c r="M263" s="164" t="s">
        <v>649</v>
      </c>
      <c r="N263" s="165" t="s">
        <v>733</v>
      </c>
      <c r="O263" s="165"/>
      <c r="P263" s="165"/>
      <c r="Q263" s="165"/>
      <c r="R263" s="165" t="s">
        <v>736</v>
      </c>
      <c r="S263" s="166" t="s">
        <v>1377</v>
      </c>
      <c r="T263" s="165" t="s">
        <v>678</v>
      </c>
    </row>
    <row r="264" spans="1:20" ht="38.25" customHeight="1">
      <c r="A264" s="169" t="s">
        <v>668</v>
      </c>
      <c r="B264" s="186" t="s">
        <v>669</v>
      </c>
      <c r="C264" s="156" t="s">
        <v>670</v>
      </c>
      <c r="D264" s="171" t="s">
        <v>1454</v>
      </c>
      <c r="E264" s="171" t="s">
        <v>1455</v>
      </c>
      <c r="F264" s="171" t="s">
        <v>706</v>
      </c>
      <c r="G264" s="171" t="s">
        <v>1396</v>
      </c>
      <c r="H264" s="171" t="s">
        <v>1396</v>
      </c>
      <c r="I264" s="170">
        <v>20</v>
      </c>
      <c r="J264" s="156" t="s">
        <v>574</v>
      </c>
      <c r="K264" s="187"/>
      <c r="L264" s="172" t="s">
        <v>748</v>
      </c>
      <c r="M264" s="173" t="s">
        <v>649</v>
      </c>
      <c r="N264" s="174" t="s">
        <v>733</v>
      </c>
      <c r="O264" s="174"/>
      <c r="P264" s="174"/>
      <c r="Q264" s="174"/>
      <c r="R264" s="174" t="s">
        <v>736</v>
      </c>
      <c r="S264" s="175" t="s">
        <v>1456</v>
      </c>
      <c r="T264" s="174" t="s">
        <v>678</v>
      </c>
    </row>
    <row r="265" spans="1:20" ht="38.25" customHeight="1">
      <c r="A265" s="159" t="s">
        <v>668</v>
      </c>
      <c r="B265" s="184" t="s">
        <v>669</v>
      </c>
      <c r="C265" s="154" t="s">
        <v>670</v>
      </c>
      <c r="D265" s="161" t="s">
        <v>1454</v>
      </c>
      <c r="E265" s="161" t="s">
        <v>1457</v>
      </c>
      <c r="F265" s="161" t="s">
        <v>706</v>
      </c>
      <c r="G265" s="161" t="s">
        <v>1396</v>
      </c>
      <c r="H265" s="161" t="s">
        <v>1396</v>
      </c>
      <c r="I265" s="160">
        <v>22</v>
      </c>
      <c r="J265" s="154" t="s">
        <v>574</v>
      </c>
      <c r="K265" s="185"/>
      <c r="L265" s="163" t="s">
        <v>748</v>
      </c>
      <c r="M265" s="164" t="s">
        <v>649</v>
      </c>
      <c r="N265" s="165" t="s">
        <v>733</v>
      </c>
      <c r="O265" s="165"/>
      <c r="P265" s="165"/>
      <c r="Q265" s="165"/>
      <c r="R265" s="165" t="s">
        <v>736</v>
      </c>
      <c r="S265" s="166" t="s">
        <v>1377</v>
      </c>
      <c r="T265" s="165" t="s">
        <v>678</v>
      </c>
    </row>
    <row r="266" spans="1:20" ht="38.25" customHeight="1">
      <c r="A266" s="169" t="s">
        <v>668</v>
      </c>
      <c r="B266" s="186" t="s">
        <v>669</v>
      </c>
      <c r="C266" s="156" t="s">
        <v>670</v>
      </c>
      <c r="D266" s="171" t="s">
        <v>1458</v>
      </c>
      <c r="E266" s="171" t="s">
        <v>1459</v>
      </c>
      <c r="F266" s="171" t="s">
        <v>706</v>
      </c>
      <c r="G266" s="171" t="s">
        <v>1396</v>
      </c>
      <c r="H266" s="171" t="s">
        <v>1396</v>
      </c>
      <c r="I266" s="170">
        <v>23</v>
      </c>
      <c r="J266" s="156" t="s">
        <v>574</v>
      </c>
      <c r="K266" s="187"/>
      <c r="L266" s="172" t="s">
        <v>748</v>
      </c>
      <c r="M266" s="173" t="s">
        <v>649</v>
      </c>
      <c r="N266" s="174" t="s">
        <v>733</v>
      </c>
      <c r="O266" s="174"/>
      <c r="P266" s="174"/>
      <c r="Q266" s="174"/>
      <c r="R266" s="174" t="s">
        <v>736</v>
      </c>
      <c r="S266" s="175" t="s">
        <v>737</v>
      </c>
      <c r="T266" s="174" t="s">
        <v>678</v>
      </c>
    </row>
    <row r="267" spans="1:20" ht="38.25" customHeight="1">
      <c r="A267" s="159" t="s">
        <v>668</v>
      </c>
      <c r="B267" s="184" t="s">
        <v>669</v>
      </c>
      <c r="C267" s="154" t="s">
        <v>670</v>
      </c>
      <c r="D267" s="161" t="s">
        <v>1460</v>
      </c>
      <c r="E267" s="161" t="s">
        <v>1461</v>
      </c>
      <c r="F267" s="161" t="s">
        <v>706</v>
      </c>
      <c r="G267" s="161" t="s">
        <v>1462</v>
      </c>
      <c r="H267" s="161" t="s">
        <v>1462</v>
      </c>
      <c r="I267" s="160">
        <v>21</v>
      </c>
      <c r="J267" s="154" t="s">
        <v>574</v>
      </c>
      <c r="K267" s="185"/>
      <c r="L267" s="163" t="s">
        <v>748</v>
      </c>
      <c r="M267" s="164" t="s">
        <v>649</v>
      </c>
      <c r="N267" s="165" t="s">
        <v>733</v>
      </c>
      <c r="O267" s="165"/>
      <c r="P267" s="165"/>
      <c r="Q267" s="165"/>
      <c r="R267" s="165" t="s">
        <v>736</v>
      </c>
      <c r="S267" s="166" t="s">
        <v>1388</v>
      </c>
      <c r="T267" s="165" t="s">
        <v>678</v>
      </c>
    </row>
    <row r="268" spans="1:20" ht="38.25" customHeight="1">
      <c r="A268" s="169" t="s">
        <v>668</v>
      </c>
      <c r="B268" s="186" t="s">
        <v>669</v>
      </c>
      <c r="C268" s="156" t="s">
        <v>670</v>
      </c>
      <c r="D268" s="171" t="s">
        <v>1463</v>
      </c>
      <c r="E268" s="171" t="s">
        <v>1464</v>
      </c>
      <c r="F268" s="171" t="s">
        <v>1465</v>
      </c>
      <c r="G268" s="171" t="s">
        <v>1466</v>
      </c>
      <c r="H268" s="171" t="s">
        <v>716</v>
      </c>
      <c r="I268" s="170">
        <v>23</v>
      </c>
      <c r="J268" s="156" t="s">
        <v>574</v>
      </c>
      <c r="K268" s="187"/>
      <c r="L268" s="172" t="s">
        <v>748</v>
      </c>
      <c r="M268" s="173" t="s">
        <v>649</v>
      </c>
      <c r="N268" s="174" t="s">
        <v>733</v>
      </c>
      <c r="O268" s="174"/>
      <c r="P268" s="174"/>
      <c r="Q268" s="174"/>
      <c r="R268" s="174" t="s">
        <v>736</v>
      </c>
      <c r="S268" s="175" t="s">
        <v>737</v>
      </c>
      <c r="T268" s="174" t="s">
        <v>678</v>
      </c>
    </row>
    <row r="269" spans="1:20" ht="38.25" customHeight="1">
      <c r="A269" s="159" t="s">
        <v>668</v>
      </c>
      <c r="B269" s="184" t="s">
        <v>669</v>
      </c>
      <c r="C269" s="154" t="s">
        <v>670</v>
      </c>
      <c r="D269" s="161" t="s">
        <v>1467</v>
      </c>
      <c r="E269" s="161" t="s">
        <v>1468</v>
      </c>
      <c r="F269" s="161" t="s">
        <v>706</v>
      </c>
      <c r="G269" s="161" t="s">
        <v>1469</v>
      </c>
      <c r="H269" s="161" t="s">
        <v>1162</v>
      </c>
      <c r="I269" s="160">
        <v>21</v>
      </c>
      <c r="J269" s="154" t="s">
        <v>574</v>
      </c>
      <c r="K269" s="185"/>
      <c r="L269" s="163" t="s">
        <v>748</v>
      </c>
      <c r="M269" s="164" t="s">
        <v>649</v>
      </c>
      <c r="N269" s="165" t="s">
        <v>733</v>
      </c>
      <c r="O269" s="165"/>
      <c r="P269" s="165"/>
      <c r="Q269" s="165"/>
      <c r="R269" s="165" t="s">
        <v>736</v>
      </c>
      <c r="S269" s="166" t="s">
        <v>1388</v>
      </c>
      <c r="T269" s="165" t="s">
        <v>678</v>
      </c>
    </row>
    <row r="270" spans="1:20" ht="38.25" customHeight="1">
      <c r="A270" s="169" t="s">
        <v>668</v>
      </c>
      <c r="B270" s="186" t="s">
        <v>669</v>
      </c>
      <c r="C270" s="156" t="s">
        <v>670</v>
      </c>
      <c r="D270" s="171" t="s">
        <v>1470</v>
      </c>
      <c r="E270" s="171" t="s">
        <v>1471</v>
      </c>
      <c r="F270" s="171" t="s">
        <v>740</v>
      </c>
      <c r="G270" s="171" t="s">
        <v>1472</v>
      </c>
      <c r="H270" s="171" t="s">
        <v>1162</v>
      </c>
      <c r="I270" s="170">
        <v>21</v>
      </c>
      <c r="J270" s="156" t="s">
        <v>574</v>
      </c>
      <c r="K270" s="187"/>
      <c r="L270" s="172" t="s">
        <v>748</v>
      </c>
      <c r="M270" s="173" t="s">
        <v>649</v>
      </c>
      <c r="N270" s="174" t="s">
        <v>733</v>
      </c>
      <c r="O270" s="174"/>
      <c r="P270" s="174"/>
      <c r="Q270" s="174"/>
      <c r="R270" s="174" t="s">
        <v>736</v>
      </c>
      <c r="S270" s="175" t="s">
        <v>1388</v>
      </c>
      <c r="T270" s="174" t="s">
        <v>678</v>
      </c>
    </row>
    <row r="271" spans="1:20" ht="38.25" customHeight="1">
      <c r="A271" s="159" t="s">
        <v>668</v>
      </c>
      <c r="B271" s="184" t="s">
        <v>669</v>
      </c>
      <c r="C271" s="154" t="s">
        <v>670</v>
      </c>
      <c r="D271" s="161" t="s">
        <v>1470</v>
      </c>
      <c r="E271" s="161" t="s">
        <v>1473</v>
      </c>
      <c r="F271" s="161" t="s">
        <v>706</v>
      </c>
      <c r="G271" s="161" t="s">
        <v>1472</v>
      </c>
      <c r="H271" s="161" t="s">
        <v>1162</v>
      </c>
      <c r="I271" s="160">
        <v>23</v>
      </c>
      <c r="J271" s="154" t="s">
        <v>574</v>
      </c>
      <c r="K271" s="185"/>
      <c r="L271" s="163" t="s">
        <v>748</v>
      </c>
      <c r="M271" s="164" t="s">
        <v>649</v>
      </c>
      <c r="N271" s="165" t="s">
        <v>733</v>
      </c>
      <c r="O271" s="165"/>
      <c r="P271" s="165"/>
      <c r="Q271" s="165"/>
      <c r="R271" s="165" t="s">
        <v>736</v>
      </c>
      <c r="S271" s="166" t="s">
        <v>737</v>
      </c>
      <c r="T271" s="165" t="s">
        <v>678</v>
      </c>
    </row>
    <row r="272" spans="1:20" ht="38.25" customHeight="1">
      <c r="A272" s="169" t="s">
        <v>668</v>
      </c>
      <c r="B272" s="186" t="s">
        <v>669</v>
      </c>
      <c r="C272" s="156" t="s">
        <v>670</v>
      </c>
      <c r="D272" s="171" t="s">
        <v>1474</v>
      </c>
      <c r="E272" s="171" t="s">
        <v>1475</v>
      </c>
      <c r="F272" s="171" t="s">
        <v>706</v>
      </c>
      <c r="G272" s="171" t="s">
        <v>1476</v>
      </c>
      <c r="H272" s="171" t="s">
        <v>1162</v>
      </c>
      <c r="I272" s="170">
        <v>23</v>
      </c>
      <c r="J272" s="156" t="s">
        <v>574</v>
      </c>
      <c r="K272" s="187"/>
      <c r="L272" s="172" t="s">
        <v>748</v>
      </c>
      <c r="M272" s="173" t="s">
        <v>649</v>
      </c>
      <c r="N272" s="174" t="s">
        <v>733</v>
      </c>
      <c r="O272" s="174"/>
      <c r="P272" s="174"/>
      <c r="Q272" s="174"/>
      <c r="R272" s="174" t="s">
        <v>736</v>
      </c>
      <c r="S272" s="175" t="s">
        <v>737</v>
      </c>
      <c r="T272" s="174" t="s">
        <v>678</v>
      </c>
    </row>
    <row r="273" spans="1:20" ht="38.25" customHeight="1">
      <c r="A273" s="159" t="s">
        <v>668</v>
      </c>
      <c r="B273" s="184" t="s">
        <v>669</v>
      </c>
      <c r="C273" s="154" t="s">
        <v>670</v>
      </c>
      <c r="D273" s="161" t="s">
        <v>1477</v>
      </c>
      <c r="E273" s="161" t="s">
        <v>1478</v>
      </c>
      <c r="F273" s="161" t="s">
        <v>706</v>
      </c>
      <c r="G273" s="161" t="s">
        <v>820</v>
      </c>
      <c r="H273" s="161" t="s">
        <v>1162</v>
      </c>
      <c r="I273" s="160">
        <v>24</v>
      </c>
      <c r="J273" s="154" t="s">
        <v>574</v>
      </c>
      <c r="K273" s="185"/>
      <c r="L273" s="163" t="s">
        <v>748</v>
      </c>
      <c r="M273" s="164" t="s">
        <v>649</v>
      </c>
      <c r="N273" s="165" t="s">
        <v>733</v>
      </c>
      <c r="O273" s="165"/>
      <c r="P273" s="165"/>
      <c r="Q273" s="165"/>
      <c r="R273" s="165" t="s">
        <v>736</v>
      </c>
      <c r="S273" s="166" t="s">
        <v>1334</v>
      </c>
      <c r="T273" s="165" t="s">
        <v>678</v>
      </c>
    </row>
    <row r="274" spans="1:20" ht="38.25" customHeight="1">
      <c r="A274" s="169" t="s">
        <v>668</v>
      </c>
      <c r="B274" s="186" t="s">
        <v>669</v>
      </c>
      <c r="C274" s="156" t="s">
        <v>670</v>
      </c>
      <c r="D274" s="171" t="s">
        <v>1477</v>
      </c>
      <c r="E274" s="171" t="s">
        <v>1479</v>
      </c>
      <c r="F274" s="171" t="s">
        <v>706</v>
      </c>
      <c r="G274" s="171" t="s">
        <v>820</v>
      </c>
      <c r="H274" s="171" t="s">
        <v>1162</v>
      </c>
      <c r="I274" s="170">
        <v>21</v>
      </c>
      <c r="J274" s="156" t="s">
        <v>574</v>
      </c>
      <c r="K274" s="187"/>
      <c r="L274" s="172" t="s">
        <v>748</v>
      </c>
      <c r="M274" s="173" t="s">
        <v>649</v>
      </c>
      <c r="N274" s="174" t="s">
        <v>733</v>
      </c>
      <c r="O274" s="174"/>
      <c r="P274" s="174"/>
      <c r="Q274" s="174"/>
      <c r="R274" s="174" t="s">
        <v>736</v>
      </c>
      <c r="S274" s="175" t="s">
        <v>1388</v>
      </c>
      <c r="T274" s="174" t="s">
        <v>678</v>
      </c>
    </row>
    <row r="275" spans="1:20" ht="38.25" customHeight="1">
      <c r="A275" s="159" t="s">
        <v>668</v>
      </c>
      <c r="B275" s="184" t="s">
        <v>669</v>
      </c>
      <c r="C275" s="154" t="s">
        <v>670</v>
      </c>
      <c r="D275" s="161" t="s">
        <v>1480</v>
      </c>
      <c r="E275" s="161" t="s">
        <v>1481</v>
      </c>
      <c r="F275" s="161" t="s">
        <v>706</v>
      </c>
      <c r="G275" s="161" t="s">
        <v>1482</v>
      </c>
      <c r="H275" s="161" t="s">
        <v>1162</v>
      </c>
      <c r="I275" s="160">
        <v>24</v>
      </c>
      <c r="J275" s="154" t="s">
        <v>574</v>
      </c>
      <c r="K275" s="185"/>
      <c r="L275" s="163" t="s">
        <v>748</v>
      </c>
      <c r="M275" s="164" t="s">
        <v>649</v>
      </c>
      <c r="N275" s="165" t="s">
        <v>733</v>
      </c>
      <c r="O275" s="165"/>
      <c r="P275" s="165"/>
      <c r="Q275" s="165"/>
      <c r="R275" s="165" t="s">
        <v>736</v>
      </c>
      <c r="S275" s="166" t="s">
        <v>1334</v>
      </c>
      <c r="T275" s="165" t="s">
        <v>678</v>
      </c>
    </row>
    <row r="276" spans="1:20" ht="38.25" customHeight="1">
      <c r="A276" s="169" t="s">
        <v>668</v>
      </c>
      <c r="B276" s="186" t="s">
        <v>669</v>
      </c>
      <c r="C276" s="156" t="s">
        <v>670</v>
      </c>
      <c r="D276" s="171" t="s">
        <v>1483</v>
      </c>
      <c r="E276" s="171" t="s">
        <v>1484</v>
      </c>
      <c r="F276" s="171" t="s">
        <v>706</v>
      </c>
      <c r="G276" s="171" t="s">
        <v>1366</v>
      </c>
      <c r="H276" s="171" t="s">
        <v>727</v>
      </c>
      <c r="I276" s="170">
        <v>24</v>
      </c>
      <c r="J276" s="156" t="s">
        <v>574</v>
      </c>
      <c r="K276" s="187"/>
      <c r="L276" s="172" t="s">
        <v>748</v>
      </c>
      <c r="M276" s="173" t="s">
        <v>649</v>
      </c>
      <c r="N276" s="174" t="s">
        <v>733</v>
      </c>
      <c r="O276" s="174"/>
      <c r="P276" s="174"/>
      <c r="Q276" s="174"/>
      <c r="R276" s="174" t="s">
        <v>736</v>
      </c>
      <c r="S276" s="175" t="s">
        <v>1334</v>
      </c>
      <c r="T276" s="174" t="s">
        <v>678</v>
      </c>
    </row>
    <row r="277" spans="1:20" ht="51" customHeight="1">
      <c r="A277" s="159" t="s">
        <v>668</v>
      </c>
      <c r="B277" s="184" t="s">
        <v>669</v>
      </c>
      <c r="C277" s="154" t="s">
        <v>670</v>
      </c>
      <c r="D277" s="161" t="s">
        <v>1485</v>
      </c>
      <c r="E277" s="161" t="s">
        <v>1486</v>
      </c>
      <c r="F277" s="161" t="s">
        <v>706</v>
      </c>
      <c r="G277" s="161" t="s">
        <v>697</v>
      </c>
      <c r="H277" s="161" t="s">
        <v>727</v>
      </c>
      <c r="I277" s="160">
        <v>23</v>
      </c>
      <c r="J277" s="154" t="s">
        <v>574</v>
      </c>
      <c r="K277" s="185"/>
      <c r="L277" s="163" t="s">
        <v>748</v>
      </c>
      <c r="M277" s="164" t="s">
        <v>649</v>
      </c>
      <c r="N277" s="165" t="s">
        <v>733</v>
      </c>
      <c r="O277" s="165"/>
      <c r="P277" s="165"/>
      <c r="Q277" s="165"/>
      <c r="R277" s="165" t="s">
        <v>736</v>
      </c>
      <c r="S277" s="166" t="s">
        <v>737</v>
      </c>
      <c r="T277" s="165" t="s">
        <v>678</v>
      </c>
    </row>
    <row r="278" spans="1:20" ht="51" customHeight="1">
      <c r="A278" s="169" t="s">
        <v>668</v>
      </c>
      <c r="B278" s="186" t="s">
        <v>669</v>
      </c>
      <c r="C278" s="156" t="s">
        <v>670</v>
      </c>
      <c r="D278" s="171" t="s">
        <v>1483</v>
      </c>
      <c r="E278" s="171" t="s">
        <v>1487</v>
      </c>
      <c r="F278" s="171" t="s">
        <v>706</v>
      </c>
      <c r="G278" s="171" t="s">
        <v>1366</v>
      </c>
      <c r="H278" s="171" t="s">
        <v>727</v>
      </c>
      <c r="I278" s="170">
        <v>23</v>
      </c>
      <c r="J278" s="156" t="s">
        <v>574</v>
      </c>
      <c r="K278" s="187"/>
      <c r="L278" s="172" t="s">
        <v>748</v>
      </c>
      <c r="M278" s="173" t="s">
        <v>649</v>
      </c>
      <c r="N278" s="174" t="s">
        <v>733</v>
      </c>
      <c r="O278" s="174"/>
      <c r="P278" s="174"/>
      <c r="Q278" s="174"/>
      <c r="R278" s="174" t="s">
        <v>736</v>
      </c>
      <c r="S278" s="175" t="s">
        <v>737</v>
      </c>
      <c r="T278" s="174" t="s">
        <v>678</v>
      </c>
    </row>
    <row r="279" spans="1:20" ht="38.25" customHeight="1">
      <c r="A279" s="159" t="s">
        <v>668</v>
      </c>
      <c r="B279" s="184" t="s">
        <v>669</v>
      </c>
      <c r="C279" s="154" t="s">
        <v>670</v>
      </c>
      <c r="D279" s="161" t="s">
        <v>1488</v>
      </c>
      <c r="E279" s="161" t="s">
        <v>1489</v>
      </c>
      <c r="F279" s="161" t="s">
        <v>706</v>
      </c>
      <c r="G279" s="161" t="s">
        <v>1445</v>
      </c>
      <c r="H279" s="161" t="s">
        <v>1162</v>
      </c>
      <c r="I279" s="160">
        <v>23</v>
      </c>
      <c r="J279" s="154" t="s">
        <v>574</v>
      </c>
      <c r="K279" s="185"/>
      <c r="L279" s="163" t="s">
        <v>748</v>
      </c>
      <c r="M279" s="164" t="s">
        <v>649</v>
      </c>
      <c r="N279" s="165" t="s">
        <v>733</v>
      </c>
      <c r="O279" s="165"/>
      <c r="P279" s="165"/>
      <c r="Q279" s="165"/>
      <c r="R279" s="165" t="s">
        <v>736</v>
      </c>
      <c r="S279" s="166" t="s">
        <v>737</v>
      </c>
      <c r="T279" s="165" t="s">
        <v>678</v>
      </c>
    </row>
    <row r="280" spans="1:20" ht="38.25" customHeight="1">
      <c r="A280" s="169" t="s">
        <v>668</v>
      </c>
      <c r="B280" s="186" t="s">
        <v>669</v>
      </c>
      <c r="C280" s="156" t="s">
        <v>670</v>
      </c>
      <c r="D280" s="171" t="s">
        <v>1490</v>
      </c>
      <c r="E280" s="171" t="s">
        <v>1491</v>
      </c>
      <c r="F280" s="171" t="s">
        <v>706</v>
      </c>
      <c r="G280" s="171" t="s">
        <v>1492</v>
      </c>
      <c r="H280" s="171" t="s">
        <v>1162</v>
      </c>
      <c r="I280" s="170">
        <v>22</v>
      </c>
      <c r="J280" s="156" t="s">
        <v>574</v>
      </c>
      <c r="K280" s="187"/>
      <c r="L280" s="172" t="s">
        <v>748</v>
      </c>
      <c r="M280" s="173" t="s">
        <v>649</v>
      </c>
      <c r="N280" s="174" t="s">
        <v>733</v>
      </c>
      <c r="O280" s="174"/>
      <c r="P280" s="174"/>
      <c r="Q280" s="174"/>
      <c r="R280" s="174" t="s">
        <v>736</v>
      </c>
      <c r="S280" s="175" t="s">
        <v>1377</v>
      </c>
      <c r="T280" s="174" t="s">
        <v>678</v>
      </c>
    </row>
    <row r="281" spans="1:20" ht="38.25" customHeight="1">
      <c r="A281" s="159" t="s">
        <v>668</v>
      </c>
      <c r="B281" s="184" t="s">
        <v>669</v>
      </c>
      <c r="C281" s="154" t="s">
        <v>670</v>
      </c>
      <c r="D281" s="161" t="s">
        <v>1493</v>
      </c>
      <c r="E281" s="161" t="s">
        <v>1494</v>
      </c>
      <c r="F281" s="161" t="s">
        <v>706</v>
      </c>
      <c r="G281" s="161" t="s">
        <v>1495</v>
      </c>
      <c r="H281" s="161" t="s">
        <v>727</v>
      </c>
      <c r="I281" s="160">
        <v>23</v>
      </c>
      <c r="J281" s="154" t="s">
        <v>574</v>
      </c>
      <c r="K281" s="185"/>
      <c r="L281" s="163" t="s">
        <v>748</v>
      </c>
      <c r="M281" s="164" t="s">
        <v>649</v>
      </c>
      <c r="N281" s="165" t="s">
        <v>733</v>
      </c>
      <c r="O281" s="165"/>
      <c r="P281" s="165"/>
      <c r="Q281" s="165"/>
      <c r="R281" s="165" t="s">
        <v>736</v>
      </c>
      <c r="S281" s="166" t="s">
        <v>737</v>
      </c>
      <c r="T281" s="165" t="s">
        <v>678</v>
      </c>
    </row>
    <row r="282" spans="1:20" ht="38.25" customHeight="1">
      <c r="A282" s="169" t="s">
        <v>668</v>
      </c>
      <c r="B282" s="186" t="s">
        <v>669</v>
      </c>
      <c r="C282" s="156" t="s">
        <v>670</v>
      </c>
      <c r="D282" s="171" t="s">
        <v>1493</v>
      </c>
      <c r="E282" s="171" t="s">
        <v>1496</v>
      </c>
      <c r="F282" s="171" t="s">
        <v>706</v>
      </c>
      <c r="G282" s="171" t="s">
        <v>1495</v>
      </c>
      <c r="H282" s="171" t="s">
        <v>727</v>
      </c>
      <c r="I282" s="170">
        <v>23</v>
      </c>
      <c r="J282" s="156" t="s">
        <v>574</v>
      </c>
      <c r="K282" s="187"/>
      <c r="L282" s="172" t="s">
        <v>748</v>
      </c>
      <c r="M282" s="173" t="s">
        <v>649</v>
      </c>
      <c r="N282" s="174" t="s">
        <v>733</v>
      </c>
      <c r="O282" s="174"/>
      <c r="P282" s="174"/>
      <c r="Q282" s="174"/>
      <c r="R282" s="174" t="s">
        <v>736</v>
      </c>
      <c r="S282" s="175" t="s">
        <v>737</v>
      </c>
      <c r="T282" s="174" t="s">
        <v>678</v>
      </c>
    </row>
    <row r="283" spans="1:20" ht="38.25" customHeight="1">
      <c r="A283" s="159" t="s">
        <v>668</v>
      </c>
      <c r="B283" s="184" t="s">
        <v>669</v>
      </c>
      <c r="C283" s="154" t="s">
        <v>670</v>
      </c>
      <c r="D283" s="161" t="s">
        <v>1497</v>
      </c>
      <c r="E283" s="161" t="s">
        <v>1498</v>
      </c>
      <c r="F283" s="161" t="s">
        <v>706</v>
      </c>
      <c r="G283" s="161" t="s">
        <v>1499</v>
      </c>
      <c r="H283" s="161" t="s">
        <v>747</v>
      </c>
      <c r="I283" s="160">
        <v>24</v>
      </c>
      <c r="J283" s="154" t="s">
        <v>574</v>
      </c>
      <c r="K283" s="185"/>
      <c r="L283" s="163" t="s">
        <v>748</v>
      </c>
      <c r="M283" s="164" t="s">
        <v>649</v>
      </c>
      <c r="N283" s="165" t="s">
        <v>733</v>
      </c>
      <c r="O283" s="165"/>
      <c r="P283" s="165"/>
      <c r="Q283" s="165"/>
      <c r="R283" s="165" t="s">
        <v>736</v>
      </c>
      <c r="S283" s="166" t="s">
        <v>1334</v>
      </c>
      <c r="T283" s="165" t="s">
        <v>678</v>
      </c>
    </row>
    <row r="284" spans="1:20" ht="38.25" customHeight="1">
      <c r="A284" s="169" t="s">
        <v>668</v>
      </c>
      <c r="B284" s="186" t="s">
        <v>669</v>
      </c>
      <c r="C284" s="156" t="s">
        <v>670</v>
      </c>
      <c r="D284" s="171" t="s">
        <v>1500</v>
      </c>
      <c r="E284" s="171" t="s">
        <v>1501</v>
      </c>
      <c r="F284" s="171" t="s">
        <v>706</v>
      </c>
      <c r="G284" s="171" t="s">
        <v>1502</v>
      </c>
      <c r="H284" s="171" t="s">
        <v>747</v>
      </c>
      <c r="I284" s="170">
        <v>25</v>
      </c>
      <c r="J284" s="156" t="s">
        <v>574</v>
      </c>
      <c r="K284" s="187"/>
      <c r="L284" s="172" t="s">
        <v>748</v>
      </c>
      <c r="M284" s="173" t="s">
        <v>649</v>
      </c>
      <c r="N284" s="174" t="s">
        <v>733</v>
      </c>
      <c r="O284" s="174"/>
      <c r="P284" s="174"/>
      <c r="Q284" s="174"/>
      <c r="R284" s="174" t="s">
        <v>736</v>
      </c>
      <c r="S284" s="175" t="s">
        <v>1328</v>
      </c>
      <c r="T284" s="174" t="s">
        <v>678</v>
      </c>
    </row>
    <row r="285" spans="1:20" ht="38.25" customHeight="1">
      <c r="A285" s="159" t="s">
        <v>668</v>
      </c>
      <c r="B285" s="184" t="s">
        <v>669</v>
      </c>
      <c r="C285" s="154" t="s">
        <v>670</v>
      </c>
      <c r="D285" s="161" t="s">
        <v>1503</v>
      </c>
      <c r="E285" s="161" t="s">
        <v>1504</v>
      </c>
      <c r="F285" s="161" t="s">
        <v>1465</v>
      </c>
      <c r="G285" s="161" t="s">
        <v>1505</v>
      </c>
      <c r="H285" s="161" t="s">
        <v>732</v>
      </c>
      <c r="I285" s="160">
        <v>22</v>
      </c>
      <c r="J285" s="154" t="s">
        <v>574</v>
      </c>
      <c r="K285" s="185"/>
      <c r="L285" s="163" t="s">
        <v>748</v>
      </c>
      <c r="M285" s="164" t="s">
        <v>649</v>
      </c>
      <c r="N285" s="165" t="s">
        <v>733</v>
      </c>
      <c r="O285" s="165"/>
      <c r="P285" s="165"/>
      <c r="Q285" s="165"/>
      <c r="R285" s="165" t="s">
        <v>736</v>
      </c>
      <c r="S285" s="166" t="s">
        <v>1377</v>
      </c>
      <c r="T285" s="165" t="s">
        <v>678</v>
      </c>
    </row>
    <row r="286" spans="1:20" ht="38.25" customHeight="1">
      <c r="A286" s="169" t="s">
        <v>668</v>
      </c>
      <c r="B286" s="186" t="s">
        <v>669</v>
      </c>
      <c r="C286" s="156" t="s">
        <v>670</v>
      </c>
      <c r="D286" s="171" t="s">
        <v>1506</v>
      </c>
      <c r="E286" s="171" t="s">
        <v>1507</v>
      </c>
      <c r="F286" s="171" t="s">
        <v>706</v>
      </c>
      <c r="G286" s="171" t="s">
        <v>1508</v>
      </c>
      <c r="H286" s="171" t="s">
        <v>747</v>
      </c>
      <c r="I286" s="170">
        <v>21</v>
      </c>
      <c r="J286" s="156" t="s">
        <v>574</v>
      </c>
      <c r="K286" s="187"/>
      <c r="L286" s="172" t="s">
        <v>748</v>
      </c>
      <c r="M286" s="173" t="s">
        <v>649</v>
      </c>
      <c r="N286" s="174" t="s">
        <v>733</v>
      </c>
      <c r="O286" s="174"/>
      <c r="P286" s="174"/>
      <c r="Q286" s="174"/>
      <c r="R286" s="174" t="s">
        <v>736</v>
      </c>
      <c r="S286" s="175" t="s">
        <v>1388</v>
      </c>
      <c r="T286" s="174" t="s">
        <v>678</v>
      </c>
    </row>
    <row r="287" spans="1:20" ht="38.25" customHeight="1">
      <c r="A287" s="159" t="s">
        <v>668</v>
      </c>
      <c r="B287" s="184" t="s">
        <v>669</v>
      </c>
      <c r="C287" s="154" t="s">
        <v>670</v>
      </c>
      <c r="D287" s="161" t="s">
        <v>1506</v>
      </c>
      <c r="E287" s="161" t="s">
        <v>1509</v>
      </c>
      <c r="F287" s="161" t="s">
        <v>706</v>
      </c>
      <c r="G287" s="161" t="s">
        <v>1508</v>
      </c>
      <c r="H287" s="161" t="s">
        <v>747</v>
      </c>
      <c r="I287" s="160">
        <v>25</v>
      </c>
      <c r="J287" s="154" t="s">
        <v>574</v>
      </c>
      <c r="K287" s="185"/>
      <c r="L287" s="163" t="s">
        <v>748</v>
      </c>
      <c r="M287" s="164" t="s">
        <v>649</v>
      </c>
      <c r="N287" s="165" t="s">
        <v>733</v>
      </c>
      <c r="O287" s="165"/>
      <c r="P287" s="165"/>
      <c r="Q287" s="165"/>
      <c r="R287" s="165" t="s">
        <v>736</v>
      </c>
      <c r="S287" s="166" t="s">
        <v>1328</v>
      </c>
      <c r="T287" s="165" t="s">
        <v>678</v>
      </c>
    </row>
    <row r="288" spans="1:20" ht="38.25" customHeight="1">
      <c r="A288" s="169" t="s">
        <v>668</v>
      </c>
      <c r="B288" s="186" t="s">
        <v>669</v>
      </c>
      <c r="C288" s="156" t="s">
        <v>670</v>
      </c>
      <c r="D288" s="171" t="s">
        <v>1510</v>
      </c>
      <c r="E288" s="171" t="s">
        <v>1511</v>
      </c>
      <c r="F288" s="171" t="s">
        <v>706</v>
      </c>
      <c r="G288" s="171" t="s">
        <v>1512</v>
      </c>
      <c r="H288" s="171" t="s">
        <v>727</v>
      </c>
      <c r="I288" s="170">
        <v>24</v>
      </c>
      <c r="J288" s="156" t="s">
        <v>574</v>
      </c>
      <c r="K288" s="187"/>
      <c r="L288" s="172" t="s">
        <v>748</v>
      </c>
      <c r="M288" s="173" t="s">
        <v>649</v>
      </c>
      <c r="N288" s="174" t="s">
        <v>733</v>
      </c>
      <c r="O288" s="174"/>
      <c r="P288" s="174"/>
      <c r="Q288" s="174"/>
      <c r="R288" s="174" t="s">
        <v>736</v>
      </c>
      <c r="S288" s="175" t="s">
        <v>1334</v>
      </c>
      <c r="T288" s="174" t="s">
        <v>678</v>
      </c>
    </row>
    <row r="289" spans="1:20" ht="38.25" customHeight="1">
      <c r="A289" s="159" t="s">
        <v>668</v>
      </c>
      <c r="B289" s="184" t="s">
        <v>669</v>
      </c>
      <c r="C289" s="154" t="s">
        <v>670</v>
      </c>
      <c r="D289" s="161" t="s">
        <v>1513</v>
      </c>
      <c r="E289" s="161" t="s">
        <v>1514</v>
      </c>
      <c r="F289" s="161" t="s">
        <v>706</v>
      </c>
      <c r="G289" s="161" t="s">
        <v>1515</v>
      </c>
      <c r="H289" s="161" t="s">
        <v>727</v>
      </c>
      <c r="I289" s="160">
        <v>23</v>
      </c>
      <c r="J289" s="154" t="s">
        <v>574</v>
      </c>
      <c r="K289" s="185"/>
      <c r="L289" s="163" t="s">
        <v>748</v>
      </c>
      <c r="M289" s="164" t="s">
        <v>649</v>
      </c>
      <c r="N289" s="165" t="s">
        <v>733</v>
      </c>
      <c r="O289" s="165"/>
      <c r="P289" s="165"/>
      <c r="Q289" s="165"/>
      <c r="R289" s="165" t="s">
        <v>736</v>
      </c>
      <c r="S289" s="166" t="s">
        <v>737</v>
      </c>
      <c r="T289" s="165" t="s">
        <v>678</v>
      </c>
    </row>
    <row r="290" spans="1:20" ht="51" customHeight="1">
      <c r="A290" s="169" t="s">
        <v>668</v>
      </c>
      <c r="B290" s="186" t="s">
        <v>669</v>
      </c>
      <c r="C290" s="156" t="s">
        <v>670</v>
      </c>
      <c r="D290" s="171" t="s">
        <v>1516</v>
      </c>
      <c r="E290" s="171" t="s">
        <v>1517</v>
      </c>
      <c r="F290" s="171" t="s">
        <v>1322</v>
      </c>
      <c r="G290" s="171" t="s">
        <v>1518</v>
      </c>
      <c r="H290" s="171" t="s">
        <v>747</v>
      </c>
      <c r="I290" s="170">
        <v>23</v>
      </c>
      <c r="J290" s="156" t="s">
        <v>574</v>
      </c>
      <c r="K290" s="187"/>
      <c r="L290" s="172" t="s">
        <v>748</v>
      </c>
      <c r="M290" s="173" t="s">
        <v>649</v>
      </c>
      <c r="N290" s="174" t="s">
        <v>733</v>
      </c>
      <c r="O290" s="174"/>
      <c r="P290" s="174"/>
      <c r="Q290" s="174"/>
      <c r="R290" s="174" t="s">
        <v>736</v>
      </c>
      <c r="S290" s="175" t="s">
        <v>737</v>
      </c>
      <c r="T290" s="174" t="s">
        <v>678</v>
      </c>
    </row>
    <row r="291" spans="1:20" ht="38.25" customHeight="1">
      <c r="A291" s="159" t="s">
        <v>668</v>
      </c>
      <c r="B291" s="184" t="s">
        <v>669</v>
      </c>
      <c r="C291" s="154" t="s">
        <v>670</v>
      </c>
      <c r="D291" s="161" t="s">
        <v>1519</v>
      </c>
      <c r="E291" s="161" t="s">
        <v>1520</v>
      </c>
      <c r="F291" s="161" t="s">
        <v>1343</v>
      </c>
      <c r="G291" s="161" t="s">
        <v>1521</v>
      </c>
      <c r="H291" s="161" t="s">
        <v>692</v>
      </c>
      <c r="I291" s="160">
        <v>24</v>
      </c>
      <c r="J291" s="154" t="s">
        <v>574</v>
      </c>
      <c r="K291" s="185"/>
      <c r="L291" s="163" t="s">
        <v>748</v>
      </c>
      <c r="M291" s="164" t="s">
        <v>649</v>
      </c>
      <c r="N291" s="165" t="s">
        <v>733</v>
      </c>
      <c r="O291" s="165"/>
      <c r="P291" s="165"/>
      <c r="Q291" s="165"/>
      <c r="R291" s="165" t="s">
        <v>736</v>
      </c>
      <c r="S291" s="166" t="s">
        <v>1334</v>
      </c>
      <c r="T291" s="165" t="s">
        <v>678</v>
      </c>
    </row>
    <row r="292" spans="1:20" ht="38.25" customHeight="1">
      <c r="A292" s="169" t="s">
        <v>668</v>
      </c>
      <c r="B292" s="186" t="s">
        <v>669</v>
      </c>
      <c r="C292" s="156" t="s">
        <v>670</v>
      </c>
      <c r="D292" s="171" t="s">
        <v>1522</v>
      </c>
      <c r="E292" s="171" t="s">
        <v>1523</v>
      </c>
      <c r="F292" s="171" t="s">
        <v>1343</v>
      </c>
      <c r="G292" s="171" t="s">
        <v>1524</v>
      </c>
      <c r="H292" s="171" t="s">
        <v>692</v>
      </c>
      <c r="I292" s="170">
        <v>23</v>
      </c>
      <c r="J292" s="156" t="s">
        <v>574</v>
      </c>
      <c r="K292" s="187"/>
      <c r="L292" s="172" t="s">
        <v>748</v>
      </c>
      <c r="M292" s="173" t="s">
        <v>649</v>
      </c>
      <c r="N292" s="174" t="s">
        <v>733</v>
      </c>
      <c r="O292" s="174"/>
      <c r="P292" s="174"/>
      <c r="Q292" s="174"/>
      <c r="R292" s="174" t="s">
        <v>736</v>
      </c>
      <c r="S292" s="175" t="s">
        <v>737</v>
      </c>
      <c r="T292" s="174" t="s">
        <v>678</v>
      </c>
    </row>
    <row r="293" spans="1:20" ht="51" customHeight="1">
      <c r="A293" s="159" t="s">
        <v>668</v>
      </c>
      <c r="B293" s="184" t="s">
        <v>669</v>
      </c>
      <c r="C293" s="154" t="s">
        <v>670</v>
      </c>
      <c r="D293" s="161" t="s">
        <v>1525</v>
      </c>
      <c r="E293" s="161" t="s">
        <v>1526</v>
      </c>
      <c r="F293" s="161" t="s">
        <v>1465</v>
      </c>
      <c r="G293" s="161" t="s">
        <v>1527</v>
      </c>
      <c r="H293" s="161" t="s">
        <v>747</v>
      </c>
      <c r="I293" s="160">
        <v>25</v>
      </c>
      <c r="J293" s="154" t="s">
        <v>574</v>
      </c>
      <c r="K293" s="185"/>
      <c r="L293" s="163" t="s">
        <v>748</v>
      </c>
      <c r="M293" s="164" t="s">
        <v>649</v>
      </c>
      <c r="N293" s="165" t="s">
        <v>733</v>
      </c>
      <c r="O293" s="165"/>
      <c r="P293" s="165"/>
      <c r="Q293" s="165"/>
      <c r="R293" s="165" t="s">
        <v>736</v>
      </c>
      <c r="S293" s="166" t="s">
        <v>1328</v>
      </c>
      <c r="T293" s="165" t="s">
        <v>678</v>
      </c>
    </row>
    <row r="294" spans="1:20" ht="38.25" customHeight="1">
      <c r="A294" s="169" t="s">
        <v>668</v>
      </c>
      <c r="B294" s="186" t="s">
        <v>669</v>
      </c>
      <c r="C294" s="156" t="s">
        <v>670</v>
      </c>
      <c r="D294" s="171" t="s">
        <v>1528</v>
      </c>
      <c r="E294" s="171" t="s">
        <v>1529</v>
      </c>
      <c r="F294" s="171" t="s">
        <v>706</v>
      </c>
      <c r="G294" s="171" t="s">
        <v>1505</v>
      </c>
      <c r="H294" s="171" t="s">
        <v>732</v>
      </c>
      <c r="I294" s="170">
        <v>25</v>
      </c>
      <c r="J294" s="156" t="s">
        <v>574</v>
      </c>
      <c r="K294" s="187"/>
      <c r="L294" s="172" t="s">
        <v>748</v>
      </c>
      <c r="M294" s="173" t="s">
        <v>649</v>
      </c>
      <c r="N294" s="174" t="s">
        <v>733</v>
      </c>
      <c r="O294" s="174"/>
      <c r="P294" s="174"/>
      <c r="Q294" s="174"/>
      <c r="R294" s="174" t="s">
        <v>736</v>
      </c>
      <c r="S294" s="175" t="s">
        <v>1328</v>
      </c>
      <c r="T294" s="174" t="s">
        <v>678</v>
      </c>
    </row>
    <row r="295" spans="1:20" ht="38.25" customHeight="1">
      <c r="A295" s="159" t="s">
        <v>668</v>
      </c>
      <c r="B295" s="184" t="s">
        <v>669</v>
      </c>
      <c r="C295" s="154" t="s">
        <v>670</v>
      </c>
      <c r="D295" s="161" t="s">
        <v>1530</v>
      </c>
      <c r="E295" s="161" t="s">
        <v>1531</v>
      </c>
      <c r="F295" s="161" t="s">
        <v>706</v>
      </c>
      <c r="G295" s="161" t="s">
        <v>1532</v>
      </c>
      <c r="H295" s="161" t="s">
        <v>727</v>
      </c>
      <c r="I295" s="160">
        <v>25</v>
      </c>
      <c r="J295" s="154" t="s">
        <v>574</v>
      </c>
      <c r="K295" s="185"/>
      <c r="L295" s="163" t="s">
        <v>748</v>
      </c>
      <c r="M295" s="164" t="s">
        <v>649</v>
      </c>
      <c r="N295" s="165" t="s">
        <v>733</v>
      </c>
      <c r="O295" s="165"/>
      <c r="P295" s="165"/>
      <c r="Q295" s="165"/>
      <c r="R295" s="165" t="s">
        <v>736</v>
      </c>
      <c r="S295" s="166" t="s">
        <v>1328</v>
      </c>
      <c r="T295" s="165" t="s">
        <v>678</v>
      </c>
    </row>
    <row r="296" spans="1:20" ht="38.25" customHeight="1">
      <c r="A296" s="169" t="s">
        <v>668</v>
      </c>
      <c r="B296" s="186" t="s">
        <v>669</v>
      </c>
      <c r="C296" s="156" t="s">
        <v>670</v>
      </c>
      <c r="D296" s="171" t="s">
        <v>1533</v>
      </c>
      <c r="E296" s="171" t="s">
        <v>1534</v>
      </c>
      <c r="F296" s="171" t="s">
        <v>706</v>
      </c>
      <c r="G296" s="171" t="s">
        <v>727</v>
      </c>
      <c r="H296" s="171" t="s">
        <v>727</v>
      </c>
      <c r="I296" s="170">
        <v>25</v>
      </c>
      <c r="J296" s="156" t="s">
        <v>574</v>
      </c>
      <c r="K296" s="187"/>
      <c r="L296" s="172" t="s">
        <v>748</v>
      </c>
      <c r="M296" s="173" t="s">
        <v>649</v>
      </c>
      <c r="N296" s="174" t="s">
        <v>733</v>
      </c>
      <c r="O296" s="174"/>
      <c r="P296" s="174"/>
      <c r="Q296" s="174"/>
      <c r="R296" s="174" t="s">
        <v>736</v>
      </c>
      <c r="S296" s="175" t="s">
        <v>1328</v>
      </c>
      <c r="T296" s="174" t="s">
        <v>678</v>
      </c>
    </row>
    <row r="297" spans="1:20" ht="51" customHeight="1">
      <c r="A297" s="159" t="s">
        <v>668</v>
      </c>
      <c r="B297" s="184" t="s">
        <v>669</v>
      </c>
      <c r="C297" s="154" t="s">
        <v>670</v>
      </c>
      <c r="D297" s="161" t="s">
        <v>1535</v>
      </c>
      <c r="E297" s="161" t="s">
        <v>1536</v>
      </c>
      <c r="F297" s="161" t="s">
        <v>1322</v>
      </c>
      <c r="G297" s="161" t="s">
        <v>727</v>
      </c>
      <c r="H297" s="161" t="s">
        <v>727</v>
      </c>
      <c r="I297" s="160">
        <v>22</v>
      </c>
      <c r="J297" s="154" t="s">
        <v>574</v>
      </c>
      <c r="K297" s="185"/>
      <c r="L297" s="163" t="s">
        <v>748</v>
      </c>
      <c r="M297" s="164" t="s">
        <v>649</v>
      </c>
      <c r="N297" s="165" t="s">
        <v>733</v>
      </c>
      <c r="O297" s="165"/>
      <c r="P297" s="165"/>
      <c r="Q297" s="165"/>
      <c r="R297" s="165" t="s">
        <v>736</v>
      </c>
      <c r="S297" s="166" t="s">
        <v>1377</v>
      </c>
      <c r="T297" s="165" t="s">
        <v>678</v>
      </c>
    </row>
    <row r="298" spans="1:20" ht="38.25" customHeight="1">
      <c r="A298" s="169" t="s">
        <v>668</v>
      </c>
      <c r="B298" s="186" t="s">
        <v>669</v>
      </c>
      <c r="C298" s="156" t="s">
        <v>670</v>
      </c>
      <c r="D298" s="171" t="s">
        <v>1537</v>
      </c>
      <c r="E298" s="171" t="s">
        <v>1538</v>
      </c>
      <c r="F298" s="171" t="s">
        <v>706</v>
      </c>
      <c r="G298" s="171" t="s">
        <v>727</v>
      </c>
      <c r="H298" s="171" t="s">
        <v>727</v>
      </c>
      <c r="I298" s="170">
        <v>25</v>
      </c>
      <c r="J298" s="156" t="s">
        <v>574</v>
      </c>
      <c r="K298" s="187"/>
      <c r="L298" s="172" t="s">
        <v>748</v>
      </c>
      <c r="M298" s="173" t="s">
        <v>649</v>
      </c>
      <c r="N298" s="174" t="s">
        <v>733</v>
      </c>
      <c r="O298" s="174"/>
      <c r="P298" s="174"/>
      <c r="Q298" s="174"/>
      <c r="R298" s="174" t="s">
        <v>736</v>
      </c>
      <c r="S298" s="175" t="s">
        <v>1328</v>
      </c>
      <c r="T298" s="174" t="s">
        <v>678</v>
      </c>
    </row>
    <row r="299" spans="1:20" ht="38.25" customHeight="1">
      <c r="A299" s="159" t="s">
        <v>668</v>
      </c>
      <c r="B299" s="184" t="s">
        <v>669</v>
      </c>
      <c r="C299" s="154" t="s">
        <v>670</v>
      </c>
      <c r="D299" s="161" t="s">
        <v>1539</v>
      </c>
      <c r="E299" s="161" t="s">
        <v>1540</v>
      </c>
      <c r="F299" s="161" t="s">
        <v>706</v>
      </c>
      <c r="G299" s="161" t="s">
        <v>1237</v>
      </c>
      <c r="H299" s="161" t="s">
        <v>727</v>
      </c>
      <c r="I299" s="160">
        <v>24</v>
      </c>
      <c r="J299" s="154" t="s">
        <v>574</v>
      </c>
      <c r="K299" s="185"/>
      <c r="L299" s="163" t="s">
        <v>748</v>
      </c>
      <c r="M299" s="164" t="s">
        <v>649</v>
      </c>
      <c r="N299" s="165" t="s">
        <v>733</v>
      </c>
      <c r="O299" s="165"/>
      <c r="P299" s="165"/>
      <c r="Q299" s="165"/>
      <c r="R299" s="165" t="s">
        <v>736</v>
      </c>
      <c r="S299" s="166" t="s">
        <v>1334</v>
      </c>
      <c r="T299" s="165" t="s">
        <v>678</v>
      </c>
    </row>
    <row r="300" spans="1:20" ht="38.25" customHeight="1">
      <c r="A300" s="169" t="s">
        <v>668</v>
      </c>
      <c r="B300" s="186" t="s">
        <v>669</v>
      </c>
      <c r="C300" s="156" t="s">
        <v>670</v>
      </c>
      <c r="D300" s="171" t="s">
        <v>1541</v>
      </c>
      <c r="E300" s="171" t="s">
        <v>1542</v>
      </c>
      <c r="F300" s="171" t="s">
        <v>706</v>
      </c>
      <c r="G300" s="171" t="s">
        <v>727</v>
      </c>
      <c r="H300" s="171" t="s">
        <v>727</v>
      </c>
      <c r="I300" s="170">
        <v>24</v>
      </c>
      <c r="J300" s="156" t="s">
        <v>574</v>
      </c>
      <c r="K300" s="187"/>
      <c r="L300" s="172" t="s">
        <v>748</v>
      </c>
      <c r="M300" s="173" t="s">
        <v>649</v>
      </c>
      <c r="N300" s="174" t="s">
        <v>733</v>
      </c>
      <c r="O300" s="174"/>
      <c r="P300" s="174"/>
      <c r="Q300" s="174"/>
      <c r="R300" s="174" t="s">
        <v>736</v>
      </c>
      <c r="S300" s="175" t="s">
        <v>1334</v>
      </c>
      <c r="T300" s="174" t="s">
        <v>678</v>
      </c>
    </row>
    <row r="301" spans="1:20" ht="38.25" customHeight="1">
      <c r="A301" s="159" t="s">
        <v>668</v>
      </c>
      <c r="B301" s="184" t="s">
        <v>669</v>
      </c>
      <c r="C301" s="154" t="s">
        <v>670</v>
      </c>
      <c r="D301" s="161" t="s">
        <v>1543</v>
      </c>
      <c r="E301" s="161" t="s">
        <v>1544</v>
      </c>
      <c r="F301" s="161" t="s">
        <v>706</v>
      </c>
      <c r="G301" s="161" t="s">
        <v>727</v>
      </c>
      <c r="H301" s="161" t="s">
        <v>727</v>
      </c>
      <c r="I301" s="160">
        <v>23</v>
      </c>
      <c r="J301" s="154" t="s">
        <v>574</v>
      </c>
      <c r="K301" s="185"/>
      <c r="L301" s="163" t="s">
        <v>748</v>
      </c>
      <c r="M301" s="164" t="s">
        <v>649</v>
      </c>
      <c r="N301" s="165" t="s">
        <v>733</v>
      </c>
      <c r="O301" s="165"/>
      <c r="P301" s="165"/>
      <c r="Q301" s="165"/>
      <c r="R301" s="165" t="s">
        <v>736</v>
      </c>
      <c r="S301" s="166" t="s">
        <v>737</v>
      </c>
      <c r="T301" s="165" t="s">
        <v>678</v>
      </c>
    </row>
    <row r="302" spans="1:20" ht="38.25" customHeight="1">
      <c r="A302" s="169" t="s">
        <v>668</v>
      </c>
      <c r="B302" s="186" t="s">
        <v>669</v>
      </c>
      <c r="C302" s="156" t="s">
        <v>670</v>
      </c>
      <c r="D302" s="171" t="s">
        <v>1545</v>
      </c>
      <c r="E302" s="171" t="s">
        <v>1546</v>
      </c>
      <c r="F302" s="171" t="s">
        <v>1465</v>
      </c>
      <c r="G302" s="171" t="s">
        <v>1237</v>
      </c>
      <c r="H302" s="171" t="s">
        <v>727</v>
      </c>
      <c r="I302" s="170">
        <v>24</v>
      </c>
      <c r="J302" s="156" t="s">
        <v>574</v>
      </c>
      <c r="K302" s="187"/>
      <c r="L302" s="172" t="s">
        <v>748</v>
      </c>
      <c r="M302" s="173" t="s">
        <v>649</v>
      </c>
      <c r="N302" s="174" t="s">
        <v>733</v>
      </c>
      <c r="O302" s="174"/>
      <c r="P302" s="174"/>
      <c r="Q302" s="174"/>
      <c r="R302" s="174" t="s">
        <v>736</v>
      </c>
      <c r="S302" s="175" t="s">
        <v>1334</v>
      </c>
      <c r="T302" s="174" t="s">
        <v>678</v>
      </c>
    </row>
    <row r="303" spans="1:20" ht="38.25" customHeight="1">
      <c r="A303" s="159" t="s">
        <v>668</v>
      </c>
      <c r="B303" s="184" t="s">
        <v>669</v>
      </c>
      <c r="C303" s="154" t="s">
        <v>670</v>
      </c>
      <c r="D303" s="161" t="s">
        <v>1547</v>
      </c>
      <c r="E303" s="161" t="s">
        <v>1548</v>
      </c>
      <c r="F303" s="161" t="s">
        <v>706</v>
      </c>
      <c r="G303" s="161" t="s">
        <v>1549</v>
      </c>
      <c r="H303" s="161" t="s">
        <v>675</v>
      </c>
      <c r="I303" s="160">
        <v>23</v>
      </c>
      <c r="J303" s="154" t="s">
        <v>574</v>
      </c>
      <c r="K303" s="185"/>
      <c r="L303" s="163" t="s">
        <v>748</v>
      </c>
      <c r="M303" s="164" t="s">
        <v>649</v>
      </c>
      <c r="N303" s="165" t="s">
        <v>733</v>
      </c>
      <c r="O303" s="165"/>
      <c r="P303" s="165"/>
      <c r="Q303" s="165"/>
      <c r="R303" s="165" t="s">
        <v>736</v>
      </c>
      <c r="S303" s="166" t="s">
        <v>737</v>
      </c>
      <c r="T303" s="165" t="s">
        <v>678</v>
      </c>
    </row>
    <row r="304" spans="1:20" ht="38.25" customHeight="1">
      <c r="A304" s="169" t="s">
        <v>668</v>
      </c>
      <c r="B304" s="186" t="s">
        <v>669</v>
      </c>
      <c r="C304" s="156" t="s">
        <v>670</v>
      </c>
      <c r="D304" s="171" t="s">
        <v>1550</v>
      </c>
      <c r="E304" s="171" t="s">
        <v>1551</v>
      </c>
      <c r="F304" s="171" t="s">
        <v>706</v>
      </c>
      <c r="G304" s="171" t="s">
        <v>1552</v>
      </c>
      <c r="H304" s="171" t="s">
        <v>747</v>
      </c>
      <c r="I304" s="170">
        <v>22</v>
      </c>
      <c r="J304" s="156" t="s">
        <v>574</v>
      </c>
      <c r="K304" s="187"/>
      <c r="L304" s="172" t="s">
        <v>748</v>
      </c>
      <c r="M304" s="173" t="s">
        <v>649</v>
      </c>
      <c r="N304" s="174" t="s">
        <v>733</v>
      </c>
      <c r="O304" s="174"/>
      <c r="P304" s="174"/>
      <c r="Q304" s="174"/>
      <c r="R304" s="174" t="s">
        <v>736</v>
      </c>
      <c r="S304" s="175" t="s">
        <v>1377</v>
      </c>
      <c r="T304" s="174" t="s">
        <v>678</v>
      </c>
    </row>
    <row r="305" spans="1:20" ht="38.25" customHeight="1">
      <c r="A305" s="159" t="s">
        <v>668</v>
      </c>
      <c r="B305" s="184" t="s">
        <v>669</v>
      </c>
      <c r="C305" s="154" t="s">
        <v>670</v>
      </c>
      <c r="D305" s="161" t="s">
        <v>1553</v>
      </c>
      <c r="E305" s="161" t="s">
        <v>1554</v>
      </c>
      <c r="F305" s="161" t="s">
        <v>706</v>
      </c>
      <c r="G305" s="161" t="s">
        <v>1552</v>
      </c>
      <c r="H305" s="161" t="s">
        <v>747</v>
      </c>
      <c r="I305" s="160">
        <v>23</v>
      </c>
      <c r="J305" s="154" t="s">
        <v>574</v>
      </c>
      <c r="K305" s="185"/>
      <c r="L305" s="163" t="s">
        <v>748</v>
      </c>
      <c r="M305" s="164" t="s">
        <v>649</v>
      </c>
      <c r="N305" s="165" t="s">
        <v>733</v>
      </c>
      <c r="O305" s="165"/>
      <c r="P305" s="165"/>
      <c r="Q305" s="165"/>
      <c r="R305" s="165" t="s">
        <v>736</v>
      </c>
      <c r="S305" s="166" t="s">
        <v>737</v>
      </c>
      <c r="T305" s="165" t="s">
        <v>678</v>
      </c>
    </row>
    <row r="306" spans="1:20" ht="51" customHeight="1">
      <c r="A306" s="169" t="s">
        <v>668</v>
      </c>
      <c r="B306" s="186" t="s">
        <v>669</v>
      </c>
      <c r="C306" s="156" t="s">
        <v>670</v>
      </c>
      <c r="D306" s="171" t="s">
        <v>1555</v>
      </c>
      <c r="E306" s="171" t="s">
        <v>1556</v>
      </c>
      <c r="F306" s="171" t="s">
        <v>706</v>
      </c>
      <c r="G306" s="171" t="s">
        <v>1557</v>
      </c>
      <c r="H306" s="171" t="s">
        <v>747</v>
      </c>
      <c r="I306" s="170">
        <v>24</v>
      </c>
      <c r="J306" s="156" t="s">
        <v>574</v>
      </c>
      <c r="K306" s="187"/>
      <c r="L306" s="172" t="s">
        <v>748</v>
      </c>
      <c r="M306" s="173" t="s">
        <v>649</v>
      </c>
      <c r="N306" s="174" t="s">
        <v>733</v>
      </c>
      <c r="O306" s="174"/>
      <c r="P306" s="174"/>
      <c r="Q306" s="174"/>
      <c r="R306" s="174" t="s">
        <v>736</v>
      </c>
      <c r="S306" s="175" t="s">
        <v>1334</v>
      </c>
      <c r="T306" s="174" t="s">
        <v>678</v>
      </c>
    </row>
    <row r="307" spans="1:20" ht="63.75" customHeight="1">
      <c r="A307" s="159" t="s">
        <v>668</v>
      </c>
      <c r="B307" s="184" t="s">
        <v>669</v>
      </c>
      <c r="C307" s="154" t="s">
        <v>670</v>
      </c>
      <c r="D307" s="161" t="s">
        <v>1558</v>
      </c>
      <c r="E307" s="161" t="s">
        <v>1559</v>
      </c>
      <c r="F307" s="161" t="s">
        <v>706</v>
      </c>
      <c r="G307" s="161" t="s">
        <v>716</v>
      </c>
      <c r="H307" s="161" t="s">
        <v>716</v>
      </c>
      <c r="I307" s="160">
        <v>23</v>
      </c>
      <c r="J307" s="154" t="s">
        <v>574</v>
      </c>
      <c r="K307" s="185"/>
      <c r="L307" s="163" t="s">
        <v>748</v>
      </c>
      <c r="M307" s="164" t="s">
        <v>649</v>
      </c>
      <c r="N307" s="165" t="s">
        <v>733</v>
      </c>
      <c r="O307" s="165"/>
      <c r="P307" s="165"/>
      <c r="Q307" s="165"/>
      <c r="R307" s="165" t="s">
        <v>736</v>
      </c>
      <c r="S307" s="166" t="s">
        <v>737</v>
      </c>
      <c r="T307" s="165" t="s">
        <v>678</v>
      </c>
    </row>
    <row r="308" spans="1:20" ht="38.25" customHeight="1">
      <c r="A308" s="169" t="s">
        <v>668</v>
      </c>
      <c r="B308" s="186" t="s">
        <v>669</v>
      </c>
      <c r="C308" s="156" t="s">
        <v>670</v>
      </c>
      <c r="D308" s="171" t="s">
        <v>1560</v>
      </c>
      <c r="E308" s="171" t="s">
        <v>1561</v>
      </c>
      <c r="F308" s="171" t="s">
        <v>706</v>
      </c>
      <c r="G308" s="171" t="s">
        <v>716</v>
      </c>
      <c r="H308" s="171" t="s">
        <v>716</v>
      </c>
      <c r="I308" s="170">
        <v>23</v>
      </c>
      <c r="J308" s="156" t="s">
        <v>574</v>
      </c>
      <c r="K308" s="187"/>
      <c r="L308" s="172" t="s">
        <v>748</v>
      </c>
      <c r="M308" s="173" t="s">
        <v>649</v>
      </c>
      <c r="N308" s="174" t="s">
        <v>733</v>
      </c>
      <c r="O308" s="174"/>
      <c r="P308" s="174"/>
      <c r="Q308" s="174"/>
      <c r="R308" s="174" t="s">
        <v>736</v>
      </c>
      <c r="S308" s="175" t="s">
        <v>737</v>
      </c>
      <c r="T308" s="174" t="s">
        <v>678</v>
      </c>
    </row>
    <row r="309" spans="1:20" ht="38.25" customHeight="1">
      <c r="A309" s="159" t="s">
        <v>668</v>
      </c>
      <c r="B309" s="184" t="s">
        <v>669</v>
      </c>
      <c r="C309" s="154" t="s">
        <v>670</v>
      </c>
      <c r="D309" s="161" t="s">
        <v>1562</v>
      </c>
      <c r="E309" s="161" t="s">
        <v>1563</v>
      </c>
      <c r="F309" s="161" t="s">
        <v>706</v>
      </c>
      <c r="G309" s="161" t="s">
        <v>1532</v>
      </c>
      <c r="H309" s="161" t="s">
        <v>727</v>
      </c>
      <c r="I309" s="160">
        <v>24</v>
      </c>
      <c r="J309" s="154" t="s">
        <v>574</v>
      </c>
      <c r="K309" s="185"/>
      <c r="L309" s="163" t="s">
        <v>748</v>
      </c>
      <c r="M309" s="164" t="s">
        <v>649</v>
      </c>
      <c r="N309" s="165" t="s">
        <v>733</v>
      </c>
      <c r="O309" s="165"/>
      <c r="P309" s="165"/>
      <c r="Q309" s="165"/>
      <c r="R309" s="165" t="s">
        <v>736</v>
      </c>
      <c r="S309" s="166" t="s">
        <v>1334</v>
      </c>
      <c r="T309" s="165" t="s">
        <v>678</v>
      </c>
    </row>
    <row r="310" spans="1:20" ht="38.25" customHeight="1">
      <c r="A310" s="169" t="s">
        <v>668</v>
      </c>
      <c r="B310" s="186" t="s">
        <v>669</v>
      </c>
      <c r="C310" s="156" t="s">
        <v>670</v>
      </c>
      <c r="D310" s="171" t="s">
        <v>1564</v>
      </c>
      <c r="E310" s="171" t="s">
        <v>1565</v>
      </c>
      <c r="F310" s="171" t="s">
        <v>706</v>
      </c>
      <c r="G310" s="171" t="s">
        <v>727</v>
      </c>
      <c r="H310" s="171" t="s">
        <v>727</v>
      </c>
      <c r="I310" s="170">
        <v>24</v>
      </c>
      <c r="J310" s="156" t="s">
        <v>574</v>
      </c>
      <c r="K310" s="187"/>
      <c r="L310" s="172" t="s">
        <v>748</v>
      </c>
      <c r="M310" s="173" t="s">
        <v>649</v>
      </c>
      <c r="N310" s="174" t="s">
        <v>733</v>
      </c>
      <c r="O310" s="174"/>
      <c r="P310" s="174"/>
      <c r="Q310" s="174"/>
      <c r="R310" s="174" t="s">
        <v>736</v>
      </c>
      <c r="S310" s="175" t="s">
        <v>1334</v>
      </c>
      <c r="T310" s="174" t="s">
        <v>678</v>
      </c>
    </row>
    <row r="311" spans="1:20" ht="51" customHeight="1">
      <c r="A311" s="159" t="s">
        <v>668</v>
      </c>
      <c r="B311" s="184" t="s">
        <v>669</v>
      </c>
      <c r="C311" s="154" t="s">
        <v>670</v>
      </c>
      <c r="D311" s="161" t="s">
        <v>1566</v>
      </c>
      <c r="E311" s="161" t="s">
        <v>1567</v>
      </c>
      <c r="F311" s="161" t="s">
        <v>706</v>
      </c>
      <c r="G311" s="161" t="s">
        <v>1568</v>
      </c>
      <c r="H311" s="161" t="s">
        <v>1162</v>
      </c>
      <c r="I311" s="160">
        <v>23</v>
      </c>
      <c r="J311" s="154" t="s">
        <v>574</v>
      </c>
      <c r="K311" s="185"/>
      <c r="L311" s="163" t="s">
        <v>748</v>
      </c>
      <c r="M311" s="164" t="s">
        <v>649</v>
      </c>
      <c r="N311" s="165" t="s">
        <v>733</v>
      </c>
      <c r="O311" s="165"/>
      <c r="P311" s="165"/>
      <c r="Q311" s="165"/>
      <c r="R311" s="165" t="s">
        <v>736</v>
      </c>
      <c r="S311" s="166" t="s">
        <v>737</v>
      </c>
      <c r="T311" s="165" t="s">
        <v>678</v>
      </c>
    </row>
    <row r="312" spans="1:20" ht="38.25" customHeight="1">
      <c r="A312" s="169" t="s">
        <v>668</v>
      </c>
      <c r="B312" s="186" t="s">
        <v>669</v>
      </c>
      <c r="C312" s="156" t="s">
        <v>670</v>
      </c>
      <c r="D312" s="171" t="s">
        <v>1566</v>
      </c>
      <c r="E312" s="171" t="s">
        <v>1569</v>
      </c>
      <c r="F312" s="171" t="s">
        <v>1570</v>
      </c>
      <c r="G312" s="171" t="s">
        <v>1568</v>
      </c>
      <c r="H312" s="171" t="s">
        <v>1162</v>
      </c>
      <c r="I312" s="170">
        <v>24</v>
      </c>
      <c r="J312" s="156" t="s">
        <v>574</v>
      </c>
      <c r="K312" s="187"/>
      <c r="L312" s="172" t="s">
        <v>748</v>
      </c>
      <c r="M312" s="173" t="s">
        <v>649</v>
      </c>
      <c r="N312" s="174" t="s">
        <v>733</v>
      </c>
      <c r="O312" s="174"/>
      <c r="P312" s="174"/>
      <c r="Q312" s="174"/>
      <c r="R312" s="174" t="s">
        <v>736</v>
      </c>
      <c r="S312" s="175" t="s">
        <v>1334</v>
      </c>
      <c r="T312" s="174" t="s">
        <v>678</v>
      </c>
    </row>
    <row r="313" spans="1:20" ht="38.25" customHeight="1">
      <c r="A313" s="159" t="s">
        <v>668</v>
      </c>
      <c r="B313" s="184" t="s">
        <v>669</v>
      </c>
      <c r="C313" s="154" t="s">
        <v>670</v>
      </c>
      <c r="D313" s="161" t="s">
        <v>1566</v>
      </c>
      <c r="E313" s="161" t="s">
        <v>1571</v>
      </c>
      <c r="F313" s="161" t="s">
        <v>706</v>
      </c>
      <c r="G313" s="161" t="s">
        <v>1568</v>
      </c>
      <c r="H313" s="161" t="s">
        <v>1162</v>
      </c>
      <c r="I313" s="160">
        <v>23</v>
      </c>
      <c r="J313" s="154" t="s">
        <v>574</v>
      </c>
      <c r="K313" s="185"/>
      <c r="L313" s="163" t="s">
        <v>748</v>
      </c>
      <c r="M313" s="164" t="s">
        <v>649</v>
      </c>
      <c r="N313" s="165" t="s">
        <v>733</v>
      </c>
      <c r="O313" s="165"/>
      <c r="P313" s="165"/>
      <c r="Q313" s="165"/>
      <c r="R313" s="165" t="s">
        <v>736</v>
      </c>
      <c r="S313" s="166" t="s">
        <v>737</v>
      </c>
      <c r="T313" s="165" t="s">
        <v>678</v>
      </c>
    </row>
    <row r="314" spans="1:20" ht="38.25" customHeight="1">
      <c r="A314" s="169" t="s">
        <v>668</v>
      </c>
      <c r="B314" s="186" t="s">
        <v>669</v>
      </c>
      <c r="C314" s="156" t="s">
        <v>670</v>
      </c>
      <c r="D314" s="171" t="s">
        <v>1566</v>
      </c>
      <c r="E314" s="171" t="s">
        <v>1572</v>
      </c>
      <c r="F314" s="171" t="s">
        <v>706</v>
      </c>
      <c r="G314" s="171" t="s">
        <v>1568</v>
      </c>
      <c r="H314" s="171" t="s">
        <v>1162</v>
      </c>
      <c r="I314" s="170">
        <v>21</v>
      </c>
      <c r="J314" s="156" t="s">
        <v>574</v>
      </c>
      <c r="K314" s="187"/>
      <c r="L314" s="172" t="s">
        <v>748</v>
      </c>
      <c r="M314" s="173" t="s">
        <v>649</v>
      </c>
      <c r="N314" s="174" t="s">
        <v>733</v>
      </c>
      <c r="O314" s="174"/>
      <c r="P314" s="174"/>
      <c r="Q314" s="174"/>
      <c r="R314" s="174" t="s">
        <v>736</v>
      </c>
      <c r="S314" s="175" t="s">
        <v>1388</v>
      </c>
      <c r="T314" s="174" t="s">
        <v>678</v>
      </c>
    </row>
    <row r="315" spans="1:20" ht="38.25" customHeight="1">
      <c r="A315" s="159" t="s">
        <v>668</v>
      </c>
      <c r="B315" s="184" t="s">
        <v>669</v>
      </c>
      <c r="C315" s="154" t="s">
        <v>670</v>
      </c>
      <c r="D315" s="161" t="s">
        <v>1566</v>
      </c>
      <c r="E315" s="161" t="s">
        <v>1573</v>
      </c>
      <c r="F315" s="161" t="s">
        <v>706</v>
      </c>
      <c r="G315" s="161" t="s">
        <v>1568</v>
      </c>
      <c r="H315" s="161" t="s">
        <v>1162</v>
      </c>
      <c r="I315" s="160">
        <v>23</v>
      </c>
      <c r="J315" s="154" t="s">
        <v>574</v>
      </c>
      <c r="K315" s="185"/>
      <c r="L315" s="163" t="s">
        <v>748</v>
      </c>
      <c r="M315" s="164" t="s">
        <v>649</v>
      </c>
      <c r="N315" s="165" t="s">
        <v>733</v>
      </c>
      <c r="O315" s="165"/>
      <c r="P315" s="165"/>
      <c r="Q315" s="165"/>
      <c r="R315" s="165" t="s">
        <v>736</v>
      </c>
      <c r="S315" s="166" t="s">
        <v>737</v>
      </c>
      <c r="T315" s="165" t="s">
        <v>678</v>
      </c>
    </row>
    <row r="316" spans="1:20" ht="38.25" customHeight="1">
      <c r="A316" s="169" t="s">
        <v>668</v>
      </c>
      <c r="B316" s="186" t="s">
        <v>669</v>
      </c>
      <c r="C316" s="156" t="s">
        <v>670</v>
      </c>
      <c r="D316" s="171" t="s">
        <v>1574</v>
      </c>
      <c r="E316" s="171" t="s">
        <v>1575</v>
      </c>
      <c r="F316" s="171" t="s">
        <v>706</v>
      </c>
      <c r="G316" s="171" t="s">
        <v>1576</v>
      </c>
      <c r="H316" s="171" t="s">
        <v>1577</v>
      </c>
      <c r="I316" s="170">
        <v>24</v>
      </c>
      <c r="J316" s="156" t="s">
        <v>574</v>
      </c>
      <c r="K316" s="187"/>
      <c r="L316" s="172" t="s">
        <v>748</v>
      </c>
      <c r="M316" s="173" t="s">
        <v>649</v>
      </c>
      <c r="N316" s="174" t="s">
        <v>733</v>
      </c>
      <c r="O316" s="174"/>
      <c r="P316" s="174"/>
      <c r="Q316" s="174"/>
      <c r="R316" s="174" t="s">
        <v>736</v>
      </c>
      <c r="S316" s="175" t="s">
        <v>1334</v>
      </c>
      <c r="T316" s="174" t="s">
        <v>678</v>
      </c>
    </row>
    <row r="317" spans="1:20" ht="51" customHeight="1">
      <c r="A317" s="159" t="s">
        <v>668</v>
      </c>
      <c r="B317" s="184" t="s">
        <v>669</v>
      </c>
      <c r="C317" s="154" t="s">
        <v>670</v>
      </c>
      <c r="D317" s="161" t="s">
        <v>1578</v>
      </c>
      <c r="E317" s="161" t="s">
        <v>1579</v>
      </c>
      <c r="F317" s="161" t="s">
        <v>706</v>
      </c>
      <c r="G317" s="161" t="s">
        <v>1580</v>
      </c>
      <c r="H317" s="161" t="s">
        <v>675</v>
      </c>
      <c r="I317" s="160">
        <v>24</v>
      </c>
      <c r="J317" s="154" t="s">
        <v>574</v>
      </c>
      <c r="K317" s="185"/>
      <c r="L317" s="163" t="s">
        <v>748</v>
      </c>
      <c r="M317" s="164" t="s">
        <v>649</v>
      </c>
      <c r="N317" s="165" t="s">
        <v>733</v>
      </c>
      <c r="O317" s="165"/>
      <c r="P317" s="165"/>
      <c r="Q317" s="165"/>
      <c r="R317" s="165" t="s">
        <v>736</v>
      </c>
      <c r="S317" s="166" t="s">
        <v>1334</v>
      </c>
      <c r="T317" s="165" t="s">
        <v>678</v>
      </c>
    </row>
    <row r="318" spans="1:20" ht="51" customHeight="1">
      <c r="A318" s="169" t="s">
        <v>668</v>
      </c>
      <c r="B318" s="186" t="s">
        <v>669</v>
      </c>
      <c r="C318" s="156" t="s">
        <v>670</v>
      </c>
      <c r="D318" s="171" t="s">
        <v>1581</v>
      </c>
      <c r="E318" s="171" t="s">
        <v>1582</v>
      </c>
      <c r="F318" s="171" t="s">
        <v>706</v>
      </c>
      <c r="G318" s="171" t="s">
        <v>1583</v>
      </c>
      <c r="H318" s="171" t="s">
        <v>675</v>
      </c>
      <c r="I318" s="170">
        <v>22</v>
      </c>
      <c r="J318" s="156" t="s">
        <v>574</v>
      </c>
      <c r="K318" s="187"/>
      <c r="L318" s="172" t="s">
        <v>748</v>
      </c>
      <c r="M318" s="173" t="s">
        <v>649</v>
      </c>
      <c r="N318" s="174" t="s">
        <v>733</v>
      </c>
      <c r="O318" s="174"/>
      <c r="P318" s="174"/>
      <c r="Q318" s="174"/>
      <c r="R318" s="174" t="s">
        <v>736</v>
      </c>
      <c r="S318" s="175" t="s">
        <v>1377</v>
      </c>
      <c r="T318" s="174" t="s">
        <v>678</v>
      </c>
    </row>
    <row r="319" spans="1:20" ht="38.25" customHeight="1">
      <c r="A319" s="159" t="s">
        <v>668</v>
      </c>
      <c r="B319" s="184" t="s">
        <v>669</v>
      </c>
      <c r="C319" s="154" t="s">
        <v>670</v>
      </c>
      <c r="D319" s="161" t="s">
        <v>1584</v>
      </c>
      <c r="E319" s="161" t="s">
        <v>1585</v>
      </c>
      <c r="F319" s="161" t="s">
        <v>706</v>
      </c>
      <c r="G319" s="161" t="s">
        <v>1586</v>
      </c>
      <c r="H319" s="161" t="s">
        <v>1134</v>
      </c>
      <c r="I319" s="160">
        <v>22</v>
      </c>
      <c r="J319" s="154" t="s">
        <v>574</v>
      </c>
      <c r="K319" s="185"/>
      <c r="L319" s="163" t="s">
        <v>748</v>
      </c>
      <c r="M319" s="164" t="s">
        <v>649</v>
      </c>
      <c r="N319" s="165" t="s">
        <v>733</v>
      </c>
      <c r="O319" s="165"/>
      <c r="P319" s="165"/>
      <c r="Q319" s="165"/>
      <c r="R319" s="165" t="s">
        <v>736</v>
      </c>
      <c r="S319" s="166" t="s">
        <v>1377</v>
      </c>
      <c r="T319" s="165" t="s">
        <v>678</v>
      </c>
    </row>
    <row r="320" spans="1:20" ht="51" customHeight="1">
      <c r="A320" s="169" t="s">
        <v>668</v>
      </c>
      <c r="B320" s="186" t="s">
        <v>669</v>
      </c>
      <c r="C320" s="156" t="s">
        <v>670</v>
      </c>
      <c r="D320" s="171" t="s">
        <v>1587</v>
      </c>
      <c r="E320" s="171" t="s">
        <v>1588</v>
      </c>
      <c r="F320" s="171" t="s">
        <v>706</v>
      </c>
      <c r="G320" s="171" t="s">
        <v>1589</v>
      </c>
      <c r="H320" s="171" t="s">
        <v>1134</v>
      </c>
      <c r="I320" s="170">
        <v>22</v>
      </c>
      <c r="J320" s="156" t="s">
        <v>574</v>
      </c>
      <c r="K320" s="187"/>
      <c r="L320" s="172" t="s">
        <v>748</v>
      </c>
      <c r="M320" s="173" t="s">
        <v>649</v>
      </c>
      <c r="N320" s="174" t="s">
        <v>733</v>
      </c>
      <c r="O320" s="174"/>
      <c r="P320" s="174"/>
      <c r="Q320" s="174"/>
      <c r="R320" s="174" t="s">
        <v>736</v>
      </c>
      <c r="S320" s="175" t="s">
        <v>1377</v>
      </c>
      <c r="T320" s="174" t="s">
        <v>678</v>
      </c>
    </row>
    <row r="321" spans="1:20" ht="38.25" customHeight="1">
      <c r="A321" s="159" t="s">
        <v>668</v>
      </c>
      <c r="B321" s="184" t="s">
        <v>669</v>
      </c>
      <c r="C321" s="154" t="s">
        <v>670</v>
      </c>
      <c r="D321" s="161" t="s">
        <v>1590</v>
      </c>
      <c r="E321" s="161" t="s">
        <v>1591</v>
      </c>
      <c r="F321" s="161" t="s">
        <v>706</v>
      </c>
      <c r="G321" s="161" t="s">
        <v>1396</v>
      </c>
      <c r="H321" s="161" t="s">
        <v>1396</v>
      </c>
      <c r="I321" s="160">
        <v>24</v>
      </c>
      <c r="J321" s="154" t="s">
        <v>574</v>
      </c>
      <c r="K321" s="185"/>
      <c r="L321" s="163" t="s">
        <v>748</v>
      </c>
      <c r="M321" s="164" t="s">
        <v>649</v>
      </c>
      <c r="N321" s="165" t="s">
        <v>733</v>
      </c>
      <c r="O321" s="165"/>
      <c r="P321" s="165"/>
      <c r="Q321" s="165"/>
      <c r="R321" s="165" t="s">
        <v>736</v>
      </c>
      <c r="S321" s="166" t="s">
        <v>1334</v>
      </c>
      <c r="T321" s="165" t="s">
        <v>678</v>
      </c>
    </row>
    <row r="322" spans="1:20" ht="51" customHeight="1">
      <c r="A322" s="169" t="s">
        <v>668</v>
      </c>
      <c r="B322" s="186" t="s">
        <v>669</v>
      </c>
      <c r="C322" s="156" t="s">
        <v>670</v>
      </c>
      <c r="D322" s="171" t="s">
        <v>1592</v>
      </c>
      <c r="E322" s="171" t="s">
        <v>1593</v>
      </c>
      <c r="F322" s="171" t="s">
        <v>706</v>
      </c>
      <c r="G322" s="171" t="s">
        <v>716</v>
      </c>
      <c r="H322" s="171" t="s">
        <v>716</v>
      </c>
      <c r="I322" s="170">
        <v>22</v>
      </c>
      <c r="J322" s="156" t="s">
        <v>574</v>
      </c>
      <c r="K322" s="187"/>
      <c r="L322" s="172" t="s">
        <v>748</v>
      </c>
      <c r="M322" s="173" t="s">
        <v>649</v>
      </c>
      <c r="N322" s="174" t="s">
        <v>733</v>
      </c>
      <c r="O322" s="174"/>
      <c r="P322" s="174"/>
      <c r="Q322" s="174"/>
      <c r="R322" s="174" t="s">
        <v>736</v>
      </c>
      <c r="S322" s="175" t="s">
        <v>1377</v>
      </c>
      <c r="T322" s="174" t="s">
        <v>678</v>
      </c>
    </row>
    <row r="323" spans="1:20" ht="63.75" customHeight="1">
      <c r="A323" s="159" t="s">
        <v>668</v>
      </c>
      <c r="B323" s="184" t="s">
        <v>669</v>
      </c>
      <c r="C323" s="154" t="s">
        <v>670</v>
      </c>
      <c r="D323" s="161" t="s">
        <v>1594</v>
      </c>
      <c r="E323" s="161" t="s">
        <v>1595</v>
      </c>
      <c r="F323" s="161" t="s">
        <v>1570</v>
      </c>
      <c r="G323" s="161" t="s">
        <v>1552</v>
      </c>
      <c r="H323" s="161" t="s">
        <v>747</v>
      </c>
      <c r="I323" s="160">
        <v>25</v>
      </c>
      <c r="J323" s="154" t="s">
        <v>574</v>
      </c>
      <c r="K323" s="185"/>
      <c r="L323" s="163" t="s">
        <v>748</v>
      </c>
      <c r="M323" s="164" t="s">
        <v>649</v>
      </c>
      <c r="N323" s="165" t="s">
        <v>733</v>
      </c>
      <c r="O323" s="165"/>
      <c r="P323" s="165"/>
      <c r="Q323" s="165"/>
      <c r="R323" s="165" t="s">
        <v>736</v>
      </c>
      <c r="S323" s="166" t="s">
        <v>1328</v>
      </c>
      <c r="T323" s="165" t="s">
        <v>678</v>
      </c>
    </row>
    <row r="324" spans="1:20" ht="38.25" customHeight="1">
      <c r="A324" s="169" t="s">
        <v>668</v>
      </c>
      <c r="B324" s="186" t="s">
        <v>669</v>
      </c>
      <c r="C324" s="156" t="s">
        <v>670</v>
      </c>
      <c r="D324" s="171" t="s">
        <v>1596</v>
      </c>
      <c r="E324" s="171" t="s">
        <v>1597</v>
      </c>
      <c r="F324" s="171" t="s">
        <v>1570</v>
      </c>
      <c r="G324" s="171" t="s">
        <v>727</v>
      </c>
      <c r="H324" s="171" t="s">
        <v>727</v>
      </c>
      <c r="I324" s="170">
        <v>25</v>
      </c>
      <c r="J324" s="156" t="s">
        <v>574</v>
      </c>
      <c r="K324" s="187"/>
      <c r="L324" s="172" t="s">
        <v>748</v>
      </c>
      <c r="M324" s="173" t="s">
        <v>649</v>
      </c>
      <c r="N324" s="174" t="s">
        <v>733</v>
      </c>
      <c r="O324" s="174"/>
      <c r="P324" s="174"/>
      <c r="Q324" s="174"/>
      <c r="R324" s="174" t="s">
        <v>736</v>
      </c>
      <c r="S324" s="175" t="s">
        <v>1328</v>
      </c>
      <c r="T324" s="174" t="s">
        <v>678</v>
      </c>
    </row>
    <row r="325" spans="1:20" ht="38.25" customHeight="1">
      <c r="A325" s="159" t="s">
        <v>668</v>
      </c>
      <c r="B325" s="184" t="s">
        <v>669</v>
      </c>
      <c r="C325" s="154" t="s">
        <v>670</v>
      </c>
      <c r="D325" s="161" t="s">
        <v>1598</v>
      </c>
      <c r="E325" s="161" t="s">
        <v>1599</v>
      </c>
      <c r="F325" s="161" t="s">
        <v>1465</v>
      </c>
      <c r="G325" s="161" t="s">
        <v>1600</v>
      </c>
      <c r="H325" s="161" t="s">
        <v>1577</v>
      </c>
      <c r="I325" s="160">
        <v>5</v>
      </c>
      <c r="J325" s="154" t="s">
        <v>574</v>
      </c>
      <c r="K325" s="185"/>
      <c r="L325" s="163" t="s">
        <v>748</v>
      </c>
      <c r="M325" s="164" t="s">
        <v>649</v>
      </c>
      <c r="N325" s="165" t="s">
        <v>1601</v>
      </c>
      <c r="O325" s="165"/>
      <c r="P325" s="165"/>
      <c r="Q325" s="165"/>
      <c r="R325" s="165" t="s">
        <v>676</v>
      </c>
      <c r="S325" s="166" t="s">
        <v>1345</v>
      </c>
      <c r="T325" s="165" t="s">
        <v>678</v>
      </c>
    </row>
    <row r="326" spans="1:20" ht="38.25" customHeight="1">
      <c r="A326" s="169" t="s">
        <v>668</v>
      </c>
      <c r="B326" s="186" t="s">
        <v>669</v>
      </c>
      <c r="C326" s="156" t="s">
        <v>670</v>
      </c>
      <c r="D326" s="171" t="s">
        <v>1602</v>
      </c>
      <c r="E326" s="171" t="s">
        <v>1603</v>
      </c>
      <c r="F326" s="171" t="s">
        <v>1465</v>
      </c>
      <c r="G326" s="171" t="s">
        <v>1600</v>
      </c>
      <c r="H326" s="171" t="s">
        <v>1577</v>
      </c>
      <c r="I326" s="170">
        <v>5</v>
      </c>
      <c r="J326" s="156" t="s">
        <v>574</v>
      </c>
      <c r="K326" s="187"/>
      <c r="L326" s="172" t="s">
        <v>748</v>
      </c>
      <c r="M326" s="173" t="s">
        <v>649</v>
      </c>
      <c r="N326" s="174" t="s">
        <v>1601</v>
      </c>
      <c r="O326" s="174"/>
      <c r="P326" s="174"/>
      <c r="Q326" s="174"/>
      <c r="R326" s="174" t="s">
        <v>676</v>
      </c>
      <c r="S326" s="175" t="s">
        <v>1345</v>
      </c>
      <c r="T326" s="174" t="s">
        <v>678</v>
      </c>
    </row>
    <row r="327" spans="1:20" ht="38.25" customHeight="1">
      <c r="A327" s="159" t="s">
        <v>668</v>
      </c>
      <c r="B327" s="184" t="s">
        <v>669</v>
      </c>
      <c r="C327" s="154" t="s">
        <v>670</v>
      </c>
      <c r="D327" s="161" t="s">
        <v>1604</v>
      </c>
      <c r="E327" s="161" t="s">
        <v>1605</v>
      </c>
      <c r="F327" s="161" t="s">
        <v>706</v>
      </c>
      <c r="G327" s="161" t="s">
        <v>727</v>
      </c>
      <c r="H327" s="161" t="s">
        <v>727</v>
      </c>
      <c r="I327" s="160">
        <v>5</v>
      </c>
      <c r="J327" s="154" t="s">
        <v>574</v>
      </c>
      <c r="K327" s="185"/>
      <c r="L327" s="163" t="s">
        <v>748</v>
      </c>
      <c r="M327" s="164" t="s">
        <v>649</v>
      </c>
      <c r="N327" s="165" t="s">
        <v>1601</v>
      </c>
      <c r="O327" s="165"/>
      <c r="P327" s="165"/>
      <c r="Q327" s="165"/>
      <c r="R327" s="165" t="s">
        <v>676</v>
      </c>
      <c r="S327" s="166" t="s">
        <v>1345</v>
      </c>
      <c r="T327" s="165" t="s">
        <v>678</v>
      </c>
    </row>
    <row r="328" spans="1:20" ht="38.25" customHeight="1">
      <c r="A328" s="169" t="s">
        <v>668</v>
      </c>
      <c r="B328" s="186" t="s">
        <v>669</v>
      </c>
      <c r="C328" s="156" t="s">
        <v>670</v>
      </c>
      <c r="D328" s="171" t="s">
        <v>1606</v>
      </c>
      <c r="E328" s="171" t="s">
        <v>1607</v>
      </c>
      <c r="F328" s="171" t="s">
        <v>706</v>
      </c>
      <c r="G328" s="171" t="s">
        <v>727</v>
      </c>
      <c r="H328" s="171" t="s">
        <v>727</v>
      </c>
      <c r="I328" s="170">
        <v>5</v>
      </c>
      <c r="J328" s="156" t="s">
        <v>574</v>
      </c>
      <c r="K328" s="187"/>
      <c r="L328" s="172" t="s">
        <v>748</v>
      </c>
      <c r="M328" s="173" t="s">
        <v>649</v>
      </c>
      <c r="N328" s="174" t="s">
        <v>1601</v>
      </c>
      <c r="O328" s="174"/>
      <c r="P328" s="174"/>
      <c r="Q328" s="174"/>
      <c r="R328" s="174" t="s">
        <v>676</v>
      </c>
      <c r="S328" s="175" t="s">
        <v>1345</v>
      </c>
      <c r="T328" s="174" t="s">
        <v>678</v>
      </c>
    </row>
    <row r="329" spans="1:20" ht="38.25" customHeight="1">
      <c r="A329" s="159" t="s">
        <v>668</v>
      </c>
      <c r="B329" s="184" t="s">
        <v>669</v>
      </c>
      <c r="C329" s="154" t="s">
        <v>670</v>
      </c>
      <c r="D329" s="161" t="s">
        <v>1606</v>
      </c>
      <c r="E329" s="161" t="s">
        <v>1608</v>
      </c>
      <c r="F329" s="161" t="s">
        <v>1570</v>
      </c>
      <c r="G329" s="161" t="s">
        <v>727</v>
      </c>
      <c r="H329" s="161" t="s">
        <v>727</v>
      </c>
      <c r="I329" s="160">
        <v>5</v>
      </c>
      <c r="J329" s="154" t="s">
        <v>574</v>
      </c>
      <c r="K329" s="185"/>
      <c r="L329" s="163" t="s">
        <v>748</v>
      </c>
      <c r="M329" s="164" t="s">
        <v>649</v>
      </c>
      <c r="N329" s="165" t="s">
        <v>1601</v>
      </c>
      <c r="O329" s="165"/>
      <c r="P329" s="165"/>
      <c r="Q329" s="165"/>
      <c r="R329" s="165" t="s">
        <v>676</v>
      </c>
      <c r="S329" s="166" t="s">
        <v>1345</v>
      </c>
      <c r="T329" s="165" t="s">
        <v>678</v>
      </c>
    </row>
    <row r="330" spans="1:20" ht="38.25" customHeight="1">
      <c r="A330" s="169" t="s">
        <v>668</v>
      </c>
      <c r="B330" s="186" t="s">
        <v>669</v>
      </c>
      <c r="C330" s="156" t="s">
        <v>670</v>
      </c>
      <c r="D330" s="171" t="s">
        <v>1609</v>
      </c>
      <c r="E330" s="171" t="s">
        <v>1610</v>
      </c>
      <c r="F330" s="171" t="s">
        <v>706</v>
      </c>
      <c r="G330" s="171" t="s">
        <v>727</v>
      </c>
      <c r="H330" s="171" t="s">
        <v>727</v>
      </c>
      <c r="I330" s="170">
        <v>5</v>
      </c>
      <c r="J330" s="156" t="s">
        <v>574</v>
      </c>
      <c r="K330" s="187"/>
      <c r="L330" s="172" t="s">
        <v>748</v>
      </c>
      <c r="M330" s="173" t="s">
        <v>649</v>
      </c>
      <c r="N330" s="174" t="s">
        <v>1601</v>
      </c>
      <c r="O330" s="174"/>
      <c r="P330" s="174"/>
      <c r="Q330" s="174"/>
      <c r="R330" s="174" t="s">
        <v>676</v>
      </c>
      <c r="S330" s="175" t="s">
        <v>1345</v>
      </c>
      <c r="T330" s="174" t="s">
        <v>678</v>
      </c>
    </row>
    <row r="331" spans="1:20" ht="38.25" customHeight="1">
      <c r="A331" s="159" t="s">
        <v>668</v>
      </c>
      <c r="B331" s="184" t="s">
        <v>669</v>
      </c>
      <c r="C331" s="154" t="s">
        <v>670</v>
      </c>
      <c r="D331" s="161" t="s">
        <v>1611</v>
      </c>
      <c r="E331" s="161" t="s">
        <v>1612</v>
      </c>
      <c r="F331" s="161" t="s">
        <v>706</v>
      </c>
      <c r="G331" s="161" t="s">
        <v>727</v>
      </c>
      <c r="H331" s="161" t="s">
        <v>727</v>
      </c>
      <c r="I331" s="160">
        <v>5</v>
      </c>
      <c r="J331" s="154" t="s">
        <v>574</v>
      </c>
      <c r="K331" s="185"/>
      <c r="L331" s="163" t="s">
        <v>748</v>
      </c>
      <c r="M331" s="164" t="s">
        <v>649</v>
      </c>
      <c r="N331" s="165" t="s">
        <v>1601</v>
      </c>
      <c r="O331" s="165"/>
      <c r="P331" s="165"/>
      <c r="Q331" s="165"/>
      <c r="R331" s="165" t="s">
        <v>676</v>
      </c>
      <c r="S331" s="166" t="s">
        <v>1345</v>
      </c>
      <c r="T331" s="165" t="s">
        <v>678</v>
      </c>
    </row>
    <row r="332" spans="1:20" ht="38.25" customHeight="1">
      <c r="A332" s="169" t="s">
        <v>668</v>
      </c>
      <c r="B332" s="186" t="s">
        <v>669</v>
      </c>
      <c r="C332" s="156" t="s">
        <v>670</v>
      </c>
      <c r="D332" s="171" t="s">
        <v>1613</v>
      </c>
      <c r="E332" s="171" t="s">
        <v>1614</v>
      </c>
      <c r="F332" s="171" t="s">
        <v>706</v>
      </c>
      <c r="G332" s="171" t="s">
        <v>1615</v>
      </c>
      <c r="H332" s="171" t="s">
        <v>1616</v>
      </c>
      <c r="I332" s="170">
        <v>5</v>
      </c>
      <c r="J332" s="156" t="s">
        <v>574</v>
      </c>
      <c r="K332" s="187"/>
      <c r="L332" s="172" t="s">
        <v>748</v>
      </c>
      <c r="M332" s="173" t="s">
        <v>649</v>
      </c>
      <c r="N332" s="174" t="s">
        <v>1601</v>
      </c>
      <c r="O332" s="174"/>
      <c r="P332" s="174"/>
      <c r="Q332" s="174"/>
      <c r="R332" s="174" t="s">
        <v>676</v>
      </c>
      <c r="S332" s="175" t="s">
        <v>1345</v>
      </c>
      <c r="T332" s="174" t="s">
        <v>678</v>
      </c>
    </row>
    <row r="333" spans="1:20" ht="38.25" customHeight="1">
      <c r="A333" s="159" t="s">
        <v>668</v>
      </c>
      <c r="B333" s="184" t="s">
        <v>669</v>
      </c>
      <c r="C333" s="154" t="s">
        <v>670</v>
      </c>
      <c r="D333" s="161" t="s">
        <v>1617</v>
      </c>
      <c r="E333" s="161" t="s">
        <v>1618</v>
      </c>
      <c r="F333" s="161" t="s">
        <v>706</v>
      </c>
      <c r="G333" s="161" t="s">
        <v>1476</v>
      </c>
      <c r="H333" s="161" t="s">
        <v>1616</v>
      </c>
      <c r="I333" s="160">
        <v>5</v>
      </c>
      <c r="J333" s="154" t="s">
        <v>574</v>
      </c>
      <c r="K333" s="185"/>
      <c r="L333" s="163" t="s">
        <v>748</v>
      </c>
      <c r="M333" s="164" t="s">
        <v>649</v>
      </c>
      <c r="N333" s="165" t="s">
        <v>1601</v>
      </c>
      <c r="O333" s="165"/>
      <c r="P333" s="165"/>
      <c r="Q333" s="165"/>
      <c r="R333" s="165" t="s">
        <v>676</v>
      </c>
      <c r="S333" s="166" t="s">
        <v>1345</v>
      </c>
      <c r="T333" s="165" t="s">
        <v>678</v>
      </c>
    </row>
    <row r="334" spans="1:20" ht="38.25" customHeight="1">
      <c r="A334" s="169" t="s">
        <v>668</v>
      </c>
      <c r="B334" s="186" t="s">
        <v>669</v>
      </c>
      <c r="C334" s="156" t="s">
        <v>670</v>
      </c>
      <c r="D334" s="171" t="s">
        <v>1619</v>
      </c>
      <c r="E334" s="171" t="s">
        <v>1620</v>
      </c>
      <c r="F334" s="171" t="s">
        <v>706</v>
      </c>
      <c r="G334" s="171" t="s">
        <v>1621</v>
      </c>
      <c r="H334" s="171" t="s">
        <v>747</v>
      </c>
      <c r="I334" s="170">
        <v>5</v>
      </c>
      <c r="J334" s="156" t="s">
        <v>574</v>
      </c>
      <c r="K334" s="187"/>
      <c r="L334" s="172" t="s">
        <v>748</v>
      </c>
      <c r="M334" s="173" t="s">
        <v>649</v>
      </c>
      <c r="N334" s="174" t="s">
        <v>1601</v>
      </c>
      <c r="O334" s="174"/>
      <c r="P334" s="174"/>
      <c r="Q334" s="174"/>
      <c r="R334" s="174" t="s">
        <v>676</v>
      </c>
      <c r="S334" s="175" t="s">
        <v>1345</v>
      </c>
      <c r="T334" s="174" t="s">
        <v>678</v>
      </c>
    </row>
    <row r="335" spans="1:20" ht="38.25" customHeight="1">
      <c r="A335" s="159" t="s">
        <v>668</v>
      </c>
      <c r="B335" s="184" t="s">
        <v>669</v>
      </c>
      <c r="C335" s="154" t="s">
        <v>670</v>
      </c>
      <c r="D335" s="161" t="s">
        <v>1622</v>
      </c>
      <c r="E335" s="161" t="s">
        <v>1623</v>
      </c>
      <c r="F335" s="161" t="s">
        <v>1465</v>
      </c>
      <c r="G335" s="161" t="s">
        <v>1624</v>
      </c>
      <c r="H335" s="161" t="s">
        <v>1624</v>
      </c>
      <c r="I335" s="160">
        <v>5</v>
      </c>
      <c r="J335" s="154" t="s">
        <v>574</v>
      </c>
      <c r="K335" s="185"/>
      <c r="L335" s="163" t="s">
        <v>748</v>
      </c>
      <c r="M335" s="164" t="s">
        <v>649</v>
      </c>
      <c r="N335" s="165" t="s">
        <v>1601</v>
      </c>
      <c r="O335" s="165"/>
      <c r="P335" s="165"/>
      <c r="Q335" s="165"/>
      <c r="R335" s="165" t="s">
        <v>676</v>
      </c>
      <c r="S335" s="166" t="s">
        <v>1345</v>
      </c>
      <c r="T335" s="165" t="s">
        <v>678</v>
      </c>
    </row>
    <row r="336" spans="1:20" ht="38.25" customHeight="1">
      <c r="A336" s="169" t="s">
        <v>668</v>
      </c>
      <c r="B336" s="186" t="s">
        <v>669</v>
      </c>
      <c r="C336" s="156" t="s">
        <v>670</v>
      </c>
      <c r="D336" s="171" t="s">
        <v>1625</v>
      </c>
      <c r="E336" s="171" t="s">
        <v>1626</v>
      </c>
      <c r="F336" s="171" t="s">
        <v>1465</v>
      </c>
      <c r="G336" s="171" t="s">
        <v>697</v>
      </c>
      <c r="H336" s="171" t="s">
        <v>1624</v>
      </c>
      <c r="I336" s="170">
        <v>5</v>
      </c>
      <c r="J336" s="156" t="s">
        <v>574</v>
      </c>
      <c r="K336" s="187"/>
      <c r="L336" s="172" t="s">
        <v>748</v>
      </c>
      <c r="M336" s="173" t="s">
        <v>649</v>
      </c>
      <c r="N336" s="174" t="s">
        <v>1601</v>
      </c>
      <c r="O336" s="174"/>
      <c r="P336" s="174"/>
      <c r="Q336" s="174"/>
      <c r="R336" s="174" t="s">
        <v>676</v>
      </c>
      <c r="S336" s="175" t="s">
        <v>1345</v>
      </c>
      <c r="T336" s="174" t="s">
        <v>678</v>
      </c>
    </row>
    <row r="337" spans="1:20" ht="38.25" customHeight="1">
      <c r="A337" s="159" t="s">
        <v>668</v>
      </c>
      <c r="B337" s="184" t="s">
        <v>669</v>
      </c>
      <c r="C337" s="154" t="s">
        <v>670</v>
      </c>
      <c r="D337" s="161" t="s">
        <v>1627</v>
      </c>
      <c r="E337" s="161" t="s">
        <v>1628</v>
      </c>
      <c r="F337" s="161" t="s">
        <v>706</v>
      </c>
      <c r="G337" s="161" t="s">
        <v>1629</v>
      </c>
      <c r="H337" s="161" t="s">
        <v>1624</v>
      </c>
      <c r="I337" s="160">
        <v>5</v>
      </c>
      <c r="J337" s="154" t="s">
        <v>574</v>
      </c>
      <c r="K337" s="185"/>
      <c r="L337" s="163" t="s">
        <v>748</v>
      </c>
      <c r="M337" s="164" t="s">
        <v>649</v>
      </c>
      <c r="N337" s="165" t="s">
        <v>1601</v>
      </c>
      <c r="O337" s="165"/>
      <c r="P337" s="165"/>
      <c r="Q337" s="165"/>
      <c r="R337" s="165" t="s">
        <v>676</v>
      </c>
      <c r="S337" s="166" t="s">
        <v>1345</v>
      </c>
      <c r="T337" s="165" t="s">
        <v>678</v>
      </c>
    </row>
    <row r="338" spans="1:20" ht="38.25" customHeight="1">
      <c r="A338" s="169" t="s">
        <v>668</v>
      </c>
      <c r="B338" s="186" t="s">
        <v>669</v>
      </c>
      <c r="C338" s="156" t="s">
        <v>670</v>
      </c>
      <c r="D338" s="171" t="s">
        <v>1630</v>
      </c>
      <c r="E338" s="171" t="s">
        <v>1631</v>
      </c>
      <c r="F338" s="171" t="s">
        <v>740</v>
      </c>
      <c r="G338" s="171" t="s">
        <v>1632</v>
      </c>
      <c r="H338" s="171" t="s">
        <v>675</v>
      </c>
      <c r="I338" s="170">
        <v>5</v>
      </c>
      <c r="J338" s="156" t="s">
        <v>574</v>
      </c>
      <c r="K338" s="187"/>
      <c r="L338" s="172" t="s">
        <v>748</v>
      </c>
      <c r="M338" s="173" t="s">
        <v>649</v>
      </c>
      <c r="N338" s="174" t="s">
        <v>1601</v>
      </c>
      <c r="O338" s="174"/>
      <c r="P338" s="174"/>
      <c r="Q338" s="174"/>
      <c r="R338" s="174" t="s">
        <v>676</v>
      </c>
      <c r="S338" s="175" t="s">
        <v>1345</v>
      </c>
      <c r="T338" s="174" t="s">
        <v>678</v>
      </c>
    </row>
    <row r="339" spans="1:20" ht="38.25" customHeight="1">
      <c r="A339" s="159" t="s">
        <v>668</v>
      </c>
      <c r="B339" s="184" t="s">
        <v>669</v>
      </c>
      <c r="C339" s="154" t="s">
        <v>670</v>
      </c>
      <c r="D339" s="161" t="s">
        <v>1633</v>
      </c>
      <c r="E339" s="161" t="s">
        <v>1634</v>
      </c>
      <c r="F339" s="161" t="s">
        <v>706</v>
      </c>
      <c r="G339" s="161" t="s">
        <v>1635</v>
      </c>
      <c r="H339" s="161" t="s">
        <v>675</v>
      </c>
      <c r="I339" s="160">
        <v>5</v>
      </c>
      <c r="J339" s="154" t="s">
        <v>574</v>
      </c>
      <c r="K339" s="185"/>
      <c r="L339" s="163" t="s">
        <v>748</v>
      </c>
      <c r="M339" s="164" t="s">
        <v>649</v>
      </c>
      <c r="N339" s="165" t="s">
        <v>1601</v>
      </c>
      <c r="O339" s="165"/>
      <c r="P339" s="165"/>
      <c r="Q339" s="165"/>
      <c r="R339" s="165" t="s">
        <v>676</v>
      </c>
      <c r="S339" s="166" t="s">
        <v>1345</v>
      </c>
      <c r="T339" s="165" t="s">
        <v>678</v>
      </c>
    </row>
    <row r="340" spans="1:20" ht="38.25" customHeight="1">
      <c r="A340" s="169" t="s">
        <v>668</v>
      </c>
      <c r="B340" s="186" t="s">
        <v>669</v>
      </c>
      <c r="C340" s="156" t="s">
        <v>670</v>
      </c>
      <c r="D340" s="171" t="s">
        <v>1636</v>
      </c>
      <c r="E340" s="171" t="s">
        <v>1637</v>
      </c>
      <c r="F340" s="171" t="s">
        <v>706</v>
      </c>
      <c r="G340" s="171"/>
      <c r="H340" s="171" t="s">
        <v>732</v>
      </c>
      <c r="I340" s="170">
        <v>5</v>
      </c>
      <c r="J340" s="156" t="s">
        <v>574</v>
      </c>
      <c r="K340" s="187"/>
      <c r="L340" s="172" t="s">
        <v>748</v>
      </c>
      <c r="M340" s="173" t="s">
        <v>649</v>
      </c>
      <c r="N340" s="174" t="s">
        <v>1601</v>
      </c>
      <c r="O340" s="174"/>
      <c r="P340" s="174"/>
      <c r="Q340" s="174"/>
      <c r="R340" s="174" t="s">
        <v>676</v>
      </c>
      <c r="S340" s="175" t="s">
        <v>1345</v>
      </c>
      <c r="T340" s="174" t="s">
        <v>678</v>
      </c>
    </row>
    <row r="341" spans="1:20" ht="38.25" customHeight="1">
      <c r="A341" s="159" t="s">
        <v>668</v>
      </c>
      <c r="B341" s="184" t="s">
        <v>669</v>
      </c>
      <c r="C341" s="154" t="s">
        <v>670</v>
      </c>
      <c r="D341" s="161" t="s">
        <v>1638</v>
      </c>
      <c r="E341" s="161" t="s">
        <v>1639</v>
      </c>
      <c r="F341" s="161" t="s">
        <v>1465</v>
      </c>
      <c r="G341" s="161" t="s">
        <v>727</v>
      </c>
      <c r="H341" s="161" t="s">
        <v>727</v>
      </c>
      <c r="I341" s="160">
        <v>5</v>
      </c>
      <c r="J341" s="154" t="s">
        <v>574</v>
      </c>
      <c r="K341" s="185"/>
      <c r="L341" s="163" t="s">
        <v>748</v>
      </c>
      <c r="M341" s="164" t="s">
        <v>649</v>
      </c>
      <c r="N341" s="165" t="s">
        <v>1601</v>
      </c>
      <c r="O341" s="165"/>
      <c r="P341" s="165"/>
      <c r="Q341" s="165"/>
      <c r="R341" s="165" t="s">
        <v>676</v>
      </c>
      <c r="S341" s="166" t="s">
        <v>1345</v>
      </c>
      <c r="T341" s="165" t="s">
        <v>678</v>
      </c>
    </row>
    <row r="342" spans="1:20" ht="51" customHeight="1">
      <c r="A342" s="169" t="s">
        <v>668</v>
      </c>
      <c r="B342" s="186" t="s">
        <v>669</v>
      </c>
      <c r="C342" s="156" t="s">
        <v>670</v>
      </c>
      <c r="D342" s="171" t="s">
        <v>1640</v>
      </c>
      <c r="E342" s="171" t="s">
        <v>1641</v>
      </c>
      <c r="F342" s="171" t="s">
        <v>1322</v>
      </c>
      <c r="G342" s="171" t="s">
        <v>1624</v>
      </c>
      <c r="H342" s="171" t="s">
        <v>1624</v>
      </c>
      <c r="I342" s="170">
        <v>5</v>
      </c>
      <c r="J342" s="156" t="s">
        <v>574</v>
      </c>
      <c r="K342" s="187"/>
      <c r="L342" s="172" t="s">
        <v>748</v>
      </c>
      <c r="M342" s="173" t="s">
        <v>649</v>
      </c>
      <c r="N342" s="174" t="s">
        <v>1601</v>
      </c>
      <c r="O342" s="174"/>
      <c r="P342" s="174"/>
      <c r="Q342" s="174"/>
      <c r="R342" s="174" t="s">
        <v>676</v>
      </c>
      <c r="S342" s="175" t="s">
        <v>1345</v>
      </c>
      <c r="T342" s="174" t="s">
        <v>678</v>
      </c>
    </row>
    <row r="343" spans="1:20" ht="38.25" customHeight="1">
      <c r="A343" s="159" t="s">
        <v>668</v>
      </c>
      <c r="B343" s="184" t="s">
        <v>669</v>
      </c>
      <c r="C343" s="154" t="s">
        <v>670</v>
      </c>
      <c r="D343" s="161" t="s">
        <v>1642</v>
      </c>
      <c r="E343" s="161" t="s">
        <v>1643</v>
      </c>
      <c r="F343" s="161" t="s">
        <v>706</v>
      </c>
      <c r="G343" s="161" t="s">
        <v>716</v>
      </c>
      <c r="H343" s="161" t="s">
        <v>716</v>
      </c>
      <c r="I343" s="160">
        <v>5</v>
      </c>
      <c r="J343" s="154" t="s">
        <v>574</v>
      </c>
      <c r="K343" s="185"/>
      <c r="L343" s="163" t="s">
        <v>748</v>
      </c>
      <c r="M343" s="164" t="s">
        <v>649</v>
      </c>
      <c r="N343" s="165" t="s">
        <v>1601</v>
      </c>
      <c r="O343" s="165"/>
      <c r="P343" s="165"/>
      <c r="Q343" s="165"/>
      <c r="R343" s="165" t="s">
        <v>676</v>
      </c>
      <c r="S343" s="166" t="s">
        <v>1345</v>
      </c>
      <c r="T343" s="165" t="s">
        <v>678</v>
      </c>
    </row>
    <row r="344" spans="1:20" ht="38.25" customHeight="1">
      <c r="A344" s="169" t="s">
        <v>668</v>
      </c>
      <c r="B344" s="186" t="s">
        <v>669</v>
      </c>
      <c r="C344" s="156" t="s">
        <v>670</v>
      </c>
      <c r="D344" s="171" t="s">
        <v>1644</v>
      </c>
      <c r="E344" s="171" t="s">
        <v>1645</v>
      </c>
      <c r="F344" s="171" t="s">
        <v>706</v>
      </c>
      <c r="G344" s="171" t="s">
        <v>716</v>
      </c>
      <c r="H344" s="171" t="s">
        <v>716</v>
      </c>
      <c r="I344" s="170">
        <v>5</v>
      </c>
      <c r="J344" s="156" t="s">
        <v>574</v>
      </c>
      <c r="K344" s="187"/>
      <c r="L344" s="172" t="s">
        <v>748</v>
      </c>
      <c r="M344" s="173" t="s">
        <v>649</v>
      </c>
      <c r="N344" s="174" t="s">
        <v>1601</v>
      </c>
      <c r="O344" s="174"/>
      <c r="P344" s="174"/>
      <c r="Q344" s="174"/>
      <c r="R344" s="174" t="s">
        <v>676</v>
      </c>
      <c r="S344" s="175" t="s">
        <v>1345</v>
      </c>
      <c r="T344" s="174" t="s">
        <v>678</v>
      </c>
    </row>
    <row r="345" spans="1:20" ht="38.25" customHeight="1">
      <c r="A345" s="159" t="s">
        <v>668</v>
      </c>
      <c r="B345" s="184" t="s">
        <v>669</v>
      </c>
      <c r="C345" s="154" t="s">
        <v>670</v>
      </c>
      <c r="D345" s="161" t="s">
        <v>1646</v>
      </c>
      <c r="E345" s="161" t="s">
        <v>1647</v>
      </c>
      <c r="F345" s="161" t="s">
        <v>1570</v>
      </c>
      <c r="G345" s="161"/>
      <c r="H345" s="161" t="s">
        <v>716</v>
      </c>
      <c r="I345" s="160">
        <v>5</v>
      </c>
      <c r="J345" s="154" t="s">
        <v>574</v>
      </c>
      <c r="K345" s="185"/>
      <c r="L345" s="163" t="s">
        <v>748</v>
      </c>
      <c r="M345" s="164" t="s">
        <v>649</v>
      </c>
      <c r="N345" s="165" t="s">
        <v>1601</v>
      </c>
      <c r="O345" s="165"/>
      <c r="P345" s="165"/>
      <c r="Q345" s="165"/>
      <c r="R345" s="165" t="s">
        <v>676</v>
      </c>
      <c r="S345" s="166" t="s">
        <v>1345</v>
      </c>
      <c r="T345" s="165" t="s">
        <v>678</v>
      </c>
    </row>
    <row r="346" spans="1:20" ht="51" customHeight="1">
      <c r="A346" s="169" t="s">
        <v>668</v>
      </c>
      <c r="B346" s="186" t="s">
        <v>669</v>
      </c>
      <c r="C346" s="156" t="s">
        <v>670</v>
      </c>
      <c r="D346" s="171" t="s">
        <v>1648</v>
      </c>
      <c r="E346" s="171" t="s">
        <v>1649</v>
      </c>
      <c r="F346" s="171" t="s">
        <v>706</v>
      </c>
      <c r="G346" s="171" t="s">
        <v>1650</v>
      </c>
      <c r="H346" s="171" t="s">
        <v>1616</v>
      </c>
      <c r="I346" s="170">
        <v>5</v>
      </c>
      <c r="J346" s="156" t="s">
        <v>574</v>
      </c>
      <c r="K346" s="187"/>
      <c r="L346" s="172" t="s">
        <v>748</v>
      </c>
      <c r="M346" s="173" t="s">
        <v>649</v>
      </c>
      <c r="N346" s="174" t="s">
        <v>1601</v>
      </c>
      <c r="O346" s="174"/>
      <c r="P346" s="174"/>
      <c r="Q346" s="174"/>
      <c r="R346" s="174" t="s">
        <v>676</v>
      </c>
      <c r="S346" s="175" t="s">
        <v>1345</v>
      </c>
      <c r="T346" s="174" t="s">
        <v>678</v>
      </c>
    </row>
    <row r="347" spans="1:20" ht="38.25" customHeight="1">
      <c r="A347" s="159" t="s">
        <v>668</v>
      </c>
      <c r="B347" s="184" t="s">
        <v>669</v>
      </c>
      <c r="C347" s="154" t="s">
        <v>670</v>
      </c>
      <c r="D347" s="161" t="s">
        <v>1627</v>
      </c>
      <c r="E347" s="161" t="s">
        <v>1651</v>
      </c>
      <c r="F347" s="161" t="s">
        <v>706</v>
      </c>
      <c r="G347" s="161" t="s">
        <v>1629</v>
      </c>
      <c r="H347" s="161" t="s">
        <v>1624</v>
      </c>
      <c r="I347" s="160">
        <v>5</v>
      </c>
      <c r="J347" s="154" t="s">
        <v>574</v>
      </c>
      <c r="K347" s="185"/>
      <c r="L347" s="163" t="s">
        <v>748</v>
      </c>
      <c r="M347" s="164" t="s">
        <v>649</v>
      </c>
      <c r="N347" s="165" t="s">
        <v>1601</v>
      </c>
      <c r="O347" s="165"/>
      <c r="P347" s="165"/>
      <c r="Q347" s="165"/>
      <c r="R347" s="165" t="s">
        <v>676</v>
      </c>
      <c r="S347" s="166" t="s">
        <v>1345</v>
      </c>
      <c r="T347" s="165" t="s">
        <v>678</v>
      </c>
    </row>
    <row r="348" spans="1:20" ht="38.25" customHeight="1">
      <c r="A348" s="169" t="s">
        <v>668</v>
      </c>
      <c r="B348" s="186" t="s">
        <v>669</v>
      </c>
      <c r="C348" s="156" t="s">
        <v>670</v>
      </c>
      <c r="D348" s="171" t="s">
        <v>1652</v>
      </c>
      <c r="E348" s="171" t="s">
        <v>1653</v>
      </c>
      <c r="F348" s="171" t="s">
        <v>706</v>
      </c>
      <c r="G348" s="171"/>
      <c r="H348" s="171" t="s">
        <v>732</v>
      </c>
      <c r="I348" s="170">
        <v>5</v>
      </c>
      <c r="J348" s="156" t="s">
        <v>574</v>
      </c>
      <c r="K348" s="187"/>
      <c r="L348" s="172" t="s">
        <v>748</v>
      </c>
      <c r="M348" s="173" t="s">
        <v>649</v>
      </c>
      <c r="N348" s="174" t="s">
        <v>1601</v>
      </c>
      <c r="O348" s="174"/>
      <c r="P348" s="174"/>
      <c r="Q348" s="174"/>
      <c r="R348" s="174" t="s">
        <v>676</v>
      </c>
      <c r="S348" s="175" t="s">
        <v>1345</v>
      </c>
      <c r="T348" s="174" t="s">
        <v>678</v>
      </c>
    </row>
    <row r="349" spans="1:20" ht="38.25" customHeight="1">
      <c r="A349" s="159" t="s">
        <v>668</v>
      </c>
      <c r="B349" s="184" t="s">
        <v>669</v>
      </c>
      <c r="C349" s="154" t="s">
        <v>670</v>
      </c>
      <c r="D349" s="161" t="s">
        <v>1654</v>
      </c>
      <c r="E349" s="161" t="s">
        <v>1655</v>
      </c>
      <c r="F349" s="161" t="s">
        <v>706</v>
      </c>
      <c r="G349" s="161"/>
      <c r="H349" s="161" t="s">
        <v>732</v>
      </c>
      <c r="I349" s="160">
        <v>5</v>
      </c>
      <c r="J349" s="154" t="s">
        <v>574</v>
      </c>
      <c r="K349" s="185"/>
      <c r="L349" s="163" t="s">
        <v>748</v>
      </c>
      <c r="M349" s="164" t="s">
        <v>649</v>
      </c>
      <c r="N349" s="165" t="s">
        <v>1601</v>
      </c>
      <c r="O349" s="165"/>
      <c r="P349" s="165"/>
      <c r="Q349" s="165"/>
      <c r="R349" s="165" t="s">
        <v>676</v>
      </c>
      <c r="S349" s="166" t="s">
        <v>1345</v>
      </c>
      <c r="T349" s="165" t="s">
        <v>678</v>
      </c>
    </row>
    <row r="350" spans="1:20" ht="51" customHeight="1">
      <c r="A350" s="169" t="s">
        <v>668</v>
      </c>
      <c r="B350" s="186" t="s">
        <v>669</v>
      </c>
      <c r="C350" s="156" t="s">
        <v>670</v>
      </c>
      <c r="D350" s="171" t="s">
        <v>1656</v>
      </c>
      <c r="E350" s="171" t="s">
        <v>1657</v>
      </c>
      <c r="F350" s="171" t="s">
        <v>706</v>
      </c>
      <c r="G350" s="171" t="s">
        <v>1658</v>
      </c>
      <c r="H350" s="171" t="s">
        <v>1577</v>
      </c>
      <c r="I350" s="170">
        <v>5</v>
      </c>
      <c r="J350" s="156" t="s">
        <v>574</v>
      </c>
      <c r="K350" s="187"/>
      <c r="L350" s="172" t="s">
        <v>748</v>
      </c>
      <c r="M350" s="173" t="s">
        <v>649</v>
      </c>
      <c r="N350" s="174" t="s">
        <v>1601</v>
      </c>
      <c r="O350" s="174"/>
      <c r="P350" s="174"/>
      <c r="Q350" s="174"/>
      <c r="R350" s="174" t="s">
        <v>676</v>
      </c>
      <c r="S350" s="175" t="s">
        <v>1345</v>
      </c>
      <c r="T350" s="174" t="s">
        <v>678</v>
      </c>
    </row>
    <row r="351" spans="1:20" ht="51" customHeight="1">
      <c r="A351" s="159" t="s">
        <v>668</v>
      </c>
      <c r="B351" s="184" t="s">
        <v>669</v>
      </c>
      <c r="C351" s="154" t="s">
        <v>670</v>
      </c>
      <c r="D351" s="161" t="s">
        <v>1659</v>
      </c>
      <c r="E351" s="161" t="s">
        <v>1660</v>
      </c>
      <c r="F351" s="161" t="s">
        <v>706</v>
      </c>
      <c r="G351" s="161"/>
      <c r="H351" s="161" t="s">
        <v>747</v>
      </c>
      <c r="I351" s="160">
        <v>5</v>
      </c>
      <c r="J351" s="154" t="s">
        <v>574</v>
      </c>
      <c r="K351" s="185"/>
      <c r="L351" s="163" t="s">
        <v>748</v>
      </c>
      <c r="M351" s="164" t="s">
        <v>649</v>
      </c>
      <c r="N351" s="165" t="s">
        <v>1601</v>
      </c>
      <c r="O351" s="165"/>
      <c r="P351" s="165"/>
      <c r="Q351" s="165"/>
      <c r="R351" s="165" t="s">
        <v>676</v>
      </c>
      <c r="S351" s="166" t="s">
        <v>1345</v>
      </c>
      <c r="T351" s="165" t="s">
        <v>678</v>
      </c>
    </row>
    <row r="352" spans="1:20" ht="51" customHeight="1">
      <c r="A352" s="169" t="s">
        <v>668</v>
      </c>
      <c r="B352" s="186" t="s">
        <v>669</v>
      </c>
      <c r="C352" s="156" t="s">
        <v>670</v>
      </c>
      <c r="D352" s="171" t="s">
        <v>1661</v>
      </c>
      <c r="E352" s="171" t="s">
        <v>1662</v>
      </c>
      <c r="F352" s="171" t="s">
        <v>706</v>
      </c>
      <c r="G352" s="171" t="s">
        <v>1663</v>
      </c>
      <c r="H352" s="171" t="s">
        <v>727</v>
      </c>
      <c r="I352" s="170">
        <v>5</v>
      </c>
      <c r="J352" s="156" t="s">
        <v>574</v>
      </c>
      <c r="K352" s="187"/>
      <c r="L352" s="172" t="s">
        <v>748</v>
      </c>
      <c r="M352" s="173" t="s">
        <v>649</v>
      </c>
      <c r="N352" s="174" t="s">
        <v>1601</v>
      </c>
      <c r="O352" s="174"/>
      <c r="P352" s="174"/>
      <c r="Q352" s="174"/>
      <c r="R352" s="174" t="s">
        <v>676</v>
      </c>
      <c r="S352" s="175" t="s">
        <v>1345</v>
      </c>
      <c r="T352" s="174" t="s">
        <v>678</v>
      </c>
    </row>
    <row r="353" spans="1:20" ht="51" customHeight="1">
      <c r="A353" s="159" t="s">
        <v>668</v>
      </c>
      <c r="B353" s="184" t="s">
        <v>669</v>
      </c>
      <c r="C353" s="154" t="s">
        <v>670</v>
      </c>
      <c r="D353" s="161" t="s">
        <v>1664</v>
      </c>
      <c r="E353" s="161" t="s">
        <v>1665</v>
      </c>
      <c r="F353" s="161" t="s">
        <v>706</v>
      </c>
      <c r="G353" s="161" t="s">
        <v>1666</v>
      </c>
      <c r="H353" s="161" t="s">
        <v>675</v>
      </c>
      <c r="I353" s="160">
        <v>5</v>
      </c>
      <c r="J353" s="154" t="s">
        <v>574</v>
      </c>
      <c r="K353" s="185"/>
      <c r="L353" s="163" t="s">
        <v>748</v>
      </c>
      <c r="M353" s="164" t="s">
        <v>649</v>
      </c>
      <c r="N353" s="165" t="s">
        <v>1601</v>
      </c>
      <c r="O353" s="165"/>
      <c r="P353" s="165"/>
      <c r="Q353" s="165"/>
      <c r="R353" s="165" t="s">
        <v>676</v>
      </c>
      <c r="S353" s="166" t="s">
        <v>1345</v>
      </c>
      <c r="T353" s="165" t="s">
        <v>678</v>
      </c>
    </row>
    <row r="354" spans="1:20" ht="38.25" customHeight="1">
      <c r="A354" s="169" t="s">
        <v>668</v>
      </c>
      <c r="B354" s="186" t="s">
        <v>669</v>
      </c>
      <c r="C354" s="156" t="s">
        <v>670</v>
      </c>
      <c r="D354" s="171" t="s">
        <v>1667</v>
      </c>
      <c r="E354" s="171" t="s">
        <v>1668</v>
      </c>
      <c r="F354" s="171" t="s">
        <v>706</v>
      </c>
      <c r="G354" s="171" t="s">
        <v>1624</v>
      </c>
      <c r="H354" s="171" t="s">
        <v>1624</v>
      </c>
      <c r="I354" s="170">
        <v>5</v>
      </c>
      <c r="J354" s="156" t="s">
        <v>574</v>
      </c>
      <c r="K354" s="187"/>
      <c r="L354" s="172" t="s">
        <v>748</v>
      </c>
      <c r="M354" s="173" t="s">
        <v>649</v>
      </c>
      <c r="N354" s="174" t="s">
        <v>1601</v>
      </c>
      <c r="O354" s="174"/>
      <c r="P354" s="174"/>
      <c r="Q354" s="174"/>
      <c r="R354" s="174" t="s">
        <v>676</v>
      </c>
      <c r="S354" s="175" t="s">
        <v>1345</v>
      </c>
      <c r="T354" s="174" t="s">
        <v>678</v>
      </c>
    </row>
    <row r="355" spans="1:20" ht="38.25" customHeight="1">
      <c r="A355" s="159" t="s">
        <v>668</v>
      </c>
      <c r="B355" s="184" t="s">
        <v>669</v>
      </c>
      <c r="C355" s="154" t="s">
        <v>670</v>
      </c>
      <c r="D355" s="161" t="s">
        <v>1669</v>
      </c>
      <c r="E355" s="161" t="s">
        <v>1670</v>
      </c>
      <c r="F355" s="161" t="s">
        <v>706</v>
      </c>
      <c r="G355" s="161" t="s">
        <v>732</v>
      </c>
      <c r="H355" s="161" t="s">
        <v>732</v>
      </c>
      <c r="I355" s="160">
        <v>5</v>
      </c>
      <c r="J355" s="154" t="s">
        <v>574</v>
      </c>
      <c r="K355" s="185"/>
      <c r="L355" s="163" t="s">
        <v>748</v>
      </c>
      <c r="M355" s="164" t="s">
        <v>649</v>
      </c>
      <c r="N355" s="165" t="s">
        <v>1601</v>
      </c>
      <c r="O355" s="165"/>
      <c r="P355" s="165"/>
      <c r="Q355" s="165"/>
      <c r="R355" s="165" t="s">
        <v>676</v>
      </c>
      <c r="S355" s="166" t="s">
        <v>1345</v>
      </c>
      <c r="T355" s="165" t="s">
        <v>678</v>
      </c>
    </row>
    <row r="356" spans="1:20" ht="38.25" customHeight="1">
      <c r="A356" s="169" t="s">
        <v>668</v>
      </c>
      <c r="B356" s="186" t="s">
        <v>669</v>
      </c>
      <c r="C356" s="156" t="s">
        <v>670</v>
      </c>
      <c r="D356" s="171" t="s">
        <v>1671</v>
      </c>
      <c r="E356" s="171" t="s">
        <v>1672</v>
      </c>
      <c r="F356" s="171" t="s">
        <v>706</v>
      </c>
      <c r="G356" s="171" t="s">
        <v>1673</v>
      </c>
      <c r="H356" s="171" t="s">
        <v>732</v>
      </c>
      <c r="I356" s="170">
        <v>5</v>
      </c>
      <c r="J356" s="156" t="s">
        <v>574</v>
      </c>
      <c r="K356" s="187"/>
      <c r="L356" s="172" t="s">
        <v>748</v>
      </c>
      <c r="M356" s="173" t="s">
        <v>649</v>
      </c>
      <c r="N356" s="174" t="s">
        <v>1601</v>
      </c>
      <c r="O356" s="174"/>
      <c r="P356" s="174"/>
      <c r="Q356" s="174"/>
      <c r="R356" s="174" t="s">
        <v>676</v>
      </c>
      <c r="S356" s="175" t="s">
        <v>1345</v>
      </c>
      <c r="T356" s="174" t="s">
        <v>678</v>
      </c>
    </row>
    <row r="357" spans="1:20" ht="38.25" customHeight="1">
      <c r="A357" s="159" t="s">
        <v>668</v>
      </c>
      <c r="B357" s="184" t="s">
        <v>669</v>
      </c>
      <c r="C357" s="154" t="s">
        <v>670</v>
      </c>
      <c r="D357" s="161" t="s">
        <v>1671</v>
      </c>
      <c r="E357" s="161" t="s">
        <v>1674</v>
      </c>
      <c r="F357" s="161" t="s">
        <v>706</v>
      </c>
      <c r="G357" s="161" t="s">
        <v>1673</v>
      </c>
      <c r="H357" s="161" t="s">
        <v>732</v>
      </c>
      <c r="I357" s="160">
        <v>5</v>
      </c>
      <c r="J357" s="154" t="s">
        <v>574</v>
      </c>
      <c r="K357" s="185"/>
      <c r="L357" s="163" t="s">
        <v>748</v>
      </c>
      <c r="M357" s="164" t="s">
        <v>649</v>
      </c>
      <c r="N357" s="165" t="s">
        <v>1601</v>
      </c>
      <c r="O357" s="165"/>
      <c r="P357" s="165"/>
      <c r="Q357" s="165"/>
      <c r="R357" s="165" t="s">
        <v>676</v>
      </c>
      <c r="S357" s="166" t="s">
        <v>1345</v>
      </c>
      <c r="T357" s="165" t="s">
        <v>678</v>
      </c>
    </row>
    <row r="358" spans="1:20" ht="51" customHeight="1">
      <c r="A358" s="169" t="s">
        <v>668</v>
      </c>
      <c r="B358" s="186" t="s">
        <v>669</v>
      </c>
      <c r="C358" s="156" t="s">
        <v>670</v>
      </c>
      <c r="D358" s="171" t="s">
        <v>1675</v>
      </c>
      <c r="E358" s="171" t="s">
        <v>1676</v>
      </c>
      <c r="F358" s="171" t="s">
        <v>1322</v>
      </c>
      <c r="G358" s="171" t="s">
        <v>1677</v>
      </c>
      <c r="H358" s="171" t="s">
        <v>732</v>
      </c>
      <c r="I358" s="170">
        <v>5</v>
      </c>
      <c r="J358" s="156" t="s">
        <v>574</v>
      </c>
      <c r="K358" s="187"/>
      <c r="L358" s="172" t="s">
        <v>748</v>
      </c>
      <c r="M358" s="173" t="s">
        <v>649</v>
      </c>
      <c r="N358" s="174" t="s">
        <v>1601</v>
      </c>
      <c r="O358" s="174"/>
      <c r="P358" s="174"/>
      <c r="Q358" s="174"/>
      <c r="R358" s="174" t="s">
        <v>676</v>
      </c>
      <c r="S358" s="175" t="s">
        <v>1345</v>
      </c>
      <c r="T358" s="174" t="s">
        <v>678</v>
      </c>
    </row>
    <row r="359" spans="1:20" ht="38.25" customHeight="1">
      <c r="A359" s="159" t="s">
        <v>668</v>
      </c>
      <c r="B359" s="184" t="s">
        <v>669</v>
      </c>
      <c r="C359" s="154" t="s">
        <v>670</v>
      </c>
      <c r="D359" s="161" t="s">
        <v>1678</v>
      </c>
      <c r="E359" s="161" t="s">
        <v>1679</v>
      </c>
      <c r="F359" s="161" t="s">
        <v>706</v>
      </c>
      <c r="G359" s="161" t="s">
        <v>1621</v>
      </c>
      <c r="H359" s="161" t="s">
        <v>747</v>
      </c>
      <c r="I359" s="160">
        <v>5</v>
      </c>
      <c r="J359" s="154" t="s">
        <v>574</v>
      </c>
      <c r="K359" s="185"/>
      <c r="L359" s="163" t="s">
        <v>748</v>
      </c>
      <c r="M359" s="164" t="s">
        <v>649</v>
      </c>
      <c r="N359" s="165" t="s">
        <v>1601</v>
      </c>
      <c r="O359" s="165"/>
      <c r="P359" s="165"/>
      <c r="Q359" s="165"/>
      <c r="R359" s="165" t="s">
        <v>676</v>
      </c>
      <c r="S359" s="166" t="s">
        <v>1345</v>
      </c>
      <c r="T359" s="165" t="s">
        <v>678</v>
      </c>
    </row>
    <row r="360" spans="1:20" ht="38.25" customHeight="1">
      <c r="A360" s="169" t="s">
        <v>668</v>
      </c>
      <c r="B360" s="186" t="s">
        <v>669</v>
      </c>
      <c r="C360" s="156" t="s">
        <v>670</v>
      </c>
      <c r="D360" s="171" t="s">
        <v>1680</v>
      </c>
      <c r="E360" s="171" t="s">
        <v>1681</v>
      </c>
      <c r="F360" s="171" t="s">
        <v>706</v>
      </c>
      <c r="G360" s="171" t="s">
        <v>752</v>
      </c>
      <c r="H360" s="171" t="s">
        <v>747</v>
      </c>
      <c r="I360" s="170">
        <v>5</v>
      </c>
      <c r="J360" s="156" t="s">
        <v>574</v>
      </c>
      <c r="K360" s="187"/>
      <c r="L360" s="172" t="s">
        <v>748</v>
      </c>
      <c r="M360" s="173" t="s">
        <v>649</v>
      </c>
      <c r="N360" s="174" t="s">
        <v>1601</v>
      </c>
      <c r="O360" s="174"/>
      <c r="P360" s="174"/>
      <c r="Q360" s="174"/>
      <c r="R360" s="174" t="s">
        <v>676</v>
      </c>
      <c r="S360" s="175" t="s">
        <v>1345</v>
      </c>
      <c r="T360" s="174" t="s">
        <v>678</v>
      </c>
    </row>
    <row r="361" spans="1:20" ht="38.25" customHeight="1">
      <c r="A361" s="159" t="s">
        <v>668</v>
      </c>
      <c r="B361" s="184" t="s">
        <v>669</v>
      </c>
      <c r="C361" s="154" t="s">
        <v>670</v>
      </c>
      <c r="D361" s="161" t="s">
        <v>1682</v>
      </c>
      <c r="E361" s="161" t="s">
        <v>1683</v>
      </c>
      <c r="F361" s="161" t="s">
        <v>706</v>
      </c>
      <c r="G361" s="161" t="s">
        <v>1684</v>
      </c>
      <c r="H361" s="161" t="s">
        <v>732</v>
      </c>
      <c r="I361" s="160">
        <v>5</v>
      </c>
      <c r="J361" s="154" t="s">
        <v>574</v>
      </c>
      <c r="K361" s="185"/>
      <c r="L361" s="163" t="s">
        <v>748</v>
      </c>
      <c r="M361" s="164" t="s">
        <v>649</v>
      </c>
      <c r="N361" s="165" t="s">
        <v>1601</v>
      </c>
      <c r="O361" s="165"/>
      <c r="P361" s="165"/>
      <c r="Q361" s="165"/>
      <c r="R361" s="165" t="s">
        <v>676</v>
      </c>
      <c r="S361" s="166" t="s">
        <v>1345</v>
      </c>
      <c r="T361" s="165" t="s">
        <v>678</v>
      </c>
    </row>
    <row r="362" spans="1:20" ht="38.25" customHeight="1">
      <c r="A362" s="169" t="s">
        <v>668</v>
      </c>
      <c r="B362" s="186" t="s">
        <v>669</v>
      </c>
      <c r="C362" s="156" t="s">
        <v>670</v>
      </c>
      <c r="D362" s="171" t="s">
        <v>1685</v>
      </c>
      <c r="E362" s="171" t="s">
        <v>1686</v>
      </c>
      <c r="F362" s="171" t="s">
        <v>706</v>
      </c>
      <c r="G362" s="171" t="s">
        <v>1532</v>
      </c>
      <c r="H362" s="171" t="s">
        <v>1577</v>
      </c>
      <c r="I362" s="170">
        <v>5</v>
      </c>
      <c r="J362" s="156" t="s">
        <v>574</v>
      </c>
      <c r="K362" s="187"/>
      <c r="L362" s="172" t="s">
        <v>748</v>
      </c>
      <c r="M362" s="173" t="s">
        <v>649</v>
      </c>
      <c r="N362" s="174" t="s">
        <v>1601</v>
      </c>
      <c r="O362" s="174"/>
      <c r="P362" s="174"/>
      <c r="Q362" s="174"/>
      <c r="R362" s="174" t="s">
        <v>676</v>
      </c>
      <c r="S362" s="175" t="s">
        <v>1345</v>
      </c>
      <c r="T362" s="174" t="s">
        <v>678</v>
      </c>
    </row>
    <row r="363" spans="1:20" ht="38.25" customHeight="1">
      <c r="A363" s="159" t="s">
        <v>668</v>
      </c>
      <c r="B363" s="184" t="s">
        <v>669</v>
      </c>
      <c r="C363" s="154" t="s">
        <v>670</v>
      </c>
      <c r="D363" s="161" t="s">
        <v>1687</v>
      </c>
      <c r="E363" s="161" t="s">
        <v>1688</v>
      </c>
      <c r="F363" s="161" t="s">
        <v>706</v>
      </c>
      <c r="G363" s="161" t="s">
        <v>1677</v>
      </c>
      <c r="H363" s="161" t="s">
        <v>732</v>
      </c>
      <c r="I363" s="160">
        <v>5</v>
      </c>
      <c r="J363" s="154" t="s">
        <v>574</v>
      </c>
      <c r="K363" s="185"/>
      <c r="L363" s="163" t="s">
        <v>748</v>
      </c>
      <c r="M363" s="164" t="s">
        <v>649</v>
      </c>
      <c r="N363" s="165" t="s">
        <v>1601</v>
      </c>
      <c r="O363" s="165"/>
      <c r="P363" s="165"/>
      <c r="Q363" s="165"/>
      <c r="R363" s="165" t="s">
        <v>676</v>
      </c>
      <c r="S363" s="166" t="s">
        <v>1345</v>
      </c>
      <c r="T363" s="165" t="s">
        <v>678</v>
      </c>
    </row>
    <row r="364" spans="1:20" ht="38.25" customHeight="1">
      <c r="A364" s="169" t="s">
        <v>668</v>
      </c>
      <c r="B364" s="186" t="s">
        <v>669</v>
      </c>
      <c r="C364" s="156" t="s">
        <v>670</v>
      </c>
      <c r="D364" s="171" t="s">
        <v>1689</v>
      </c>
      <c r="E364" s="171" t="s">
        <v>1690</v>
      </c>
      <c r="F364" s="171" t="s">
        <v>706</v>
      </c>
      <c r="G364" s="171" t="s">
        <v>1691</v>
      </c>
      <c r="H364" s="171" t="s">
        <v>732</v>
      </c>
      <c r="I364" s="170">
        <v>5</v>
      </c>
      <c r="J364" s="156" t="s">
        <v>574</v>
      </c>
      <c r="K364" s="187"/>
      <c r="L364" s="172" t="s">
        <v>748</v>
      </c>
      <c r="M364" s="173" t="s">
        <v>649</v>
      </c>
      <c r="N364" s="174" t="s">
        <v>1601</v>
      </c>
      <c r="O364" s="174"/>
      <c r="P364" s="174"/>
      <c r="Q364" s="174"/>
      <c r="R364" s="174" t="s">
        <v>676</v>
      </c>
      <c r="S364" s="175" t="s">
        <v>1345</v>
      </c>
      <c r="T364" s="174" t="s">
        <v>678</v>
      </c>
    </row>
    <row r="365" spans="1:20" ht="38.25" customHeight="1">
      <c r="A365" s="159" t="s">
        <v>668</v>
      </c>
      <c r="B365" s="184" t="s">
        <v>669</v>
      </c>
      <c r="C365" s="154" t="s">
        <v>670</v>
      </c>
      <c r="D365" s="161" t="s">
        <v>1692</v>
      </c>
      <c r="E365" s="161" t="s">
        <v>1693</v>
      </c>
      <c r="F365" s="161" t="s">
        <v>706</v>
      </c>
      <c r="G365" s="161" t="s">
        <v>1694</v>
      </c>
      <c r="H365" s="161" t="s">
        <v>675</v>
      </c>
      <c r="I365" s="160">
        <v>5</v>
      </c>
      <c r="J365" s="154" t="s">
        <v>574</v>
      </c>
      <c r="K365" s="185"/>
      <c r="L365" s="163" t="s">
        <v>748</v>
      </c>
      <c r="M365" s="164" t="s">
        <v>649</v>
      </c>
      <c r="N365" s="165" t="s">
        <v>1601</v>
      </c>
      <c r="O365" s="165"/>
      <c r="P365" s="165"/>
      <c r="Q365" s="165"/>
      <c r="R365" s="165" t="s">
        <v>676</v>
      </c>
      <c r="S365" s="166" t="s">
        <v>1345</v>
      </c>
      <c r="T365" s="165" t="s">
        <v>678</v>
      </c>
    </row>
    <row r="366" spans="1:20" ht="38.25" customHeight="1">
      <c r="A366" s="169" t="s">
        <v>668</v>
      </c>
      <c r="B366" s="186" t="s">
        <v>669</v>
      </c>
      <c r="C366" s="156" t="s">
        <v>670</v>
      </c>
      <c r="D366" s="171" t="s">
        <v>1695</v>
      </c>
      <c r="E366" s="171" t="s">
        <v>1696</v>
      </c>
      <c r="F366" s="171" t="s">
        <v>706</v>
      </c>
      <c r="G366" s="171" t="s">
        <v>1697</v>
      </c>
      <c r="H366" s="171" t="s">
        <v>675</v>
      </c>
      <c r="I366" s="170">
        <v>5</v>
      </c>
      <c r="J366" s="156" t="s">
        <v>574</v>
      </c>
      <c r="K366" s="187"/>
      <c r="L366" s="172" t="s">
        <v>748</v>
      </c>
      <c r="M366" s="173" t="s">
        <v>649</v>
      </c>
      <c r="N366" s="174" t="s">
        <v>1601</v>
      </c>
      <c r="O366" s="174"/>
      <c r="P366" s="174"/>
      <c r="Q366" s="174"/>
      <c r="R366" s="174" t="s">
        <v>676</v>
      </c>
      <c r="S366" s="175" t="s">
        <v>1345</v>
      </c>
      <c r="T366" s="174" t="s">
        <v>678</v>
      </c>
    </row>
    <row r="367" spans="1:20" ht="38.25" customHeight="1">
      <c r="A367" s="159" t="s">
        <v>668</v>
      </c>
      <c r="B367" s="184" t="s">
        <v>669</v>
      </c>
      <c r="C367" s="154" t="s">
        <v>670</v>
      </c>
      <c r="D367" s="161" t="s">
        <v>1698</v>
      </c>
      <c r="E367" s="161" t="s">
        <v>1699</v>
      </c>
      <c r="F367" s="161" t="s">
        <v>706</v>
      </c>
      <c r="G367" s="161" t="s">
        <v>1700</v>
      </c>
      <c r="H367" s="161" t="s">
        <v>675</v>
      </c>
      <c r="I367" s="160">
        <v>5</v>
      </c>
      <c r="J367" s="154" t="s">
        <v>574</v>
      </c>
      <c r="K367" s="185"/>
      <c r="L367" s="163" t="s">
        <v>748</v>
      </c>
      <c r="M367" s="164" t="s">
        <v>649</v>
      </c>
      <c r="N367" s="165" t="s">
        <v>1601</v>
      </c>
      <c r="O367" s="165"/>
      <c r="P367" s="165"/>
      <c r="Q367" s="165"/>
      <c r="R367" s="165" t="s">
        <v>676</v>
      </c>
      <c r="S367" s="166" t="s">
        <v>1345</v>
      </c>
      <c r="T367" s="165" t="s">
        <v>678</v>
      </c>
    </row>
    <row r="368" spans="1:20" ht="38.25" customHeight="1">
      <c r="A368" s="169" t="s">
        <v>668</v>
      </c>
      <c r="B368" s="186" t="s">
        <v>669</v>
      </c>
      <c r="C368" s="156" t="s">
        <v>670</v>
      </c>
      <c r="D368" s="171" t="s">
        <v>1701</v>
      </c>
      <c r="E368" s="171" t="s">
        <v>1702</v>
      </c>
      <c r="F368" s="171" t="s">
        <v>706</v>
      </c>
      <c r="G368" s="171" t="s">
        <v>1703</v>
      </c>
      <c r="H368" s="171" t="s">
        <v>675</v>
      </c>
      <c r="I368" s="170">
        <v>5</v>
      </c>
      <c r="J368" s="156" t="s">
        <v>574</v>
      </c>
      <c r="K368" s="187"/>
      <c r="L368" s="172" t="s">
        <v>748</v>
      </c>
      <c r="M368" s="173" t="s">
        <v>649</v>
      </c>
      <c r="N368" s="174" t="s">
        <v>1601</v>
      </c>
      <c r="O368" s="174"/>
      <c r="P368" s="174"/>
      <c r="Q368" s="174"/>
      <c r="R368" s="174" t="s">
        <v>676</v>
      </c>
      <c r="S368" s="175" t="s">
        <v>1345</v>
      </c>
      <c r="T368" s="174" t="s">
        <v>678</v>
      </c>
    </row>
    <row r="369" spans="1:20" ht="38.25" customHeight="1">
      <c r="A369" s="159" t="s">
        <v>668</v>
      </c>
      <c r="B369" s="184" t="s">
        <v>669</v>
      </c>
      <c r="C369" s="154" t="s">
        <v>670</v>
      </c>
      <c r="D369" s="161" t="s">
        <v>1704</v>
      </c>
      <c r="E369" s="161" t="s">
        <v>1705</v>
      </c>
      <c r="F369" s="161" t="s">
        <v>706</v>
      </c>
      <c r="G369" s="161" t="s">
        <v>1700</v>
      </c>
      <c r="H369" s="161" t="s">
        <v>675</v>
      </c>
      <c r="I369" s="160">
        <v>5</v>
      </c>
      <c r="J369" s="154" t="s">
        <v>574</v>
      </c>
      <c r="K369" s="185"/>
      <c r="L369" s="163" t="s">
        <v>748</v>
      </c>
      <c r="M369" s="164" t="s">
        <v>649</v>
      </c>
      <c r="N369" s="165" t="s">
        <v>1601</v>
      </c>
      <c r="O369" s="165"/>
      <c r="P369" s="165"/>
      <c r="Q369" s="165"/>
      <c r="R369" s="165" t="s">
        <v>676</v>
      </c>
      <c r="S369" s="166" t="s">
        <v>1345</v>
      </c>
      <c r="T369" s="165" t="s">
        <v>678</v>
      </c>
    </row>
    <row r="370" spans="1:20" ht="38.25" customHeight="1">
      <c r="A370" s="169" t="s">
        <v>668</v>
      </c>
      <c r="B370" s="186" t="s">
        <v>669</v>
      </c>
      <c r="C370" s="156" t="s">
        <v>670</v>
      </c>
      <c r="D370" s="171" t="s">
        <v>1706</v>
      </c>
      <c r="E370" s="171" t="s">
        <v>1707</v>
      </c>
      <c r="F370" s="171" t="s">
        <v>706</v>
      </c>
      <c r="G370" s="171" t="s">
        <v>1700</v>
      </c>
      <c r="H370" s="171" t="s">
        <v>675</v>
      </c>
      <c r="I370" s="170">
        <v>5</v>
      </c>
      <c r="J370" s="156" t="s">
        <v>574</v>
      </c>
      <c r="K370" s="187"/>
      <c r="L370" s="172" t="s">
        <v>748</v>
      </c>
      <c r="M370" s="173" t="s">
        <v>649</v>
      </c>
      <c r="N370" s="174" t="s">
        <v>1601</v>
      </c>
      <c r="O370" s="174"/>
      <c r="P370" s="174"/>
      <c r="Q370" s="174"/>
      <c r="R370" s="174" t="s">
        <v>676</v>
      </c>
      <c r="S370" s="175" t="s">
        <v>1345</v>
      </c>
      <c r="T370" s="174" t="s">
        <v>678</v>
      </c>
    </row>
    <row r="371" spans="1:20" ht="38.25" customHeight="1">
      <c r="A371" s="159" t="s">
        <v>668</v>
      </c>
      <c r="B371" s="184" t="s">
        <v>669</v>
      </c>
      <c r="C371" s="154" t="s">
        <v>670</v>
      </c>
      <c r="D371" s="161" t="s">
        <v>1708</v>
      </c>
      <c r="E371" s="161" t="s">
        <v>1709</v>
      </c>
      <c r="F371" s="161" t="s">
        <v>706</v>
      </c>
      <c r="G371" s="161" t="s">
        <v>1710</v>
      </c>
      <c r="H371" s="161" t="s">
        <v>1162</v>
      </c>
      <c r="I371" s="160">
        <v>5</v>
      </c>
      <c r="J371" s="154" t="s">
        <v>574</v>
      </c>
      <c r="K371" s="185"/>
      <c r="L371" s="163" t="s">
        <v>748</v>
      </c>
      <c r="M371" s="164" t="s">
        <v>649</v>
      </c>
      <c r="N371" s="165" t="s">
        <v>1601</v>
      </c>
      <c r="O371" s="165"/>
      <c r="P371" s="165"/>
      <c r="Q371" s="165"/>
      <c r="R371" s="165" t="s">
        <v>676</v>
      </c>
      <c r="S371" s="166" t="s">
        <v>1345</v>
      </c>
      <c r="T371" s="165" t="s">
        <v>678</v>
      </c>
    </row>
    <row r="372" spans="1:20" ht="38.25" customHeight="1">
      <c r="A372" s="169" t="s">
        <v>668</v>
      </c>
      <c r="B372" s="186" t="s">
        <v>669</v>
      </c>
      <c r="C372" s="156" t="s">
        <v>670</v>
      </c>
      <c r="D372" s="171" t="s">
        <v>1711</v>
      </c>
      <c r="E372" s="171" t="s">
        <v>1712</v>
      </c>
      <c r="F372" s="171" t="s">
        <v>706</v>
      </c>
      <c r="G372" s="171" t="s">
        <v>1713</v>
      </c>
      <c r="H372" s="171" t="s">
        <v>722</v>
      </c>
      <c r="I372" s="170">
        <v>5</v>
      </c>
      <c r="J372" s="156" t="s">
        <v>574</v>
      </c>
      <c r="K372" s="187"/>
      <c r="L372" s="172" t="s">
        <v>748</v>
      </c>
      <c r="M372" s="173" t="s">
        <v>649</v>
      </c>
      <c r="N372" s="174" t="s">
        <v>1601</v>
      </c>
      <c r="O372" s="174"/>
      <c r="P372" s="174"/>
      <c r="Q372" s="174"/>
      <c r="R372" s="174" t="s">
        <v>676</v>
      </c>
      <c r="S372" s="175" t="s">
        <v>1345</v>
      </c>
      <c r="T372" s="174" t="s">
        <v>678</v>
      </c>
    </row>
    <row r="373" spans="1:20" ht="38.25" customHeight="1">
      <c r="A373" s="159" t="s">
        <v>668</v>
      </c>
      <c r="B373" s="184" t="s">
        <v>669</v>
      </c>
      <c r="C373" s="154" t="s">
        <v>670</v>
      </c>
      <c r="D373" s="161" t="s">
        <v>1714</v>
      </c>
      <c r="E373" s="161" t="s">
        <v>1715</v>
      </c>
      <c r="F373" s="161" t="s">
        <v>706</v>
      </c>
      <c r="G373" s="161" t="s">
        <v>876</v>
      </c>
      <c r="H373" s="161" t="s">
        <v>722</v>
      </c>
      <c r="I373" s="160">
        <v>5</v>
      </c>
      <c r="J373" s="154" t="s">
        <v>574</v>
      </c>
      <c r="K373" s="185"/>
      <c r="L373" s="163" t="s">
        <v>748</v>
      </c>
      <c r="M373" s="164" t="s">
        <v>649</v>
      </c>
      <c r="N373" s="165" t="s">
        <v>1601</v>
      </c>
      <c r="O373" s="165"/>
      <c r="P373" s="165"/>
      <c r="Q373" s="165"/>
      <c r="R373" s="165" t="s">
        <v>676</v>
      </c>
      <c r="S373" s="166" t="s">
        <v>1345</v>
      </c>
      <c r="T373" s="165" t="s">
        <v>678</v>
      </c>
    </row>
    <row r="374" spans="1:20" ht="38.25" customHeight="1">
      <c r="A374" s="169" t="s">
        <v>668</v>
      </c>
      <c r="B374" s="186" t="s">
        <v>669</v>
      </c>
      <c r="C374" s="156" t="s">
        <v>670</v>
      </c>
      <c r="D374" s="171" t="s">
        <v>1706</v>
      </c>
      <c r="E374" s="171" t="s">
        <v>1716</v>
      </c>
      <c r="F374" s="171" t="s">
        <v>706</v>
      </c>
      <c r="G374" s="171" t="s">
        <v>1700</v>
      </c>
      <c r="H374" s="171" t="s">
        <v>675</v>
      </c>
      <c r="I374" s="170">
        <v>5</v>
      </c>
      <c r="J374" s="156" t="s">
        <v>574</v>
      </c>
      <c r="K374" s="187"/>
      <c r="L374" s="172" t="s">
        <v>748</v>
      </c>
      <c r="M374" s="173" t="s">
        <v>649</v>
      </c>
      <c r="N374" s="174" t="s">
        <v>1601</v>
      </c>
      <c r="O374" s="174"/>
      <c r="P374" s="174"/>
      <c r="Q374" s="174"/>
      <c r="R374" s="174" t="s">
        <v>676</v>
      </c>
      <c r="S374" s="175" t="s">
        <v>1345</v>
      </c>
      <c r="T374" s="174" t="s">
        <v>678</v>
      </c>
    </row>
    <row r="375" spans="1:20" ht="38.25" customHeight="1">
      <c r="A375" s="159" t="s">
        <v>668</v>
      </c>
      <c r="B375" s="184" t="s">
        <v>669</v>
      </c>
      <c r="C375" s="154" t="s">
        <v>670</v>
      </c>
      <c r="D375" s="161" t="s">
        <v>1714</v>
      </c>
      <c r="E375" s="161" t="s">
        <v>1717</v>
      </c>
      <c r="F375" s="161" t="s">
        <v>706</v>
      </c>
      <c r="G375" s="161" t="s">
        <v>876</v>
      </c>
      <c r="H375" s="161" t="s">
        <v>722</v>
      </c>
      <c r="I375" s="160">
        <v>5</v>
      </c>
      <c r="J375" s="154" t="s">
        <v>574</v>
      </c>
      <c r="K375" s="185"/>
      <c r="L375" s="163" t="s">
        <v>748</v>
      </c>
      <c r="M375" s="164" t="s">
        <v>649</v>
      </c>
      <c r="N375" s="165" t="s">
        <v>1601</v>
      </c>
      <c r="O375" s="165"/>
      <c r="P375" s="165"/>
      <c r="Q375" s="165"/>
      <c r="R375" s="165" t="s">
        <v>676</v>
      </c>
      <c r="S375" s="166" t="s">
        <v>1345</v>
      </c>
      <c r="T375" s="165" t="s">
        <v>678</v>
      </c>
    </row>
    <row r="376" spans="1:20" ht="38.25" customHeight="1">
      <c r="A376" s="169" t="s">
        <v>668</v>
      </c>
      <c r="B376" s="186" t="s">
        <v>669</v>
      </c>
      <c r="C376" s="156" t="s">
        <v>670</v>
      </c>
      <c r="D376" s="171" t="s">
        <v>1718</v>
      </c>
      <c r="E376" s="171" t="s">
        <v>1719</v>
      </c>
      <c r="F376" s="171" t="s">
        <v>706</v>
      </c>
      <c r="G376" s="171" t="s">
        <v>889</v>
      </c>
      <c r="H376" s="171" t="s">
        <v>1162</v>
      </c>
      <c r="I376" s="170">
        <v>5</v>
      </c>
      <c r="J376" s="156" t="s">
        <v>574</v>
      </c>
      <c r="K376" s="187"/>
      <c r="L376" s="172" t="s">
        <v>748</v>
      </c>
      <c r="M376" s="173" t="s">
        <v>649</v>
      </c>
      <c r="N376" s="174" t="s">
        <v>1601</v>
      </c>
      <c r="O376" s="174"/>
      <c r="P376" s="174"/>
      <c r="Q376" s="174"/>
      <c r="R376" s="174" t="s">
        <v>676</v>
      </c>
      <c r="S376" s="175" t="s">
        <v>1345</v>
      </c>
      <c r="T376" s="174" t="s">
        <v>678</v>
      </c>
    </row>
    <row r="377" spans="1:20" ht="38.25" customHeight="1">
      <c r="A377" s="159" t="s">
        <v>668</v>
      </c>
      <c r="B377" s="184" t="s">
        <v>669</v>
      </c>
      <c r="C377" s="154" t="s">
        <v>670</v>
      </c>
      <c r="D377" s="161" t="s">
        <v>1720</v>
      </c>
      <c r="E377" s="161" t="s">
        <v>1721</v>
      </c>
      <c r="F377" s="161" t="s">
        <v>706</v>
      </c>
      <c r="G377" s="161" t="s">
        <v>876</v>
      </c>
      <c r="H377" s="161" t="s">
        <v>1722</v>
      </c>
      <c r="I377" s="160">
        <v>5</v>
      </c>
      <c r="J377" s="154" t="s">
        <v>574</v>
      </c>
      <c r="K377" s="185"/>
      <c r="L377" s="163" t="s">
        <v>748</v>
      </c>
      <c r="M377" s="164" t="s">
        <v>649</v>
      </c>
      <c r="N377" s="165" t="s">
        <v>1601</v>
      </c>
      <c r="O377" s="165"/>
      <c r="P377" s="165"/>
      <c r="Q377" s="165"/>
      <c r="R377" s="165" t="s">
        <v>676</v>
      </c>
      <c r="S377" s="166" t="s">
        <v>1345</v>
      </c>
      <c r="T377" s="165" t="s">
        <v>678</v>
      </c>
    </row>
    <row r="378" spans="1:20" ht="38.25" customHeight="1">
      <c r="A378" s="169" t="s">
        <v>668</v>
      </c>
      <c r="B378" s="186" t="s">
        <v>669</v>
      </c>
      <c r="C378" s="156" t="s">
        <v>670</v>
      </c>
      <c r="D378" s="171" t="s">
        <v>1723</v>
      </c>
      <c r="E378" s="171" t="s">
        <v>1724</v>
      </c>
      <c r="F378" s="171" t="s">
        <v>706</v>
      </c>
      <c r="G378" s="171" t="s">
        <v>1725</v>
      </c>
      <c r="H378" s="171" t="s">
        <v>1722</v>
      </c>
      <c r="I378" s="170">
        <v>5</v>
      </c>
      <c r="J378" s="156" t="s">
        <v>574</v>
      </c>
      <c r="K378" s="187"/>
      <c r="L378" s="172" t="s">
        <v>748</v>
      </c>
      <c r="M378" s="173" t="s">
        <v>649</v>
      </c>
      <c r="N378" s="174" t="s">
        <v>1601</v>
      </c>
      <c r="O378" s="174"/>
      <c r="P378" s="174"/>
      <c r="Q378" s="174"/>
      <c r="R378" s="174" t="s">
        <v>676</v>
      </c>
      <c r="S378" s="175" t="s">
        <v>1345</v>
      </c>
      <c r="T378" s="174" t="s">
        <v>678</v>
      </c>
    </row>
    <row r="379" spans="1:20" ht="38.25" customHeight="1">
      <c r="A379" s="159" t="s">
        <v>668</v>
      </c>
      <c r="B379" s="184" t="s">
        <v>669</v>
      </c>
      <c r="C379" s="154" t="s">
        <v>670</v>
      </c>
      <c r="D379" s="161" t="s">
        <v>1726</v>
      </c>
      <c r="E379" s="161" t="s">
        <v>1727</v>
      </c>
      <c r="F379" s="161" t="s">
        <v>1465</v>
      </c>
      <c r="G379" s="161"/>
      <c r="H379" s="161" t="s">
        <v>1722</v>
      </c>
      <c r="I379" s="160">
        <v>5</v>
      </c>
      <c r="J379" s="154" t="s">
        <v>574</v>
      </c>
      <c r="K379" s="185"/>
      <c r="L379" s="163" t="s">
        <v>748</v>
      </c>
      <c r="M379" s="164" t="s">
        <v>649</v>
      </c>
      <c r="N379" s="165" t="s">
        <v>1601</v>
      </c>
      <c r="O379" s="165"/>
      <c r="P379" s="165"/>
      <c r="Q379" s="165"/>
      <c r="R379" s="165" t="s">
        <v>676</v>
      </c>
      <c r="S379" s="166" t="s">
        <v>1345</v>
      </c>
      <c r="T379" s="165" t="s">
        <v>678</v>
      </c>
    </row>
    <row r="380" spans="1:20" ht="38.25" customHeight="1">
      <c r="A380" s="169" t="s">
        <v>668</v>
      </c>
      <c r="B380" s="186" t="s">
        <v>669</v>
      </c>
      <c r="C380" s="156" t="s">
        <v>670</v>
      </c>
      <c r="D380" s="171" t="s">
        <v>1726</v>
      </c>
      <c r="E380" s="171" t="s">
        <v>1728</v>
      </c>
      <c r="F380" s="171" t="s">
        <v>706</v>
      </c>
      <c r="G380" s="171"/>
      <c r="H380" s="171" t="s">
        <v>1722</v>
      </c>
      <c r="I380" s="170">
        <v>5</v>
      </c>
      <c r="J380" s="156" t="s">
        <v>574</v>
      </c>
      <c r="K380" s="187"/>
      <c r="L380" s="172" t="s">
        <v>748</v>
      </c>
      <c r="M380" s="173" t="s">
        <v>649</v>
      </c>
      <c r="N380" s="174" t="s">
        <v>1601</v>
      </c>
      <c r="O380" s="174"/>
      <c r="P380" s="174"/>
      <c r="Q380" s="174"/>
      <c r="R380" s="174" t="s">
        <v>676</v>
      </c>
      <c r="S380" s="175" t="s">
        <v>1345</v>
      </c>
      <c r="T380" s="174" t="s">
        <v>678</v>
      </c>
    </row>
    <row r="381" spans="1:20" ht="38.25" customHeight="1">
      <c r="A381" s="159" t="s">
        <v>668</v>
      </c>
      <c r="B381" s="184" t="s">
        <v>669</v>
      </c>
      <c r="C381" s="154" t="s">
        <v>670</v>
      </c>
      <c r="D381" s="161" t="s">
        <v>1729</v>
      </c>
      <c r="E381" s="161" t="s">
        <v>1730</v>
      </c>
      <c r="F381" s="161" t="s">
        <v>706</v>
      </c>
      <c r="G381" s="161" t="s">
        <v>716</v>
      </c>
      <c r="H381" s="161" t="s">
        <v>716</v>
      </c>
      <c r="I381" s="160">
        <v>5</v>
      </c>
      <c r="J381" s="154" t="s">
        <v>574</v>
      </c>
      <c r="K381" s="185"/>
      <c r="L381" s="163" t="s">
        <v>748</v>
      </c>
      <c r="M381" s="164" t="s">
        <v>649</v>
      </c>
      <c r="N381" s="165" t="s">
        <v>1601</v>
      </c>
      <c r="O381" s="165"/>
      <c r="P381" s="165"/>
      <c r="Q381" s="165"/>
      <c r="R381" s="165" t="s">
        <v>676</v>
      </c>
      <c r="S381" s="166" t="s">
        <v>1345</v>
      </c>
      <c r="T381" s="165" t="s">
        <v>678</v>
      </c>
    </row>
    <row r="382" spans="1:20" ht="38.25" customHeight="1">
      <c r="A382" s="169" t="s">
        <v>668</v>
      </c>
      <c r="B382" s="186" t="s">
        <v>669</v>
      </c>
      <c r="C382" s="156" t="s">
        <v>670</v>
      </c>
      <c r="D382" s="171" t="s">
        <v>1731</v>
      </c>
      <c r="E382" s="171" t="s">
        <v>1732</v>
      </c>
      <c r="F382" s="171" t="s">
        <v>706</v>
      </c>
      <c r="G382" s="171" t="s">
        <v>1733</v>
      </c>
      <c r="H382" s="171" t="s">
        <v>1722</v>
      </c>
      <c r="I382" s="170">
        <v>5</v>
      </c>
      <c r="J382" s="156" t="s">
        <v>574</v>
      </c>
      <c r="K382" s="187"/>
      <c r="L382" s="172" t="s">
        <v>748</v>
      </c>
      <c r="M382" s="173" t="s">
        <v>649</v>
      </c>
      <c r="N382" s="174" t="s">
        <v>1601</v>
      </c>
      <c r="O382" s="174"/>
      <c r="P382" s="174"/>
      <c r="Q382" s="174"/>
      <c r="R382" s="174" t="s">
        <v>676</v>
      </c>
      <c r="S382" s="175" t="s">
        <v>1345</v>
      </c>
      <c r="T382" s="174" t="s">
        <v>678</v>
      </c>
    </row>
    <row r="383" spans="1:20" ht="38.25" customHeight="1">
      <c r="A383" s="159" t="s">
        <v>668</v>
      </c>
      <c r="B383" s="184" t="s">
        <v>669</v>
      </c>
      <c r="C383" s="154" t="s">
        <v>670</v>
      </c>
      <c r="D383" s="161" t="s">
        <v>1734</v>
      </c>
      <c r="E383" s="161" t="s">
        <v>1735</v>
      </c>
      <c r="F383" s="161" t="s">
        <v>706</v>
      </c>
      <c r="G383" s="161" t="s">
        <v>876</v>
      </c>
      <c r="H383" s="161" t="s">
        <v>1722</v>
      </c>
      <c r="I383" s="160">
        <v>5</v>
      </c>
      <c r="J383" s="154" t="s">
        <v>574</v>
      </c>
      <c r="K383" s="185"/>
      <c r="L383" s="163" t="s">
        <v>748</v>
      </c>
      <c r="M383" s="164" t="s">
        <v>649</v>
      </c>
      <c r="N383" s="165" t="s">
        <v>1601</v>
      </c>
      <c r="O383" s="165"/>
      <c r="P383" s="165"/>
      <c r="Q383" s="165"/>
      <c r="R383" s="165" t="s">
        <v>676</v>
      </c>
      <c r="S383" s="166" t="s">
        <v>1345</v>
      </c>
      <c r="T383" s="165" t="s">
        <v>678</v>
      </c>
    </row>
    <row r="384" spans="1:20" ht="38.25" customHeight="1">
      <c r="A384" s="169" t="s">
        <v>668</v>
      </c>
      <c r="B384" s="186" t="s">
        <v>669</v>
      </c>
      <c r="C384" s="156" t="s">
        <v>670</v>
      </c>
      <c r="D384" s="171" t="s">
        <v>1729</v>
      </c>
      <c r="E384" s="171" t="s">
        <v>1736</v>
      </c>
      <c r="F384" s="171" t="s">
        <v>1465</v>
      </c>
      <c r="G384" s="171" t="s">
        <v>716</v>
      </c>
      <c r="H384" s="171" t="s">
        <v>716</v>
      </c>
      <c r="I384" s="170">
        <v>5</v>
      </c>
      <c r="J384" s="156" t="s">
        <v>574</v>
      </c>
      <c r="K384" s="187"/>
      <c r="L384" s="172" t="s">
        <v>748</v>
      </c>
      <c r="M384" s="173" t="s">
        <v>649</v>
      </c>
      <c r="N384" s="174" t="s">
        <v>1601</v>
      </c>
      <c r="O384" s="174"/>
      <c r="P384" s="174"/>
      <c r="Q384" s="174"/>
      <c r="R384" s="174" t="s">
        <v>676</v>
      </c>
      <c r="S384" s="175" t="s">
        <v>1345</v>
      </c>
      <c r="T384" s="174" t="s">
        <v>678</v>
      </c>
    </row>
    <row r="385" spans="1:20" ht="38.25" customHeight="1">
      <c r="A385" s="159" t="s">
        <v>668</v>
      </c>
      <c r="B385" s="184" t="s">
        <v>669</v>
      </c>
      <c r="C385" s="154" t="s">
        <v>670</v>
      </c>
      <c r="D385" s="161" t="s">
        <v>1737</v>
      </c>
      <c r="E385" s="161" t="s">
        <v>1738</v>
      </c>
      <c r="F385" s="161" t="s">
        <v>706</v>
      </c>
      <c r="G385" s="161" t="s">
        <v>1739</v>
      </c>
      <c r="H385" s="161" t="s">
        <v>732</v>
      </c>
      <c r="I385" s="160">
        <v>23</v>
      </c>
      <c r="J385" s="154" t="s">
        <v>574</v>
      </c>
      <c r="K385" s="185"/>
      <c r="L385" s="163" t="s">
        <v>748</v>
      </c>
      <c r="M385" s="164" t="s">
        <v>649</v>
      </c>
      <c r="N385" s="165" t="s">
        <v>733</v>
      </c>
      <c r="O385" s="165" t="s">
        <v>734</v>
      </c>
      <c r="P385" s="165" t="s">
        <v>735</v>
      </c>
      <c r="Q385" s="188">
        <v>42270</v>
      </c>
      <c r="R385" s="165" t="s">
        <v>736</v>
      </c>
      <c r="S385" s="166" t="s">
        <v>737</v>
      </c>
      <c r="T385" s="165" t="s">
        <v>678</v>
      </c>
    </row>
    <row r="386" spans="1:20" ht="38.25" customHeight="1">
      <c r="A386" s="169" t="s">
        <v>668</v>
      </c>
      <c r="B386" s="186" t="s">
        <v>669</v>
      </c>
      <c r="C386" s="156" t="s">
        <v>670</v>
      </c>
      <c r="D386" s="171" t="s">
        <v>1740</v>
      </c>
      <c r="E386" s="171" t="s">
        <v>1741</v>
      </c>
      <c r="F386" s="171" t="s">
        <v>1343</v>
      </c>
      <c r="G386" s="171"/>
      <c r="H386" s="171" t="s">
        <v>732</v>
      </c>
      <c r="I386" s="170">
        <v>24</v>
      </c>
      <c r="J386" s="156" t="s">
        <v>574</v>
      </c>
      <c r="K386" s="187"/>
      <c r="L386" s="172" t="s">
        <v>748</v>
      </c>
      <c r="M386" s="173" t="s">
        <v>649</v>
      </c>
      <c r="N386" s="174" t="s">
        <v>733</v>
      </c>
      <c r="O386" s="174" t="s">
        <v>734</v>
      </c>
      <c r="P386" s="174" t="s">
        <v>735</v>
      </c>
      <c r="Q386" s="183">
        <v>42270</v>
      </c>
      <c r="R386" s="174" t="s">
        <v>736</v>
      </c>
      <c r="S386" s="175" t="s">
        <v>1334</v>
      </c>
      <c r="T386" s="174" t="s">
        <v>678</v>
      </c>
    </row>
    <row r="387" spans="1:20" ht="38.25" customHeight="1">
      <c r="A387" s="159" t="s">
        <v>668</v>
      </c>
      <c r="B387" s="184" t="s">
        <v>669</v>
      </c>
      <c r="C387" s="154" t="s">
        <v>670</v>
      </c>
      <c r="D387" s="161" t="s">
        <v>1742</v>
      </c>
      <c r="E387" s="161" t="s">
        <v>1743</v>
      </c>
      <c r="F387" s="161" t="s">
        <v>706</v>
      </c>
      <c r="G387" s="161" t="s">
        <v>1739</v>
      </c>
      <c r="H387" s="161" t="s">
        <v>732</v>
      </c>
      <c r="I387" s="160">
        <v>23</v>
      </c>
      <c r="J387" s="154" t="s">
        <v>574</v>
      </c>
      <c r="K387" s="185"/>
      <c r="L387" s="163" t="s">
        <v>748</v>
      </c>
      <c r="M387" s="164" t="s">
        <v>649</v>
      </c>
      <c r="N387" s="165" t="s">
        <v>733</v>
      </c>
      <c r="O387" s="165" t="s">
        <v>734</v>
      </c>
      <c r="P387" s="165" t="s">
        <v>735</v>
      </c>
      <c r="Q387" s="188">
        <v>42270</v>
      </c>
      <c r="R387" s="165" t="s">
        <v>736</v>
      </c>
      <c r="S387" s="166" t="s">
        <v>737</v>
      </c>
      <c r="T387" s="165" t="s">
        <v>678</v>
      </c>
    </row>
    <row r="388" spans="1:20" ht="38.25" customHeight="1">
      <c r="A388" s="169" t="s">
        <v>668</v>
      </c>
      <c r="B388" s="186" t="s">
        <v>669</v>
      </c>
      <c r="C388" s="156" t="s">
        <v>670</v>
      </c>
      <c r="D388" s="171" t="s">
        <v>1744</v>
      </c>
      <c r="E388" s="171" t="s">
        <v>1745</v>
      </c>
      <c r="F388" s="171" t="s">
        <v>706</v>
      </c>
      <c r="G388" s="171" t="s">
        <v>1476</v>
      </c>
      <c r="H388" s="171" t="s">
        <v>732</v>
      </c>
      <c r="I388" s="170">
        <v>24</v>
      </c>
      <c r="J388" s="156" t="s">
        <v>574</v>
      </c>
      <c r="K388" s="187"/>
      <c r="L388" s="172" t="s">
        <v>748</v>
      </c>
      <c r="M388" s="173" t="s">
        <v>649</v>
      </c>
      <c r="N388" s="174" t="s">
        <v>733</v>
      </c>
      <c r="O388" s="174" t="s">
        <v>734</v>
      </c>
      <c r="P388" s="174" t="s">
        <v>735</v>
      </c>
      <c r="Q388" s="183">
        <v>42270</v>
      </c>
      <c r="R388" s="174" t="s">
        <v>736</v>
      </c>
      <c r="S388" s="175" t="s">
        <v>1334</v>
      </c>
      <c r="T388" s="174" t="s">
        <v>678</v>
      </c>
    </row>
    <row r="389" spans="1:20" ht="38.25" customHeight="1">
      <c r="A389" s="159" t="s">
        <v>668</v>
      </c>
      <c r="B389" s="184" t="s">
        <v>669</v>
      </c>
      <c r="C389" s="154" t="s">
        <v>670</v>
      </c>
      <c r="D389" s="161" t="s">
        <v>1746</v>
      </c>
      <c r="E389" s="161" t="s">
        <v>1747</v>
      </c>
      <c r="F389" s="161" t="s">
        <v>740</v>
      </c>
      <c r="G389" s="161" t="s">
        <v>1739</v>
      </c>
      <c r="H389" s="161" t="s">
        <v>732</v>
      </c>
      <c r="I389" s="160">
        <v>5</v>
      </c>
      <c r="J389" s="154" t="s">
        <v>574</v>
      </c>
      <c r="K389" s="185"/>
      <c r="L389" s="163" t="s">
        <v>748</v>
      </c>
      <c r="M389" s="164" t="s">
        <v>649</v>
      </c>
      <c r="N389" s="165" t="s">
        <v>733</v>
      </c>
      <c r="O389" s="165" t="s">
        <v>734</v>
      </c>
      <c r="P389" s="165" t="s">
        <v>735</v>
      </c>
      <c r="Q389" s="188">
        <v>42270</v>
      </c>
      <c r="R389" s="165" t="s">
        <v>736</v>
      </c>
      <c r="S389" s="166" t="s">
        <v>1748</v>
      </c>
      <c r="T389" s="165" t="s">
        <v>678</v>
      </c>
    </row>
    <row r="390" spans="1:20" ht="38.25" customHeight="1">
      <c r="A390" s="169" t="s">
        <v>668</v>
      </c>
      <c r="B390" s="186" t="s">
        <v>669</v>
      </c>
      <c r="C390" s="156" t="s">
        <v>670</v>
      </c>
      <c r="D390" s="171" t="s">
        <v>1749</v>
      </c>
      <c r="E390" s="171" t="s">
        <v>1750</v>
      </c>
      <c r="F390" s="171" t="s">
        <v>706</v>
      </c>
      <c r="G390" s="171" t="s">
        <v>697</v>
      </c>
      <c r="H390" s="171" t="s">
        <v>675</v>
      </c>
      <c r="I390" s="170">
        <v>24</v>
      </c>
      <c r="J390" s="156" t="s">
        <v>574</v>
      </c>
      <c r="K390" s="187"/>
      <c r="L390" s="172" t="s">
        <v>748</v>
      </c>
      <c r="M390" s="173" t="s">
        <v>649</v>
      </c>
      <c r="N390" s="174" t="s">
        <v>733</v>
      </c>
      <c r="O390" s="174" t="s">
        <v>734</v>
      </c>
      <c r="P390" s="174" t="s">
        <v>735</v>
      </c>
      <c r="Q390" s="183">
        <v>42270</v>
      </c>
      <c r="R390" s="174" t="s">
        <v>736</v>
      </c>
      <c r="S390" s="175" t="s">
        <v>1334</v>
      </c>
      <c r="T390" s="174" t="s">
        <v>678</v>
      </c>
    </row>
    <row r="391" spans="1:20" ht="38.25" customHeight="1">
      <c r="A391" s="159" t="s">
        <v>668</v>
      </c>
      <c r="B391" s="184" t="s">
        <v>669</v>
      </c>
      <c r="C391" s="154" t="s">
        <v>670</v>
      </c>
      <c r="D391" s="161" t="s">
        <v>1751</v>
      </c>
      <c r="E391" s="161" t="s">
        <v>1752</v>
      </c>
      <c r="F391" s="161" t="s">
        <v>706</v>
      </c>
      <c r="G391" s="161" t="s">
        <v>1753</v>
      </c>
      <c r="H391" s="161" t="s">
        <v>675</v>
      </c>
      <c r="I391" s="160">
        <v>5</v>
      </c>
      <c r="J391" s="154" t="s">
        <v>574</v>
      </c>
      <c r="K391" s="185"/>
      <c r="L391" s="163" t="s">
        <v>748</v>
      </c>
      <c r="M391" s="164" t="s">
        <v>649</v>
      </c>
      <c r="N391" s="165" t="s">
        <v>733</v>
      </c>
      <c r="O391" s="165" t="s">
        <v>734</v>
      </c>
      <c r="P391" s="165" t="s">
        <v>735</v>
      </c>
      <c r="Q391" s="188">
        <v>42270</v>
      </c>
      <c r="R391" s="165" t="s">
        <v>736</v>
      </c>
      <c r="S391" s="166" t="s">
        <v>1748</v>
      </c>
      <c r="T391" s="165" t="s">
        <v>678</v>
      </c>
    </row>
    <row r="392" spans="1:20" ht="38.25" customHeight="1">
      <c r="A392" s="169" t="s">
        <v>668</v>
      </c>
      <c r="B392" s="186" t="s">
        <v>669</v>
      </c>
      <c r="C392" s="156" t="s">
        <v>670</v>
      </c>
      <c r="D392" s="171" t="s">
        <v>1751</v>
      </c>
      <c r="E392" s="171" t="s">
        <v>1754</v>
      </c>
      <c r="F392" s="171" t="s">
        <v>706</v>
      </c>
      <c r="G392" s="171" t="s">
        <v>1753</v>
      </c>
      <c r="H392" s="171" t="s">
        <v>675</v>
      </c>
      <c r="I392" s="170">
        <v>5</v>
      </c>
      <c r="J392" s="156" t="s">
        <v>574</v>
      </c>
      <c r="K392" s="187"/>
      <c r="L392" s="172" t="s">
        <v>748</v>
      </c>
      <c r="M392" s="173" t="s">
        <v>649</v>
      </c>
      <c r="N392" s="174" t="s">
        <v>733</v>
      </c>
      <c r="O392" s="174" t="s">
        <v>734</v>
      </c>
      <c r="P392" s="174" t="s">
        <v>735</v>
      </c>
      <c r="Q392" s="183">
        <v>42270</v>
      </c>
      <c r="R392" s="174" t="s">
        <v>736</v>
      </c>
      <c r="S392" s="175" t="s">
        <v>1748</v>
      </c>
      <c r="T392" s="174" t="s">
        <v>678</v>
      </c>
    </row>
    <row r="393" spans="1:20" ht="51" customHeight="1">
      <c r="A393" s="159" t="s">
        <v>668</v>
      </c>
      <c r="B393" s="184" t="s">
        <v>669</v>
      </c>
      <c r="C393" s="154" t="s">
        <v>670</v>
      </c>
      <c r="D393" s="161" t="s">
        <v>1755</v>
      </c>
      <c r="E393" s="161" t="s">
        <v>1756</v>
      </c>
      <c r="F393" s="161" t="s">
        <v>1322</v>
      </c>
      <c r="G393" s="161" t="s">
        <v>1757</v>
      </c>
      <c r="H393" s="161" t="s">
        <v>675</v>
      </c>
      <c r="I393" s="160">
        <v>5</v>
      </c>
      <c r="J393" s="154" t="s">
        <v>574</v>
      </c>
      <c r="K393" s="185"/>
      <c r="L393" s="163" t="s">
        <v>748</v>
      </c>
      <c r="M393" s="164" t="s">
        <v>649</v>
      </c>
      <c r="N393" s="165" t="s">
        <v>733</v>
      </c>
      <c r="O393" s="165" t="s">
        <v>734</v>
      </c>
      <c r="P393" s="165" t="s">
        <v>735</v>
      </c>
      <c r="Q393" s="188">
        <v>42270</v>
      </c>
      <c r="R393" s="165" t="s">
        <v>736</v>
      </c>
      <c r="S393" s="166" t="s">
        <v>1748</v>
      </c>
      <c r="T393" s="165" t="s">
        <v>678</v>
      </c>
    </row>
    <row r="394" spans="1:20" ht="38.25" customHeight="1">
      <c r="A394" s="169" t="s">
        <v>668</v>
      </c>
      <c r="B394" s="186" t="s">
        <v>669</v>
      </c>
      <c r="C394" s="156" t="s">
        <v>670</v>
      </c>
      <c r="D394" s="171" t="s">
        <v>1758</v>
      </c>
      <c r="E394" s="171" t="s">
        <v>1759</v>
      </c>
      <c r="F394" s="171" t="s">
        <v>706</v>
      </c>
      <c r="G394" s="171" t="s">
        <v>1760</v>
      </c>
      <c r="H394" s="171" t="s">
        <v>675</v>
      </c>
      <c r="I394" s="170">
        <v>24</v>
      </c>
      <c r="J394" s="156" t="s">
        <v>574</v>
      </c>
      <c r="K394" s="187"/>
      <c r="L394" s="172" t="s">
        <v>748</v>
      </c>
      <c r="M394" s="173" t="s">
        <v>649</v>
      </c>
      <c r="N394" s="174" t="s">
        <v>733</v>
      </c>
      <c r="O394" s="174" t="s">
        <v>734</v>
      </c>
      <c r="P394" s="174" t="s">
        <v>735</v>
      </c>
      <c r="Q394" s="183">
        <v>42270</v>
      </c>
      <c r="R394" s="174" t="s">
        <v>736</v>
      </c>
      <c r="S394" s="175" t="s">
        <v>1334</v>
      </c>
      <c r="T394" s="174" t="s">
        <v>678</v>
      </c>
    </row>
    <row r="395" spans="1:20" ht="38.25" customHeight="1">
      <c r="A395" s="159" t="s">
        <v>668</v>
      </c>
      <c r="B395" s="184" t="s">
        <v>669</v>
      </c>
      <c r="C395" s="154" t="s">
        <v>670</v>
      </c>
      <c r="D395" s="161" t="s">
        <v>1761</v>
      </c>
      <c r="E395" s="161" t="s">
        <v>1762</v>
      </c>
      <c r="F395" s="161" t="s">
        <v>706</v>
      </c>
      <c r="G395" s="161"/>
      <c r="H395" s="161" t="s">
        <v>1577</v>
      </c>
      <c r="I395" s="160">
        <v>23</v>
      </c>
      <c r="J395" s="154" t="s">
        <v>574</v>
      </c>
      <c r="K395" s="185"/>
      <c r="L395" s="163" t="s">
        <v>748</v>
      </c>
      <c r="M395" s="164" t="s">
        <v>649</v>
      </c>
      <c r="N395" s="165" t="s">
        <v>733</v>
      </c>
      <c r="O395" s="165" t="s">
        <v>734</v>
      </c>
      <c r="P395" s="165" t="s">
        <v>735</v>
      </c>
      <c r="Q395" s="188">
        <v>42270</v>
      </c>
      <c r="R395" s="165" t="s">
        <v>736</v>
      </c>
      <c r="S395" s="166" t="s">
        <v>737</v>
      </c>
      <c r="T395" s="165" t="s">
        <v>678</v>
      </c>
    </row>
    <row r="396" spans="1:20" ht="38.25" customHeight="1">
      <c r="A396" s="169" t="s">
        <v>668</v>
      </c>
      <c r="B396" s="186" t="s">
        <v>669</v>
      </c>
      <c r="C396" s="156" t="s">
        <v>670</v>
      </c>
      <c r="D396" s="171" t="s">
        <v>1763</v>
      </c>
      <c r="E396" s="171" t="s">
        <v>1764</v>
      </c>
      <c r="F396" s="171" t="s">
        <v>706</v>
      </c>
      <c r="G396" s="171" t="s">
        <v>697</v>
      </c>
      <c r="H396" s="171" t="s">
        <v>1134</v>
      </c>
      <c r="I396" s="170">
        <v>24</v>
      </c>
      <c r="J396" s="156" t="s">
        <v>574</v>
      </c>
      <c r="K396" s="187"/>
      <c r="L396" s="172" t="s">
        <v>748</v>
      </c>
      <c r="M396" s="173" t="s">
        <v>649</v>
      </c>
      <c r="N396" s="174" t="s">
        <v>733</v>
      </c>
      <c r="O396" s="174" t="s">
        <v>734</v>
      </c>
      <c r="P396" s="174" t="s">
        <v>735</v>
      </c>
      <c r="Q396" s="183">
        <v>42270</v>
      </c>
      <c r="R396" s="174" t="s">
        <v>736</v>
      </c>
      <c r="S396" s="175" t="s">
        <v>1334</v>
      </c>
      <c r="T396" s="174" t="s">
        <v>678</v>
      </c>
    </row>
    <row r="397" spans="1:20" ht="38.25" customHeight="1">
      <c r="A397" s="159" t="s">
        <v>668</v>
      </c>
      <c r="B397" s="184" t="s">
        <v>669</v>
      </c>
      <c r="C397" s="154" t="s">
        <v>670</v>
      </c>
      <c r="D397" s="161" t="s">
        <v>1765</v>
      </c>
      <c r="E397" s="161" t="s">
        <v>1766</v>
      </c>
      <c r="F397" s="161" t="s">
        <v>1767</v>
      </c>
      <c r="G397" s="161" t="s">
        <v>1768</v>
      </c>
      <c r="H397" s="161" t="s">
        <v>448</v>
      </c>
      <c r="I397" s="160">
        <v>5</v>
      </c>
      <c r="J397" s="154" t="s">
        <v>574</v>
      </c>
      <c r="K397" s="185"/>
      <c r="L397" s="163" t="s">
        <v>748</v>
      </c>
      <c r="M397" s="164" t="s">
        <v>649</v>
      </c>
      <c r="N397" s="165" t="s">
        <v>733</v>
      </c>
      <c r="O397" s="165" t="s">
        <v>734</v>
      </c>
      <c r="P397" s="165" t="s">
        <v>735</v>
      </c>
      <c r="Q397" s="188">
        <v>42270</v>
      </c>
      <c r="R397" s="165" t="s">
        <v>736</v>
      </c>
      <c r="S397" s="166" t="s">
        <v>1748</v>
      </c>
      <c r="T397" s="165" t="s">
        <v>678</v>
      </c>
    </row>
    <row r="398" spans="1:20" ht="38.25" customHeight="1">
      <c r="A398" s="169" t="s">
        <v>668</v>
      </c>
      <c r="B398" s="186" t="s">
        <v>669</v>
      </c>
      <c r="C398" s="156" t="s">
        <v>670</v>
      </c>
      <c r="D398" s="171" t="s">
        <v>1769</v>
      </c>
      <c r="E398" s="171" t="s">
        <v>1770</v>
      </c>
      <c r="F398" s="171" t="s">
        <v>706</v>
      </c>
      <c r="G398" s="171" t="s">
        <v>1771</v>
      </c>
      <c r="H398" s="171" t="s">
        <v>448</v>
      </c>
      <c r="I398" s="170">
        <v>24</v>
      </c>
      <c r="J398" s="156" t="s">
        <v>574</v>
      </c>
      <c r="K398" s="187"/>
      <c r="L398" s="172" t="s">
        <v>748</v>
      </c>
      <c r="M398" s="173" t="s">
        <v>649</v>
      </c>
      <c r="N398" s="174" t="s">
        <v>733</v>
      </c>
      <c r="O398" s="174" t="s">
        <v>734</v>
      </c>
      <c r="P398" s="174" t="s">
        <v>735</v>
      </c>
      <c r="Q398" s="183">
        <v>42270</v>
      </c>
      <c r="R398" s="174" t="s">
        <v>736</v>
      </c>
      <c r="S398" s="175" t="s">
        <v>1334</v>
      </c>
      <c r="T398" s="174" t="s">
        <v>678</v>
      </c>
    </row>
    <row r="399" spans="1:20" ht="38.25" customHeight="1">
      <c r="A399" s="159" t="s">
        <v>668</v>
      </c>
      <c r="B399" s="184" t="s">
        <v>669</v>
      </c>
      <c r="C399" s="154" t="s">
        <v>670</v>
      </c>
      <c r="D399" s="161" t="s">
        <v>1772</v>
      </c>
      <c r="E399" s="161" t="s">
        <v>1773</v>
      </c>
      <c r="F399" s="161" t="s">
        <v>706</v>
      </c>
      <c r="G399" s="161" t="s">
        <v>1774</v>
      </c>
      <c r="H399" s="161" t="s">
        <v>448</v>
      </c>
      <c r="I399" s="160">
        <v>5</v>
      </c>
      <c r="J399" s="154" t="s">
        <v>574</v>
      </c>
      <c r="K399" s="185"/>
      <c r="L399" s="163" t="s">
        <v>748</v>
      </c>
      <c r="M399" s="164" t="s">
        <v>649</v>
      </c>
      <c r="N399" s="165" t="s">
        <v>733</v>
      </c>
      <c r="O399" s="165" t="s">
        <v>734</v>
      </c>
      <c r="P399" s="165" t="s">
        <v>735</v>
      </c>
      <c r="Q399" s="188">
        <v>42270</v>
      </c>
      <c r="R399" s="165" t="s">
        <v>736</v>
      </c>
      <c r="S399" s="166" t="s">
        <v>1748</v>
      </c>
      <c r="T399" s="165" t="s">
        <v>678</v>
      </c>
    </row>
    <row r="400" spans="1:20" ht="38.25" customHeight="1">
      <c r="A400" s="169" t="s">
        <v>668</v>
      </c>
      <c r="B400" s="186" t="s">
        <v>669</v>
      </c>
      <c r="C400" s="156" t="s">
        <v>670</v>
      </c>
      <c r="D400" s="171" t="s">
        <v>1775</v>
      </c>
      <c r="E400" s="171" t="s">
        <v>1776</v>
      </c>
      <c r="F400" s="171" t="s">
        <v>1465</v>
      </c>
      <c r="G400" s="171" t="s">
        <v>1777</v>
      </c>
      <c r="H400" s="171" t="s">
        <v>1778</v>
      </c>
      <c r="I400" s="170">
        <v>22</v>
      </c>
      <c r="J400" s="156" t="s">
        <v>574</v>
      </c>
      <c r="K400" s="187"/>
      <c r="L400" s="172" t="s">
        <v>748</v>
      </c>
      <c r="M400" s="173" t="s">
        <v>649</v>
      </c>
      <c r="N400" s="174" t="s">
        <v>733</v>
      </c>
      <c r="O400" s="174" t="s">
        <v>734</v>
      </c>
      <c r="P400" s="174" t="s">
        <v>735</v>
      </c>
      <c r="Q400" s="183">
        <v>42270</v>
      </c>
      <c r="R400" s="174" t="s">
        <v>736</v>
      </c>
      <c r="S400" s="175" t="s">
        <v>1377</v>
      </c>
      <c r="T400" s="174" t="s">
        <v>678</v>
      </c>
    </row>
    <row r="401" spans="1:20" ht="38.25" customHeight="1">
      <c r="A401" s="159" t="s">
        <v>668</v>
      </c>
      <c r="B401" s="184" t="s">
        <v>669</v>
      </c>
      <c r="C401" s="154" t="s">
        <v>670</v>
      </c>
      <c r="D401" s="161" t="s">
        <v>1779</v>
      </c>
      <c r="E401" s="161" t="s">
        <v>1780</v>
      </c>
      <c r="F401" s="161" t="s">
        <v>1465</v>
      </c>
      <c r="G401" s="161" t="s">
        <v>1781</v>
      </c>
      <c r="H401" s="161" t="s">
        <v>1778</v>
      </c>
      <c r="I401" s="160">
        <v>9.5</v>
      </c>
      <c r="J401" s="154" t="s">
        <v>574</v>
      </c>
      <c r="K401" s="185"/>
      <c r="L401" s="163" t="s">
        <v>748</v>
      </c>
      <c r="M401" s="164" t="s">
        <v>649</v>
      </c>
      <c r="N401" s="165" t="s">
        <v>733</v>
      </c>
      <c r="O401" s="165" t="s">
        <v>734</v>
      </c>
      <c r="P401" s="165" t="s">
        <v>735</v>
      </c>
      <c r="Q401" s="188">
        <v>42270</v>
      </c>
      <c r="R401" s="165" t="s">
        <v>736</v>
      </c>
      <c r="S401" s="166" t="s">
        <v>1177</v>
      </c>
      <c r="T401" s="165" t="s">
        <v>678</v>
      </c>
    </row>
    <row r="402" spans="1:20" ht="38.25" customHeight="1">
      <c r="A402" s="169" t="s">
        <v>668</v>
      </c>
      <c r="B402" s="186" t="s">
        <v>669</v>
      </c>
      <c r="C402" s="156" t="s">
        <v>670</v>
      </c>
      <c r="D402" s="171" t="s">
        <v>1782</v>
      </c>
      <c r="E402" s="171" t="s">
        <v>1783</v>
      </c>
      <c r="F402" s="171" t="s">
        <v>706</v>
      </c>
      <c r="G402" s="171" t="s">
        <v>1784</v>
      </c>
      <c r="H402" s="171" t="s">
        <v>1778</v>
      </c>
      <c r="I402" s="170">
        <v>25</v>
      </c>
      <c r="J402" s="156" t="s">
        <v>574</v>
      </c>
      <c r="K402" s="187"/>
      <c r="L402" s="172" t="s">
        <v>748</v>
      </c>
      <c r="M402" s="173" t="s">
        <v>649</v>
      </c>
      <c r="N402" s="174" t="s">
        <v>733</v>
      </c>
      <c r="O402" s="174" t="s">
        <v>734</v>
      </c>
      <c r="P402" s="174" t="s">
        <v>735</v>
      </c>
      <c r="Q402" s="183">
        <v>42270</v>
      </c>
      <c r="R402" s="174" t="s">
        <v>736</v>
      </c>
      <c r="S402" s="175" t="s">
        <v>1328</v>
      </c>
      <c r="T402" s="174" t="s">
        <v>678</v>
      </c>
    </row>
    <row r="403" spans="1:20" ht="38.25" customHeight="1">
      <c r="A403" s="159" t="s">
        <v>668</v>
      </c>
      <c r="B403" s="184" t="s">
        <v>669</v>
      </c>
      <c r="C403" s="154" t="s">
        <v>670</v>
      </c>
      <c r="D403" s="161" t="s">
        <v>1785</v>
      </c>
      <c r="E403" s="161" t="s">
        <v>1786</v>
      </c>
      <c r="F403" s="161" t="s">
        <v>706</v>
      </c>
      <c r="G403" s="161" t="s">
        <v>1778</v>
      </c>
      <c r="H403" s="161" t="s">
        <v>1778</v>
      </c>
      <c r="I403" s="160">
        <v>5</v>
      </c>
      <c r="J403" s="154" t="s">
        <v>574</v>
      </c>
      <c r="K403" s="185"/>
      <c r="L403" s="163" t="s">
        <v>748</v>
      </c>
      <c r="M403" s="164" t="s">
        <v>649</v>
      </c>
      <c r="N403" s="165" t="s">
        <v>733</v>
      </c>
      <c r="O403" s="165" t="s">
        <v>734</v>
      </c>
      <c r="P403" s="165" t="s">
        <v>735</v>
      </c>
      <c r="Q403" s="188">
        <v>42270</v>
      </c>
      <c r="R403" s="165" t="s">
        <v>736</v>
      </c>
      <c r="S403" s="166" t="s">
        <v>1748</v>
      </c>
      <c r="T403" s="165" t="s">
        <v>678</v>
      </c>
    </row>
    <row r="404" spans="1:20" ht="38.25" customHeight="1">
      <c r="A404" s="169" t="s">
        <v>668</v>
      </c>
      <c r="B404" s="186" t="s">
        <v>669</v>
      </c>
      <c r="C404" s="156" t="s">
        <v>670</v>
      </c>
      <c r="D404" s="171" t="s">
        <v>1787</v>
      </c>
      <c r="E404" s="171" t="s">
        <v>1788</v>
      </c>
      <c r="F404" s="171" t="s">
        <v>706</v>
      </c>
      <c r="G404" s="171" t="s">
        <v>1143</v>
      </c>
      <c r="H404" s="171" t="s">
        <v>1144</v>
      </c>
      <c r="I404" s="170">
        <v>5</v>
      </c>
      <c r="J404" s="156" t="s">
        <v>574</v>
      </c>
      <c r="K404" s="187"/>
      <c r="L404" s="172" t="s">
        <v>748</v>
      </c>
      <c r="M404" s="173" t="s">
        <v>649</v>
      </c>
      <c r="N404" s="174" t="s">
        <v>733</v>
      </c>
      <c r="O404" s="174" t="s">
        <v>734</v>
      </c>
      <c r="P404" s="174" t="s">
        <v>735</v>
      </c>
      <c r="Q404" s="183">
        <v>42340</v>
      </c>
      <c r="R404" s="174" t="s">
        <v>736</v>
      </c>
      <c r="S404" s="175" t="s">
        <v>1748</v>
      </c>
      <c r="T404" s="174" t="s">
        <v>678</v>
      </c>
    </row>
    <row r="405" spans="1:20" ht="38.25" customHeight="1">
      <c r="A405" s="159" t="s">
        <v>668</v>
      </c>
      <c r="B405" s="184" t="s">
        <v>669</v>
      </c>
      <c r="C405" s="154" t="s">
        <v>670</v>
      </c>
      <c r="D405" s="161" t="s">
        <v>1789</v>
      </c>
      <c r="E405" s="161" t="s">
        <v>1790</v>
      </c>
      <c r="F405" s="161" t="s">
        <v>706</v>
      </c>
      <c r="G405" s="161" t="s">
        <v>1143</v>
      </c>
      <c r="H405" s="161" t="s">
        <v>1144</v>
      </c>
      <c r="I405" s="160">
        <v>24</v>
      </c>
      <c r="J405" s="154" t="s">
        <v>574</v>
      </c>
      <c r="K405" s="185"/>
      <c r="L405" s="163" t="s">
        <v>748</v>
      </c>
      <c r="M405" s="164" t="s">
        <v>649</v>
      </c>
      <c r="N405" s="165" t="s">
        <v>733</v>
      </c>
      <c r="O405" s="165" t="s">
        <v>734</v>
      </c>
      <c r="P405" s="165" t="s">
        <v>735</v>
      </c>
      <c r="Q405" s="188">
        <v>42340</v>
      </c>
      <c r="R405" s="165" t="s">
        <v>736</v>
      </c>
      <c r="S405" s="166" t="s">
        <v>1334</v>
      </c>
      <c r="T405" s="165" t="s">
        <v>678</v>
      </c>
    </row>
    <row r="406" spans="1:20" ht="38.25" customHeight="1">
      <c r="A406" s="169" t="s">
        <v>668</v>
      </c>
      <c r="B406" s="186" t="s">
        <v>669</v>
      </c>
      <c r="C406" s="156" t="s">
        <v>670</v>
      </c>
      <c r="D406" s="171" t="s">
        <v>1791</v>
      </c>
      <c r="E406" s="171" t="s">
        <v>1792</v>
      </c>
      <c r="F406" s="171" t="s">
        <v>706</v>
      </c>
      <c r="G406" s="171" t="s">
        <v>1143</v>
      </c>
      <c r="H406" s="171" t="s">
        <v>1144</v>
      </c>
      <c r="I406" s="170">
        <v>5</v>
      </c>
      <c r="J406" s="156" t="s">
        <v>574</v>
      </c>
      <c r="K406" s="187"/>
      <c r="L406" s="172" t="s">
        <v>748</v>
      </c>
      <c r="M406" s="173" t="s">
        <v>649</v>
      </c>
      <c r="N406" s="174" t="s">
        <v>733</v>
      </c>
      <c r="O406" s="174" t="s">
        <v>734</v>
      </c>
      <c r="P406" s="174" t="s">
        <v>735</v>
      </c>
      <c r="Q406" s="183">
        <v>42340</v>
      </c>
      <c r="R406" s="174" t="s">
        <v>736</v>
      </c>
      <c r="S406" s="175" t="s">
        <v>1748</v>
      </c>
      <c r="T406" s="174" t="s">
        <v>678</v>
      </c>
    </row>
    <row r="407" spans="1:20" ht="38.25" customHeight="1">
      <c r="A407" s="159" t="s">
        <v>668</v>
      </c>
      <c r="B407" s="184" t="s">
        <v>669</v>
      </c>
      <c r="C407" s="154" t="s">
        <v>670</v>
      </c>
      <c r="D407" s="161" t="s">
        <v>1791</v>
      </c>
      <c r="E407" s="161" t="s">
        <v>1793</v>
      </c>
      <c r="F407" s="161" t="s">
        <v>706</v>
      </c>
      <c r="G407" s="161" t="s">
        <v>1143</v>
      </c>
      <c r="H407" s="161" t="s">
        <v>1144</v>
      </c>
      <c r="I407" s="160">
        <v>5</v>
      </c>
      <c r="J407" s="154" t="s">
        <v>574</v>
      </c>
      <c r="K407" s="185"/>
      <c r="L407" s="163" t="s">
        <v>748</v>
      </c>
      <c r="M407" s="164" t="s">
        <v>649</v>
      </c>
      <c r="N407" s="165" t="s">
        <v>733</v>
      </c>
      <c r="O407" s="165" t="s">
        <v>734</v>
      </c>
      <c r="P407" s="165" t="s">
        <v>735</v>
      </c>
      <c r="Q407" s="188">
        <v>42340</v>
      </c>
      <c r="R407" s="165" t="s">
        <v>736</v>
      </c>
      <c r="S407" s="166" t="s">
        <v>1748</v>
      </c>
      <c r="T407" s="165" t="s">
        <v>678</v>
      </c>
    </row>
    <row r="408" spans="1:20" ht="38.25" customHeight="1">
      <c r="A408" s="169" t="s">
        <v>668</v>
      </c>
      <c r="B408" s="186" t="s">
        <v>669</v>
      </c>
      <c r="C408" s="156" t="s">
        <v>670</v>
      </c>
      <c r="D408" s="171" t="s">
        <v>1794</v>
      </c>
      <c r="E408" s="171" t="s">
        <v>1795</v>
      </c>
      <c r="F408" s="171" t="s">
        <v>1796</v>
      </c>
      <c r="G408" s="171" t="s">
        <v>1143</v>
      </c>
      <c r="H408" s="171" t="s">
        <v>1144</v>
      </c>
      <c r="I408" s="170">
        <v>5.0999999999999996</v>
      </c>
      <c r="J408" s="156" t="s">
        <v>574</v>
      </c>
      <c r="K408" s="187"/>
      <c r="L408" s="172" t="s">
        <v>748</v>
      </c>
      <c r="M408" s="173" t="s">
        <v>649</v>
      </c>
      <c r="N408" s="174" t="s">
        <v>733</v>
      </c>
      <c r="O408" s="174" t="s">
        <v>734</v>
      </c>
      <c r="P408" s="174" t="s">
        <v>735</v>
      </c>
      <c r="Q408" s="183">
        <v>42340</v>
      </c>
      <c r="R408" s="174" t="s">
        <v>736</v>
      </c>
      <c r="S408" s="175" t="s">
        <v>1797</v>
      </c>
      <c r="T408" s="174" t="s">
        <v>678</v>
      </c>
    </row>
    <row r="409" spans="1:20" ht="38.25" customHeight="1">
      <c r="A409" s="159" t="s">
        <v>668</v>
      </c>
      <c r="B409" s="184" t="s">
        <v>669</v>
      </c>
      <c r="C409" s="154" t="s">
        <v>670</v>
      </c>
      <c r="D409" s="161" t="s">
        <v>1798</v>
      </c>
      <c r="E409" s="161" t="s">
        <v>1799</v>
      </c>
      <c r="F409" s="161" t="s">
        <v>706</v>
      </c>
      <c r="G409" s="161" t="s">
        <v>1143</v>
      </c>
      <c r="H409" s="161" t="s">
        <v>1144</v>
      </c>
      <c r="I409" s="160">
        <v>23</v>
      </c>
      <c r="J409" s="154" t="s">
        <v>574</v>
      </c>
      <c r="K409" s="185"/>
      <c r="L409" s="163" t="s">
        <v>748</v>
      </c>
      <c r="M409" s="164" t="s">
        <v>649</v>
      </c>
      <c r="N409" s="165" t="s">
        <v>733</v>
      </c>
      <c r="O409" s="165" t="s">
        <v>734</v>
      </c>
      <c r="P409" s="165" t="s">
        <v>735</v>
      </c>
      <c r="Q409" s="188">
        <v>42340</v>
      </c>
      <c r="R409" s="165" t="s">
        <v>736</v>
      </c>
      <c r="S409" s="166" t="s">
        <v>737</v>
      </c>
      <c r="T409" s="165" t="s">
        <v>678</v>
      </c>
    </row>
    <row r="410" spans="1:20" ht="38.25" customHeight="1">
      <c r="A410" s="169" t="s">
        <v>668</v>
      </c>
      <c r="B410" s="186" t="s">
        <v>669</v>
      </c>
      <c r="C410" s="156" t="s">
        <v>670</v>
      </c>
      <c r="D410" s="171" t="s">
        <v>1800</v>
      </c>
      <c r="E410" s="171" t="s">
        <v>1801</v>
      </c>
      <c r="F410" s="171" t="s">
        <v>706</v>
      </c>
      <c r="G410" s="171" t="s">
        <v>1802</v>
      </c>
      <c r="H410" s="171" t="s">
        <v>1577</v>
      </c>
      <c r="I410" s="170">
        <v>5</v>
      </c>
      <c r="J410" s="156" t="s">
        <v>574</v>
      </c>
      <c r="K410" s="187"/>
      <c r="L410" s="172" t="s">
        <v>748</v>
      </c>
      <c r="M410" s="173" t="s">
        <v>649</v>
      </c>
      <c r="N410" s="174" t="s">
        <v>733</v>
      </c>
      <c r="O410" s="174" t="s">
        <v>734</v>
      </c>
      <c r="P410" s="174" t="s">
        <v>735</v>
      </c>
      <c r="Q410" s="183">
        <v>42340</v>
      </c>
      <c r="R410" s="174" t="s">
        <v>736</v>
      </c>
      <c r="S410" s="175" t="s">
        <v>1748</v>
      </c>
      <c r="T410" s="174" t="s">
        <v>678</v>
      </c>
    </row>
    <row r="411" spans="1:20" ht="38.25" customHeight="1">
      <c r="A411" s="159" t="s">
        <v>668</v>
      </c>
      <c r="B411" s="184" t="s">
        <v>669</v>
      </c>
      <c r="C411" s="154" t="s">
        <v>670</v>
      </c>
      <c r="D411" s="161" t="s">
        <v>1803</v>
      </c>
      <c r="E411" s="161" t="s">
        <v>1804</v>
      </c>
      <c r="F411" s="161" t="s">
        <v>706</v>
      </c>
      <c r="G411" s="161" t="s">
        <v>1568</v>
      </c>
      <c r="H411" s="161" t="s">
        <v>1805</v>
      </c>
      <c r="I411" s="160">
        <v>5</v>
      </c>
      <c r="J411" s="154" t="s">
        <v>574</v>
      </c>
      <c r="K411" s="185"/>
      <c r="L411" s="163" t="s">
        <v>748</v>
      </c>
      <c r="M411" s="164" t="s">
        <v>649</v>
      </c>
      <c r="N411" s="165" t="s">
        <v>733</v>
      </c>
      <c r="O411" s="165" t="s">
        <v>734</v>
      </c>
      <c r="P411" s="165" t="s">
        <v>735</v>
      </c>
      <c r="Q411" s="188">
        <v>42340</v>
      </c>
      <c r="R411" s="165" t="s">
        <v>736</v>
      </c>
      <c r="S411" s="166" t="s">
        <v>1748</v>
      </c>
      <c r="T411" s="165" t="s">
        <v>678</v>
      </c>
    </row>
    <row r="412" spans="1:20" ht="38.25" customHeight="1">
      <c r="A412" s="169" t="s">
        <v>668</v>
      </c>
      <c r="B412" s="186" t="s">
        <v>669</v>
      </c>
      <c r="C412" s="156" t="s">
        <v>670</v>
      </c>
      <c r="D412" s="171" t="s">
        <v>1806</v>
      </c>
      <c r="E412" s="171" t="s">
        <v>1807</v>
      </c>
      <c r="F412" s="171" t="s">
        <v>706</v>
      </c>
      <c r="G412" s="171" t="s">
        <v>1808</v>
      </c>
      <c r="H412" s="171" t="s">
        <v>1809</v>
      </c>
      <c r="I412" s="170">
        <v>25</v>
      </c>
      <c r="J412" s="156" t="s">
        <v>574</v>
      </c>
      <c r="K412" s="187"/>
      <c r="L412" s="172" t="s">
        <v>748</v>
      </c>
      <c r="M412" s="173" t="s">
        <v>649</v>
      </c>
      <c r="N412" s="174" t="s">
        <v>733</v>
      </c>
      <c r="O412" s="174" t="s">
        <v>734</v>
      </c>
      <c r="P412" s="174" t="s">
        <v>735</v>
      </c>
      <c r="Q412" s="183">
        <v>42340</v>
      </c>
      <c r="R412" s="174" t="s">
        <v>736</v>
      </c>
      <c r="S412" s="175" t="s">
        <v>1328</v>
      </c>
      <c r="T412" s="174" t="s">
        <v>678</v>
      </c>
    </row>
    <row r="413" spans="1:20" ht="38.25" customHeight="1">
      <c r="A413" s="159" t="s">
        <v>668</v>
      </c>
      <c r="B413" s="184" t="s">
        <v>669</v>
      </c>
      <c r="C413" s="154" t="s">
        <v>670</v>
      </c>
      <c r="D413" s="161" t="s">
        <v>1806</v>
      </c>
      <c r="E413" s="161" t="s">
        <v>1810</v>
      </c>
      <c r="F413" s="161" t="s">
        <v>706</v>
      </c>
      <c r="G413" s="161" t="s">
        <v>1808</v>
      </c>
      <c r="H413" s="161" t="s">
        <v>1809</v>
      </c>
      <c r="I413" s="160">
        <v>24</v>
      </c>
      <c r="J413" s="154" t="s">
        <v>574</v>
      </c>
      <c r="K413" s="185"/>
      <c r="L413" s="163" t="s">
        <v>748</v>
      </c>
      <c r="M413" s="164" t="s">
        <v>649</v>
      </c>
      <c r="N413" s="165" t="s">
        <v>733</v>
      </c>
      <c r="O413" s="165" t="s">
        <v>734</v>
      </c>
      <c r="P413" s="165" t="s">
        <v>735</v>
      </c>
      <c r="Q413" s="188">
        <v>42340</v>
      </c>
      <c r="R413" s="165" t="s">
        <v>736</v>
      </c>
      <c r="S413" s="166" t="s">
        <v>1334</v>
      </c>
      <c r="T413" s="165" t="s">
        <v>678</v>
      </c>
    </row>
    <row r="414" spans="1:20" ht="38.25" customHeight="1">
      <c r="A414" s="169" t="s">
        <v>668</v>
      </c>
      <c r="B414" s="186" t="s">
        <v>669</v>
      </c>
      <c r="C414" s="156" t="s">
        <v>670</v>
      </c>
      <c r="D414" s="171" t="s">
        <v>1811</v>
      </c>
      <c r="E414" s="171" t="s">
        <v>1812</v>
      </c>
      <c r="F414" s="171" t="s">
        <v>1465</v>
      </c>
      <c r="G414" s="171"/>
      <c r="H414" s="171" t="s">
        <v>1809</v>
      </c>
      <c r="I414" s="170">
        <v>24</v>
      </c>
      <c r="J414" s="156" t="s">
        <v>574</v>
      </c>
      <c r="K414" s="187"/>
      <c r="L414" s="172" t="s">
        <v>748</v>
      </c>
      <c r="M414" s="173" t="s">
        <v>649</v>
      </c>
      <c r="N414" s="174" t="s">
        <v>733</v>
      </c>
      <c r="O414" s="174" t="s">
        <v>734</v>
      </c>
      <c r="P414" s="174" t="s">
        <v>735</v>
      </c>
      <c r="Q414" s="183">
        <v>42340</v>
      </c>
      <c r="R414" s="174" t="s">
        <v>736</v>
      </c>
      <c r="S414" s="175" t="s">
        <v>1334</v>
      </c>
      <c r="T414" s="174" t="s">
        <v>678</v>
      </c>
    </row>
    <row r="415" spans="1:20" ht="38.25" customHeight="1">
      <c r="A415" s="159" t="s">
        <v>668</v>
      </c>
      <c r="B415" s="184" t="s">
        <v>669</v>
      </c>
      <c r="C415" s="154" t="s">
        <v>670</v>
      </c>
      <c r="D415" s="161" t="s">
        <v>1813</v>
      </c>
      <c r="E415" s="161" t="s">
        <v>1814</v>
      </c>
      <c r="F415" s="161" t="s">
        <v>706</v>
      </c>
      <c r="G415" s="161" t="s">
        <v>697</v>
      </c>
      <c r="H415" s="161" t="s">
        <v>1809</v>
      </c>
      <c r="I415" s="160">
        <v>5</v>
      </c>
      <c r="J415" s="154" t="s">
        <v>574</v>
      </c>
      <c r="K415" s="185"/>
      <c r="L415" s="163" t="s">
        <v>748</v>
      </c>
      <c r="M415" s="164" t="s">
        <v>649</v>
      </c>
      <c r="N415" s="165" t="s">
        <v>733</v>
      </c>
      <c r="O415" s="165" t="s">
        <v>734</v>
      </c>
      <c r="P415" s="165" t="s">
        <v>735</v>
      </c>
      <c r="Q415" s="188">
        <v>42340</v>
      </c>
      <c r="R415" s="165" t="s">
        <v>736</v>
      </c>
      <c r="S415" s="166" t="s">
        <v>1748</v>
      </c>
      <c r="T415" s="165" t="s">
        <v>678</v>
      </c>
    </row>
    <row r="416" spans="1:20" ht="38.25" customHeight="1">
      <c r="A416" s="169" t="s">
        <v>668</v>
      </c>
      <c r="B416" s="186" t="s">
        <v>669</v>
      </c>
      <c r="C416" s="156" t="s">
        <v>670</v>
      </c>
      <c r="D416" s="171" t="s">
        <v>1815</v>
      </c>
      <c r="E416" s="171" t="s">
        <v>1816</v>
      </c>
      <c r="F416" s="171" t="s">
        <v>706</v>
      </c>
      <c r="G416" s="171" t="s">
        <v>1817</v>
      </c>
      <c r="H416" s="171" t="s">
        <v>1818</v>
      </c>
      <c r="I416" s="170">
        <v>24</v>
      </c>
      <c r="J416" s="156" t="s">
        <v>574</v>
      </c>
      <c r="K416" s="187"/>
      <c r="L416" s="172" t="s">
        <v>748</v>
      </c>
      <c r="M416" s="173" t="s">
        <v>649</v>
      </c>
      <c r="N416" s="174" t="s">
        <v>733</v>
      </c>
      <c r="O416" s="174" t="s">
        <v>734</v>
      </c>
      <c r="P416" s="174" t="s">
        <v>735</v>
      </c>
      <c r="Q416" s="183">
        <v>42340</v>
      </c>
      <c r="R416" s="174" t="s">
        <v>736</v>
      </c>
      <c r="S416" s="175" t="s">
        <v>1334</v>
      </c>
      <c r="T416" s="174" t="s">
        <v>678</v>
      </c>
    </row>
    <row r="417" spans="1:20" ht="38.25" customHeight="1">
      <c r="A417" s="159" t="s">
        <v>668</v>
      </c>
      <c r="B417" s="184" t="s">
        <v>669</v>
      </c>
      <c r="C417" s="154" t="s">
        <v>670</v>
      </c>
      <c r="D417" s="161" t="s">
        <v>1819</v>
      </c>
      <c r="E417" s="161" t="s">
        <v>1820</v>
      </c>
      <c r="F417" s="161" t="s">
        <v>706</v>
      </c>
      <c r="G417" s="161" t="s">
        <v>1821</v>
      </c>
      <c r="H417" s="161" t="s">
        <v>1818</v>
      </c>
      <c r="I417" s="160">
        <v>5</v>
      </c>
      <c r="J417" s="154" t="s">
        <v>574</v>
      </c>
      <c r="K417" s="185"/>
      <c r="L417" s="163" t="s">
        <v>748</v>
      </c>
      <c r="M417" s="164" t="s">
        <v>649</v>
      </c>
      <c r="N417" s="165" t="s">
        <v>733</v>
      </c>
      <c r="O417" s="165" t="s">
        <v>734</v>
      </c>
      <c r="P417" s="165" t="s">
        <v>735</v>
      </c>
      <c r="Q417" s="188">
        <v>42340</v>
      </c>
      <c r="R417" s="165" t="s">
        <v>736</v>
      </c>
      <c r="S417" s="166" t="s">
        <v>1748</v>
      </c>
      <c r="T417" s="165" t="s">
        <v>678</v>
      </c>
    </row>
    <row r="418" spans="1:20" ht="38.25" customHeight="1">
      <c r="A418" s="169" t="s">
        <v>668</v>
      </c>
      <c r="B418" s="186" t="s">
        <v>669</v>
      </c>
      <c r="C418" s="156" t="s">
        <v>670</v>
      </c>
      <c r="D418" s="171" t="s">
        <v>1822</v>
      </c>
      <c r="E418" s="171" t="s">
        <v>1823</v>
      </c>
      <c r="F418" s="171" t="s">
        <v>706</v>
      </c>
      <c r="G418" s="171" t="s">
        <v>1824</v>
      </c>
      <c r="H418" s="171" t="s">
        <v>1825</v>
      </c>
      <c r="I418" s="170">
        <v>5</v>
      </c>
      <c r="J418" s="156" t="s">
        <v>574</v>
      </c>
      <c r="K418" s="187"/>
      <c r="L418" s="172" t="s">
        <v>748</v>
      </c>
      <c r="M418" s="173" t="s">
        <v>649</v>
      </c>
      <c r="N418" s="174" t="s">
        <v>733</v>
      </c>
      <c r="O418" s="174" t="s">
        <v>734</v>
      </c>
      <c r="P418" s="174" t="s">
        <v>735</v>
      </c>
      <c r="Q418" s="183">
        <v>42340</v>
      </c>
      <c r="R418" s="174" t="s">
        <v>736</v>
      </c>
      <c r="S418" s="175" t="s">
        <v>1748</v>
      </c>
      <c r="T418" s="174" t="s">
        <v>678</v>
      </c>
    </row>
    <row r="419" spans="1:20" ht="38.25" customHeight="1">
      <c r="A419" s="159" t="s">
        <v>668</v>
      </c>
      <c r="B419" s="184" t="s">
        <v>669</v>
      </c>
      <c r="C419" s="154" t="s">
        <v>670</v>
      </c>
      <c r="D419" s="161" t="s">
        <v>1826</v>
      </c>
      <c r="E419" s="161" t="s">
        <v>1827</v>
      </c>
      <c r="F419" s="161" t="s">
        <v>706</v>
      </c>
      <c r="G419" s="161" t="s">
        <v>994</v>
      </c>
      <c r="H419" s="161" t="s">
        <v>1825</v>
      </c>
      <c r="I419" s="160">
        <v>24</v>
      </c>
      <c r="J419" s="154" t="s">
        <v>574</v>
      </c>
      <c r="K419" s="185"/>
      <c r="L419" s="163" t="s">
        <v>748</v>
      </c>
      <c r="M419" s="164" t="s">
        <v>649</v>
      </c>
      <c r="N419" s="165" t="s">
        <v>733</v>
      </c>
      <c r="O419" s="165" t="s">
        <v>734</v>
      </c>
      <c r="P419" s="165" t="s">
        <v>735</v>
      </c>
      <c r="Q419" s="188">
        <v>42340</v>
      </c>
      <c r="R419" s="165" t="s">
        <v>736</v>
      </c>
      <c r="S419" s="166" t="s">
        <v>1334</v>
      </c>
      <c r="T419" s="165" t="s">
        <v>678</v>
      </c>
    </row>
    <row r="420" spans="1:20" ht="38.25" customHeight="1">
      <c r="A420" s="169" t="s">
        <v>668</v>
      </c>
      <c r="B420" s="186" t="s">
        <v>669</v>
      </c>
      <c r="C420" s="156" t="s">
        <v>670</v>
      </c>
      <c r="D420" s="171" t="s">
        <v>1828</v>
      </c>
      <c r="E420" s="171" t="s">
        <v>1829</v>
      </c>
      <c r="F420" s="171" t="s">
        <v>706</v>
      </c>
      <c r="G420" s="171" t="s">
        <v>1830</v>
      </c>
      <c r="H420" s="171" t="s">
        <v>1825</v>
      </c>
      <c r="I420" s="170">
        <v>23</v>
      </c>
      <c r="J420" s="156" t="s">
        <v>574</v>
      </c>
      <c r="K420" s="187"/>
      <c r="L420" s="172" t="s">
        <v>748</v>
      </c>
      <c r="M420" s="173" t="s">
        <v>649</v>
      </c>
      <c r="N420" s="174" t="s">
        <v>733</v>
      </c>
      <c r="O420" s="174" t="s">
        <v>734</v>
      </c>
      <c r="P420" s="174" t="s">
        <v>735</v>
      </c>
      <c r="Q420" s="183">
        <v>42340</v>
      </c>
      <c r="R420" s="174" t="s">
        <v>736</v>
      </c>
      <c r="S420" s="175" t="s">
        <v>737</v>
      </c>
      <c r="T420" s="174" t="s">
        <v>678</v>
      </c>
    </row>
    <row r="421" spans="1:20" ht="38.25" customHeight="1">
      <c r="A421" s="159" t="s">
        <v>668</v>
      </c>
      <c r="B421" s="184" t="s">
        <v>669</v>
      </c>
      <c r="C421" s="154" t="s">
        <v>670</v>
      </c>
      <c r="D421" s="161" t="s">
        <v>1789</v>
      </c>
      <c r="E421" s="161" t="s">
        <v>1831</v>
      </c>
      <c r="F421" s="161" t="s">
        <v>706</v>
      </c>
      <c r="G421" s="161" t="s">
        <v>1143</v>
      </c>
      <c r="H421" s="161" t="s">
        <v>1144</v>
      </c>
      <c r="I421" s="160">
        <v>25</v>
      </c>
      <c r="J421" s="154" t="s">
        <v>574</v>
      </c>
      <c r="K421" s="185"/>
      <c r="L421" s="163" t="s">
        <v>748</v>
      </c>
      <c r="M421" s="164" t="s">
        <v>649</v>
      </c>
      <c r="N421" s="165" t="s">
        <v>733</v>
      </c>
      <c r="O421" s="165" t="s">
        <v>734</v>
      </c>
      <c r="P421" s="165" t="s">
        <v>735</v>
      </c>
      <c r="Q421" s="188">
        <v>42340</v>
      </c>
      <c r="R421" s="165" t="s">
        <v>736</v>
      </c>
      <c r="S421" s="166" t="s">
        <v>1328</v>
      </c>
      <c r="T421" s="165" t="s">
        <v>678</v>
      </c>
    </row>
    <row r="422" spans="1:20" ht="38.25" customHeight="1">
      <c r="A422" s="169" t="s">
        <v>668</v>
      </c>
      <c r="B422" s="186" t="s">
        <v>669</v>
      </c>
      <c r="C422" s="156" t="s">
        <v>670</v>
      </c>
      <c r="D422" s="171" t="s">
        <v>1832</v>
      </c>
      <c r="E422" s="171" t="s">
        <v>1833</v>
      </c>
      <c r="F422" s="171" t="s">
        <v>706</v>
      </c>
      <c r="G422" s="171" t="s">
        <v>1834</v>
      </c>
      <c r="H422" s="171" t="s">
        <v>747</v>
      </c>
      <c r="I422" s="170">
        <v>25</v>
      </c>
      <c r="J422" s="156" t="s">
        <v>574</v>
      </c>
      <c r="K422" s="187"/>
      <c r="L422" s="172" t="s">
        <v>748</v>
      </c>
      <c r="M422" s="173" t="s">
        <v>649</v>
      </c>
      <c r="N422" s="174" t="s">
        <v>733</v>
      </c>
      <c r="O422" s="174" t="s">
        <v>734</v>
      </c>
      <c r="P422" s="174" t="s">
        <v>735</v>
      </c>
      <c r="Q422" s="183">
        <v>42340</v>
      </c>
      <c r="R422" s="174" t="s">
        <v>736</v>
      </c>
      <c r="S422" s="175" t="s">
        <v>1328</v>
      </c>
      <c r="T422" s="174" t="s">
        <v>678</v>
      </c>
    </row>
    <row r="423" spans="1:20" ht="38.25" customHeight="1">
      <c r="A423" s="159" t="s">
        <v>668</v>
      </c>
      <c r="B423" s="184" t="s">
        <v>669</v>
      </c>
      <c r="C423" s="154" t="s">
        <v>670</v>
      </c>
      <c r="D423" s="161" t="s">
        <v>1835</v>
      </c>
      <c r="E423" s="161" t="s">
        <v>1836</v>
      </c>
      <c r="F423" s="161" t="s">
        <v>706</v>
      </c>
      <c r="G423" s="161" t="s">
        <v>1366</v>
      </c>
      <c r="H423" s="161" t="s">
        <v>1818</v>
      </c>
      <c r="I423" s="160">
        <v>5</v>
      </c>
      <c r="J423" s="154" t="s">
        <v>574</v>
      </c>
      <c r="K423" s="185"/>
      <c r="L423" s="163" t="s">
        <v>748</v>
      </c>
      <c r="M423" s="164" t="s">
        <v>649</v>
      </c>
      <c r="N423" s="165" t="s">
        <v>733</v>
      </c>
      <c r="O423" s="165" t="s">
        <v>734</v>
      </c>
      <c r="P423" s="165" t="s">
        <v>735</v>
      </c>
      <c r="Q423" s="188">
        <v>42340</v>
      </c>
      <c r="R423" s="165" t="s">
        <v>736</v>
      </c>
      <c r="S423" s="166" t="s">
        <v>1748</v>
      </c>
      <c r="T423" s="165" t="s">
        <v>678</v>
      </c>
    </row>
    <row r="424" spans="1:20" ht="38.25" customHeight="1">
      <c r="A424" s="169" t="s">
        <v>668</v>
      </c>
      <c r="B424" s="186" t="s">
        <v>669</v>
      </c>
      <c r="C424" s="156" t="s">
        <v>670</v>
      </c>
      <c r="D424" s="171" t="s">
        <v>1837</v>
      </c>
      <c r="E424" s="171" t="s">
        <v>1838</v>
      </c>
      <c r="F424" s="171" t="s">
        <v>1343</v>
      </c>
      <c r="G424" s="171" t="s">
        <v>1348</v>
      </c>
      <c r="H424" s="171" t="s">
        <v>1805</v>
      </c>
      <c r="I424" s="170">
        <v>24</v>
      </c>
      <c r="J424" s="156" t="s">
        <v>574</v>
      </c>
      <c r="K424" s="187"/>
      <c r="L424" s="172" t="s">
        <v>748</v>
      </c>
      <c r="M424" s="173" t="s">
        <v>649</v>
      </c>
      <c r="N424" s="174" t="s">
        <v>733</v>
      </c>
      <c r="O424" s="174" t="s">
        <v>734</v>
      </c>
      <c r="P424" s="174" t="s">
        <v>735</v>
      </c>
      <c r="Q424" s="183">
        <v>42401</v>
      </c>
      <c r="R424" s="174" t="s">
        <v>736</v>
      </c>
      <c r="S424" s="175" t="s">
        <v>1334</v>
      </c>
      <c r="T424" s="174" t="s">
        <v>678</v>
      </c>
    </row>
    <row r="425" spans="1:20" ht="51" customHeight="1">
      <c r="A425" s="159" t="s">
        <v>668</v>
      </c>
      <c r="B425" s="184" t="s">
        <v>669</v>
      </c>
      <c r="C425" s="154" t="s">
        <v>670</v>
      </c>
      <c r="D425" s="161" t="s">
        <v>1839</v>
      </c>
      <c r="E425" s="161" t="s">
        <v>1840</v>
      </c>
      <c r="F425" s="161" t="s">
        <v>706</v>
      </c>
      <c r="G425" s="161" t="s">
        <v>1841</v>
      </c>
      <c r="H425" s="161" t="s">
        <v>1842</v>
      </c>
      <c r="I425" s="160">
        <v>24</v>
      </c>
      <c r="J425" s="154" t="s">
        <v>574</v>
      </c>
      <c r="K425" s="185"/>
      <c r="L425" s="163" t="s">
        <v>748</v>
      </c>
      <c r="M425" s="164" t="s">
        <v>649</v>
      </c>
      <c r="N425" s="165" t="s">
        <v>733</v>
      </c>
      <c r="O425" s="165" t="s">
        <v>734</v>
      </c>
      <c r="P425" s="165" t="s">
        <v>735</v>
      </c>
      <c r="Q425" s="188">
        <v>42401</v>
      </c>
      <c r="R425" s="165" t="s">
        <v>736</v>
      </c>
      <c r="S425" s="166" t="s">
        <v>1334</v>
      </c>
      <c r="T425" s="165" t="s">
        <v>678</v>
      </c>
    </row>
    <row r="426" spans="1:20" ht="38.25" customHeight="1">
      <c r="A426" s="169" t="s">
        <v>668</v>
      </c>
      <c r="B426" s="186" t="s">
        <v>669</v>
      </c>
      <c r="C426" s="156" t="s">
        <v>670</v>
      </c>
      <c r="D426" s="171" t="s">
        <v>1843</v>
      </c>
      <c r="E426" s="171" t="s">
        <v>1844</v>
      </c>
      <c r="F426" s="171" t="s">
        <v>706</v>
      </c>
      <c r="G426" s="171" t="s">
        <v>1845</v>
      </c>
      <c r="H426" s="171" t="s">
        <v>1846</v>
      </c>
      <c r="I426" s="170">
        <v>24</v>
      </c>
      <c r="J426" s="156" t="s">
        <v>574</v>
      </c>
      <c r="K426" s="187"/>
      <c r="L426" s="172" t="s">
        <v>748</v>
      </c>
      <c r="M426" s="173" t="s">
        <v>649</v>
      </c>
      <c r="N426" s="174" t="s">
        <v>733</v>
      </c>
      <c r="O426" s="174" t="s">
        <v>734</v>
      </c>
      <c r="P426" s="174" t="s">
        <v>735</v>
      </c>
      <c r="Q426" s="183">
        <v>42401</v>
      </c>
      <c r="R426" s="174" t="s">
        <v>736</v>
      </c>
      <c r="S426" s="175" t="s">
        <v>1334</v>
      </c>
      <c r="T426" s="174" t="s">
        <v>678</v>
      </c>
    </row>
    <row r="427" spans="1:20" ht="38.25" customHeight="1">
      <c r="A427" s="159" t="s">
        <v>668</v>
      </c>
      <c r="B427" s="184" t="s">
        <v>669</v>
      </c>
      <c r="C427" s="154" t="s">
        <v>670</v>
      </c>
      <c r="D427" s="161" t="s">
        <v>1847</v>
      </c>
      <c r="E427" s="161" t="s">
        <v>1848</v>
      </c>
      <c r="F427" s="161" t="s">
        <v>706</v>
      </c>
      <c r="G427" s="161" t="s">
        <v>1849</v>
      </c>
      <c r="H427" s="161" t="s">
        <v>1842</v>
      </c>
      <c r="I427" s="160">
        <v>24</v>
      </c>
      <c r="J427" s="154" t="s">
        <v>574</v>
      </c>
      <c r="K427" s="185"/>
      <c r="L427" s="163" t="s">
        <v>748</v>
      </c>
      <c r="M427" s="164" t="s">
        <v>649</v>
      </c>
      <c r="N427" s="165" t="s">
        <v>733</v>
      </c>
      <c r="O427" s="165" t="s">
        <v>734</v>
      </c>
      <c r="P427" s="165" t="s">
        <v>735</v>
      </c>
      <c r="Q427" s="188">
        <v>42401</v>
      </c>
      <c r="R427" s="165" t="s">
        <v>736</v>
      </c>
      <c r="S427" s="166" t="s">
        <v>1334</v>
      </c>
      <c r="T427" s="165" t="s">
        <v>678</v>
      </c>
    </row>
    <row r="428" spans="1:20" ht="38.25" customHeight="1">
      <c r="A428" s="169" t="s">
        <v>668</v>
      </c>
      <c r="B428" s="186" t="s">
        <v>669</v>
      </c>
      <c r="C428" s="156" t="s">
        <v>670</v>
      </c>
      <c r="D428" s="171" t="s">
        <v>1850</v>
      </c>
      <c r="E428" s="171" t="s">
        <v>1851</v>
      </c>
      <c r="F428" s="171" t="s">
        <v>706</v>
      </c>
      <c r="G428" s="171" t="s">
        <v>1366</v>
      </c>
      <c r="H428" s="171" t="s">
        <v>692</v>
      </c>
      <c r="I428" s="170">
        <v>24</v>
      </c>
      <c r="J428" s="156" t="s">
        <v>574</v>
      </c>
      <c r="K428" s="187"/>
      <c r="L428" s="172" t="s">
        <v>748</v>
      </c>
      <c r="M428" s="173" t="s">
        <v>649</v>
      </c>
      <c r="N428" s="174" t="s">
        <v>733</v>
      </c>
      <c r="O428" s="174" t="s">
        <v>734</v>
      </c>
      <c r="P428" s="174" t="s">
        <v>735</v>
      </c>
      <c r="Q428" s="183">
        <v>42401</v>
      </c>
      <c r="R428" s="174" t="s">
        <v>736</v>
      </c>
      <c r="S428" s="175" t="s">
        <v>1334</v>
      </c>
      <c r="T428" s="174" t="s">
        <v>678</v>
      </c>
    </row>
    <row r="429" spans="1:20" ht="38.25" customHeight="1">
      <c r="A429" s="159" t="s">
        <v>668</v>
      </c>
      <c r="B429" s="184" t="s">
        <v>669</v>
      </c>
      <c r="C429" s="154" t="s">
        <v>670</v>
      </c>
      <c r="D429" s="161" t="s">
        <v>1852</v>
      </c>
      <c r="E429" s="161" t="s">
        <v>1853</v>
      </c>
      <c r="F429" s="161" t="s">
        <v>706</v>
      </c>
      <c r="G429" s="161" t="s">
        <v>1396</v>
      </c>
      <c r="H429" s="161" t="s">
        <v>1396</v>
      </c>
      <c r="I429" s="160">
        <v>24</v>
      </c>
      <c r="J429" s="154" t="s">
        <v>574</v>
      </c>
      <c r="K429" s="185"/>
      <c r="L429" s="163" t="s">
        <v>748</v>
      </c>
      <c r="M429" s="164" t="s">
        <v>649</v>
      </c>
      <c r="N429" s="165" t="s">
        <v>733</v>
      </c>
      <c r="O429" s="165" t="s">
        <v>734</v>
      </c>
      <c r="P429" s="165" t="s">
        <v>735</v>
      </c>
      <c r="Q429" s="188">
        <v>42401</v>
      </c>
      <c r="R429" s="165" t="s">
        <v>736</v>
      </c>
      <c r="S429" s="166" t="s">
        <v>1334</v>
      </c>
      <c r="T429" s="165" t="s">
        <v>678</v>
      </c>
    </row>
    <row r="430" spans="1:20" ht="38.25" customHeight="1">
      <c r="A430" s="169" t="s">
        <v>668</v>
      </c>
      <c r="B430" s="186" t="s">
        <v>669</v>
      </c>
      <c r="C430" s="156" t="s">
        <v>670</v>
      </c>
      <c r="D430" s="171" t="s">
        <v>1854</v>
      </c>
      <c r="E430" s="171" t="s">
        <v>1855</v>
      </c>
      <c r="F430" s="171" t="s">
        <v>706</v>
      </c>
      <c r="G430" s="171" t="s">
        <v>1856</v>
      </c>
      <c r="H430" s="171" t="s">
        <v>1857</v>
      </c>
      <c r="I430" s="170">
        <v>24</v>
      </c>
      <c r="J430" s="156" t="s">
        <v>574</v>
      </c>
      <c r="K430" s="187"/>
      <c r="L430" s="172" t="s">
        <v>748</v>
      </c>
      <c r="M430" s="173" t="s">
        <v>649</v>
      </c>
      <c r="N430" s="174" t="s">
        <v>733</v>
      </c>
      <c r="O430" s="174" t="s">
        <v>734</v>
      </c>
      <c r="P430" s="174" t="s">
        <v>735</v>
      </c>
      <c r="Q430" s="183">
        <v>42401</v>
      </c>
      <c r="R430" s="174" t="s">
        <v>736</v>
      </c>
      <c r="S430" s="175" t="s">
        <v>1334</v>
      </c>
      <c r="T430" s="174" t="s">
        <v>678</v>
      </c>
    </row>
    <row r="431" spans="1:20" ht="38.25" customHeight="1">
      <c r="A431" s="159" t="s">
        <v>668</v>
      </c>
      <c r="B431" s="184" t="s">
        <v>669</v>
      </c>
      <c r="C431" s="154" t="s">
        <v>670</v>
      </c>
      <c r="D431" s="161" t="s">
        <v>1858</v>
      </c>
      <c r="E431" s="161" t="s">
        <v>1859</v>
      </c>
      <c r="F431" s="161" t="s">
        <v>706</v>
      </c>
      <c r="G431" s="161" t="s">
        <v>876</v>
      </c>
      <c r="H431" s="161" t="s">
        <v>1577</v>
      </c>
      <c r="I431" s="160">
        <v>25</v>
      </c>
      <c r="J431" s="154" t="s">
        <v>574</v>
      </c>
      <c r="K431" s="185"/>
      <c r="L431" s="163" t="s">
        <v>748</v>
      </c>
      <c r="M431" s="164" t="s">
        <v>649</v>
      </c>
      <c r="N431" s="165" t="s">
        <v>733</v>
      </c>
      <c r="O431" s="165" t="s">
        <v>734</v>
      </c>
      <c r="P431" s="165" t="s">
        <v>735</v>
      </c>
      <c r="Q431" s="188">
        <v>42401</v>
      </c>
      <c r="R431" s="165" t="s">
        <v>736</v>
      </c>
      <c r="S431" s="166" t="s">
        <v>1328</v>
      </c>
      <c r="T431" s="165" t="s">
        <v>678</v>
      </c>
    </row>
    <row r="432" spans="1:20" ht="38.25" customHeight="1">
      <c r="A432" s="169" t="s">
        <v>668</v>
      </c>
      <c r="B432" s="186" t="s">
        <v>669</v>
      </c>
      <c r="C432" s="156" t="s">
        <v>670</v>
      </c>
      <c r="D432" s="171" t="s">
        <v>1860</v>
      </c>
      <c r="E432" s="171" t="s">
        <v>1861</v>
      </c>
      <c r="F432" s="171" t="s">
        <v>706</v>
      </c>
      <c r="G432" s="171" t="s">
        <v>1396</v>
      </c>
      <c r="H432" s="171" t="s">
        <v>1396</v>
      </c>
      <c r="I432" s="170">
        <v>24</v>
      </c>
      <c r="J432" s="156" t="s">
        <v>574</v>
      </c>
      <c r="K432" s="187"/>
      <c r="L432" s="172" t="s">
        <v>748</v>
      </c>
      <c r="M432" s="173" t="s">
        <v>649</v>
      </c>
      <c r="N432" s="174" t="s">
        <v>733</v>
      </c>
      <c r="O432" s="174" t="s">
        <v>734</v>
      </c>
      <c r="P432" s="174" t="s">
        <v>735</v>
      </c>
      <c r="Q432" s="183">
        <v>42401</v>
      </c>
      <c r="R432" s="174" t="s">
        <v>736</v>
      </c>
      <c r="S432" s="175" t="s">
        <v>1334</v>
      </c>
      <c r="T432" s="174" t="s">
        <v>678</v>
      </c>
    </row>
    <row r="433" spans="1:20" ht="38.25" customHeight="1">
      <c r="A433" s="159" t="s">
        <v>668</v>
      </c>
      <c r="B433" s="184" t="s">
        <v>669</v>
      </c>
      <c r="C433" s="154" t="s">
        <v>670</v>
      </c>
      <c r="D433" s="161" t="s">
        <v>1862</v>
      </c>
      <c r="E433" s="161" t="s">
        <v>1863</v>
      </c>
      <c r="F433" s="161" t="s">
        <v>706</v>
      </c>
      <c r="G433" s="161" t="s">
        <v>1396</v>
      </c>
      <c r="H433" s="161" t="s">
        <v>1396</v>
      </c>
      <c r="I433" s="160">
        <v>50</v>
      </c>
      <c r="J433" s="154" t="s">
        <v>574</v>
      </c>
      <c r="K433" s="185"/>
      <c r="L433" s="163" t="s">
        <v>748</v>
      </c>
      <c r="M433" s="164" t="s">
        <v>649</v>
      </c>
      <c r="N433" s="165" t="s">
        <v>733</v>
      </c>
      <c r="O433" s="165" t="s">
        <v>734</v>
      </c>
      <c r="P433" s="165" t="s">
        <v>735</v>
      </c>
      <c r="Q433" s="188">
        <v>42401</v>
      </c>
      <c r="R433" s="165" t="s">
        <v>736</v>
      </c>
      <c r="S433" s="166" t="s">
        <v>1864</v>
      </c>
      <c r="T433" s="165" t="s">
        <v>678</v>
      </c>
    </row>
    <row r="434" spans="1:20" ht="38.25" customHeight="1">
      <c r="A434" s="169" t="s">
        <v>668</v>
      </c>
      <c r="B434" s="186" t="s">
        <v>669</v>
      </c>
      <c r="C434" s="156" t="s">
        <v>670</v>
      </c>
      <c r="D434" s="171" t="s">
        <v>1865</v>
      </c>
      <c r="E434" s="171" t="s">
        <v>1866</v>
      </c>
      <c r="F434" s="171" t="s">
        <v>706</v>
      </c>
      <c r="G434" s="171" t="s">
        <v>1401</v>
      </c>
      <c r="H434" s="171" t="s">
        <v>1402</v>
      </c>
      <c r="I434" s="170">
        <v>24</v>
      </c>
      <c r="J434" s="156" t="s">
        <v>574</v>
      </c>
      <c r="K434" s="187"/>
      <c r="L434" s="172" t="s">
        <v>748</v>
      </c>
      <c r="M434" s="173" t="s">
        <v>649</v>
      </c>
      <c r="N434" s="174" t="s">
        <v>733</v>
      </c>
      <c r="O434" s="174" t="s">
        <v>734</v>
      </c>
      <c r="P434" s="174" t="s">
        <v>735</v>
      </c>
      <c r="Q434" s="183">
        <v>42401</v>
      </c>
      <c r="R434" s="174" t="s">
        <v>736</v>
      </c>
      <c r="S434" s="175" t="s">
        <v>1334</v>
      </c>
      <c r="T434" s="174" t="s">
        <v>678</v>
      </c>
    </row>
    <row r="435" spans="1:20" ht="38.25" customHeight="1">
      <c r="A435" s="159" t="s">
        <v>668</v>
      </c>
      <c r="B435" s="184" t="s">
        <v>669</v>
      </c>
      <c r="C435" s="154" t="s">
        <v>670</v>
      </c>
      <c r="D435" s="161" t="s">
        <v>1867</v>
      </c>
      <c r="E435" s="161" t="s">
        <v>1868</v>
      </c>
      <c r="F435" s="161" t="s">
        <v>706</v>
      </c>
      <c r="G435" s="161" t="s">
        <v>1505</v>
      </c>
      <c r="H435" s="161" t="s">
        <v>732</v>
      </c>
      <c r="I435" s="160">
        <v>25</v>
      </c>
      <c r="J435" s="154" t="s">
        <v>574</v>
      </c>
      <c r="K435" s="185"/>
      <c r="L435" s="163" t="s">
        <v>748</v>
      </c>
      <c r="M435" s="164" t="s">
        <v>649</v>
      </c>
      <c r="N435" s="165" t="s">
        <v>733</v>
      </c>
      <c r="O435" s="165" t="s">
        <v>734</v>
      </c>
      <c r="P435" s="165" t="s">
        <v>735</v>
      </c>
      <c r="Q435" s="188">
        <v>42401</v>
      </c>
      <c r="R435" s="165" t="s">
        <v>736</v>
      </c>
      <c r="S435" s="166" t="s">
        <v>1328</v>
      </c>
      <c r="T435" s="165" t="s">
        <v>678</v>
      </c>
    </row>
    <row r="436" spans="1:20" ht="38.25" customHeight="1">
      <c r="A436" s="169" t="s">
        <v>668</v>
      </c>
      <c r="B436" s="186" t="s">
        <v>669</v>
      </c>
      <c r="C436" s="156" t="s">
        <v>670</v>
      </c>
      <c r="D436" s="171" t="s">
        <v>1869</v>
      </c>
      <c r="E436" s="171" t="s">
        <v>1870</v>
      </c>
      <c r="F436" s="171" t="s">
        <v>706</v>
      </c>
      <c r="G436" s="171" t="s">
        <v>1871</v>
      </c>
      <c r="H436" s="171" t="s">
        <v>732</v>
      </c>
      <c r="I436" s="170">
        <v>24</v>
      </c>
      <c r="J436" s="156" t="s">
        <v>574</v>
      </c>
      <c r="K436" s="187"/>
      <c r="L436" s="172" t="s">
        <v>748</v>
      </c>
      <c r="M436" s="173" t="s">
        <v>649</v>
      </c>
      <c r="N436" s="174" t="s">
        <v>733</v>
      </c>
      <c r="O436" s="174" t="s">
        <v>734</v>
      </c>
      <c r="P436" s="174" t="s">
        <v>735</v>
      </c>
      <c r="Q436" s="183">
        <v>42401</v>
      </c>
      <c r="R436" s="174" t="s">
        <v>736</v>
      </c>
      <c r="S436" s="175" t="s">
        <v>1334</v>
      </c>
      <c r="T436" s="174" t="s">
        <v>678</v>
      </c>
    </row>
    <row r="437" spans="1:20" ht="38.25" customHeight="1">
      <c r="A437" s="159" t="s">
        <v>668</v>
      </c>
      <c r="B437" s="184" t="s">
        <v>669</v>
      </c>
      <c r="C437" s="154" t="s">
        <v>670</v>
      </c>
      <c r="D437" s="161" t="s">
        <v>1872</v>
      </c>
      <c r="E437" s="161" t="s">
        <v>1873</v>
      </c>
      <c r="F437" s="161" t="s">
        <v>706</v>
      </c>
      <c r="G437" s="161" t="s">
        <v>1505</v>
      </c>
      <c r="H437" s="161" t="s">
        <v>732</v>
      </c>
      <c r="I437" s="160">
        <v>24</v>
      </c>
      <c r="J437" s="154" t="s">
        <v>574</v>
      </c>
      <c r="K437" s="185"/>
      <c r="L437" s="163" t="s">
        <v>748</v>
      </c>
      <c r="M437" s="164" t="s">
        <v>649</v>
      </c>
      <c r="N437" s="165" t="s">
        <v>733</v>
      </c>
      <c r="O437" s="165" t="s">
        <v>734</v>
      </c>
      <c r="P437" s="165" t="s">
        <v>735</v>
      </c>
      <c r="Q437" s="188">
        <v>42401</v>
      </c>
      <c r="R437" s="165" t="s">
        <v>736</v>
      </c>
      <c r="S437" s="166" t="s">
        <v>1334</v>
      </c>
      <c r="T437" s="165" t="s">
        <v>678</v>
      </c>
    </row>
    <row r="438" spans="1:20" ht="38.25" customHeight="1">
      <c r="A438" s="169" t="s">
        <v>668</v>
      </c>
      <c r="B438" s="186" t="s">
        <v>669</v>
      </c>
      <c r="C438" s="156" t="s">
        <v>670</v>
      </c>
      <c r="D438" s="171" t="s">
        <v>1874</v>
      </c>
      <c r="E438" s="171" t="s">
        <v>1875</v>
      </c>
      <c r="F438" s="171" t="s">
        <v>706</v>
      </c>
      <c r="G438" s="171" t="s">
        <v>1876</v>
      </c>
      <c r="H438" s="171" t="s">
        <v>1877</v>
      </c>
      <c r="I438" s="170">
        <v>25</v>
      </c>
      <c r="J438" s="156" t="s">
        <v>574</v>
      </c>
      <c r="K438" s="187"/>
      <c r="L438" s="172" t="s">
        <v>748</v>
      </c>
      <c r="M438" s="173" t="s">
        <v>649</v>
      </c>
      <c r="N438" s="174" t="s">
        <v>733</v>
      </c>
      <c r="O438" s="174" t="s">
        <v>734</v>
      </c>
      <c r="P438" s="174" t="s">
        <v>735</v>
      </c>
      <c r="Q438" s="183">
        <v>42401</v>
      </c>
      <c r="R438" s="174" t="s">
        <v>736</v>
      </c>
      <c r="S438" s="175" t="s">
        <v>1328</v>
      </c>
      <c r="T438" s="174" t="s">
        <v>678</v>
      </c>
    </row>
    <row r="439" spans="1:20" ht="51" customHeight="1">
      <c r="A439" s="159" t="s">
        <v>668</v>
      </c>
      <c r="B439" s="184" t="s">
        <v>669</v>
      </c>
      <c r="C439" s="154" t="s">
        <v>670</v>
      </c>
      <c r="D439" s="161" t="s">
        <v>1878</v>
      </c>
      <c r="E439" s="161" t="s">
        <v>1879</v>
      </c>
      <c r="F439" s="161" t="s">
        <v>1322</v>
      </c>
      <c r="G439" s="161" t="s">
        <v>697</v>
      </c>
      <c r="H439" s="161" t="s">
        <v>732</v>
      </c>
      <c r="I439" s="160">
        <v>23</v>
      </c>
      <c r="J439" s="154" t="s">
        <v>574</v>
      </c>
      <c r="K439" s="185"/>
      <c r="L439" s="163" t="s">
        <v>748</v>
      </c>
      <c r="M439" s="164" t="s">
        <v>649</v>
      </c>
      <c r="N439" s="165" t="s">
        <v>733</v>
      </c>
      <c r="O439" s="165" t="s">
        <v>734</v>
      </c>
      <c r="P439" s="165" t="s">
        <v>735</v>
      </c>
      <c r="Q439" s="188">
        <v>42401</v>
      </c>
      <c r="R439" s="165" t="s">
        <v>736</v>
      </c>
      <c r="S439" s="166" t="s">
        <v>737</v>
      </c>
      <c r="T439" s="165" t="s">
        <v>678</v>
      </c>
    </row>
    <row r="440" spans="1:20" ht="38.25" customHeight="1">
      <c r="A440" s="169" t="s">
        <v>668</v>
      </c>
      <c r="B440" s="186" t="s">
        <v>669</v>
      </c>
      <c r="C440" s="156" t="s">
        <v>670</v>
      </c>
      <c r="D440" s="171" t="s">
        <v>1880</v>
      </c>
      <c r="E440" s="171" t="s">
        <v>1881</v>
      </c>
      <c r="F440" s="171" t="s">
        <v>706</v>
      </c>
      <c r="G440" s="171" t="s">
        <v>1817</v>
      </c>
      <c r="H440" s="171" t="s">
        <v>1162</v>
      </c>
      <c r="I440" s="170">
        <v>24</v>
      </c>
      <c r="J440" s="156" t="s">
        <v>574</v>
      </c>
      <c r="K440" s="187"/>
      <c r="L440" s="172" t="s">
        <v>748</v>
      </c>
      <c r="M440" s="173" t="s">
        <v>649</v>
      </c>
      <c r="N440" s="174" t="s">
        <v>733</v>
      </c>
      <c r="O440" s="174" t="s">
        <v>734</v>
      </c>
      <c r="P440" s="174" t="s">
        <v>735</v>
      </c>
      <c r="Q440" s="183">
        <v>42401</v>
      </c>
      <c r="R440" s="174" t="s">
        <v>736</v>
      </c>
      <c r="S440" s="175" t="s">
        <v>1334</v>
      </c>
      <c r="T440" s="174" t="s">
        <v>678</v>
      </c>
    </row>
    <row r="441" spans="1:20" ht="38.25" customHeight="1">
      <c r="A441" s="159" t="s">
        <v>668</v>
      </c>
      <c r="B441" s="184" t="s">
        <v>669</v>
      </c>
      <c r="C441" s="154" t="s">
        <v>670</v>
      </c>
      <c r="D441" s="161" t="s">
        <v>1882</v>
      </c>
      <c r="E441" s="161" t="s">
        <v>1883</v>
      </c>
      <c r="F441" s="161" t="s">
        <v>706</v>
      </c>
      <c r="G441" s="161" t="s">
        <v>869</v>
      </c>
      <c r="H441" s="161" t="s">
        <v>1162</v>
      </c>
      <c r="I441" s="160">
        <v>24</v>
      </c>
      <c r="J441" s="154" t="s">
        <v>574</v>
      </c>
      <c r="K441" s="185"/>
      <c r="L441" s="163" t="s">
        <v>748</v>
      </c>
      <c r="M441" s="164" t="s">
        <v>649</v>
      </c>
      <c r="N441" s="165" t="s">
        <v>733</v>
      </c>
      <c r="O441" s="165" t="s">
        <v>734</v>
      </c>
      <c r="P441" s="165" t="s">
        <v>735</v>
      </c>
      <c r="Q441" s="188">
        <v>42401</v>
      </c>
      <c r="R441" s="165" t="s">
        <v>736</v>
      </c>
      <c r="S441" s="166" t="s">
        <v>1334</v>
      </c>
      <c r="T441" s="165" t="s">
        <v>678</v>
      </c>
    </row>
    <row r="442" spans="1:20" ht="38.25" customHeight="1">
      <c r="A442" s="169" t="s">
        <v>668</v>
      </c>
      <c r="B442" s="186" t="s">
        <v>669</v>
      </c>
      <c r="C442" s="156" t="s">
        <v>670</v>
      </c>
      <c r="D442" s="171" t="s">
        <v>1884</v>
      </c>
      <c r="E442" s="171" t="s">
        <v>1885</v>
      </c>
      <c r="F442" s="171" t="s">
        <v>706</v>
      </c>
      <c r="G442" s="171" t="s">
        <v>1886</v>
      </c>
      <c r="H442" s="171" t="s">
        <v>1877</v>
      </c>
      <c r="I442" s="170">
        <v>23</v>
      </c>
      <c r="J442" s="156" t="s">
        <v>574</v>
      </c>
      <c r="K442" s="187"/>
      <c r="L442" s="172" t="s">
        <v>748</v>
      </c>
      <c r="M442" s="173" t="s">
        <v>649</v>
      </c>
      <c r="N442" s="174" t="s">
        <v>733</v>
      </c>
      <c r="O442" s="174" t="s">
        <v>734</v>
      </c>
      <c r="P442" s="174" t="s">
        <v>735</v>
      </c>
      <c r="Q442" s="183">
        <v>42401</v>
      </c>
      <c r="R442" s="174" t="s">
        <v>736</v>
      </c>
      <c r="S442" s="175" t="s">
        <v>737</v>
      </c>
      <c r="T442" s="174" t="s">
        <v>678</v>
      </c>
    </row>
    <row r="443" spans="1:20" ht="38.25" customHeight="1">
      <c r="A443" s="159" t="s">
        <v>668</v>
      </c>
      <c r="B443" s="184" t="s">
        <v>669</v>
      </c>
      <c r="C443" s="154" t="s">
        <v>670</v>
      </c>
      <c r="D443" s="161" t="s">
        <v>1887</v>
      </c>
      <c r="E443" s="161" t="s">
        <v>1888</v>
      </c>
      <c r="F443" s="161" t="s">
        <v>706</v>
      </c>
      <c r="G443" s="161" t="s">
        <v>1366</v>
      </c>
      <c r="H443" s="161" t="s">
        <v>1162</v>
      </c>
      <c r="I443" s="160">
        <v>24</v>
      </c>
      <c r="J443" s="154" t="s">
        <v>574</v>
      </c>
      <c r="K443" s="185"/>
      <c r="L443" s="163" t="s">
        <v>748</v>
      </c>
      <c r="M443" s="164" t="s">
        <v>649</v>
      </c>
      <c r="N443" s="165" t="s">
        <v>733</v>
      </c>
      <c r="O443" s="165" t="s">
        <v>734</v>
      </c>
      <c r="P443" s="165" t="s">
        <v>735</v>
      </c>
      <c r="Q443" s="188">
        <v>42401</v>
      </c>
      <c r="R443" s="165" t="s">
        <v>736</v>
      </c>
      <c r="S443" s="166" t="s">
        <v>1334</v>
      </c>
      <c r="T443" s="165" t="s">
        <v>678</v>
      </c>
    </row>
    <row r="444" spans="1:20" ht="38.25" customHeight="1">
      <c r="A444" s="169" t="s">
        <v>668</v>
      </c>
      <c r="B444" s="186" t="s">
        <v>669</v>
      </c>
      <c r="C444" s="156" t="s">
        <v>670</v>
      </c>
      <c r="D444" s="171" t="s">
        <v>1889</v>
      </c>
      <c r="E444" s="171" t="s">
        <v>1890</v>
      </c>
      <c r="F444" s="171" t="s">
        <v>706</v>
      </c>
      <c r="G444" s="171" t="s">
        <v>716</v>
      </c>
      <c r="H444" s="171" t="s">
        <v>1162</v>
      </c>
      <c r="I444" s="170">
        <v>25</v>
      </c>
      <c r="J444" s="156" t="s">
        <v>574</v>
      </c>
      <c r="K444" s="187"/>
      <c r="L444" s="172" t="s">
        <v>748</v>
      </c>
      <c r="M444" s="173" t="s">
        <v>649</v>
      </c>
      <c r="N444" s="174" t="s">
        <v>733</v>
      </c>
      <c r="O444" s="174" t="s">
        <v>734</v>
      </c>
      <c r="P444" s="174" t="s">
        <v>735</v>
      </c>
      <c r="Q444" s="183">
        <v>42401</v>
      </c>
      <c r="R444" s="174" t="s">
        <v>736</v>
      </c>
      <c r="S444" s="175" t="s">
        <v>1328</v>
      </c>
      <c r="T444" s="174" t="s">
        <v>678</v>
      </c>
    </row>
    <row r="445" spans="1:20" ht="38.25" customHeight="1">
      <c r="A445" s="159" t="s">
        <v>668</v>
      </c>
      <c r="B445" s="184" t="s">
        <v>669</v>
      </c>
      <c r="C445" s="154" t="s">
        <v>670</v>
      </c>
      <c r="D445" s="161" t="s">
        <v>1891</v>
      </c>
      <c r="E445" s="161" t="s">
        <v>1892</v>
      </c>
      <c r="F445" s="161" t="s">
        <v>706</v>
      </c>
      <c r="G445" s="161" t="s">
        <v>1893</v>
      </c>
      <c r="H445" s="161" t="s">
        <v>1877</v>
      </c>
      <c r="I445" s="160">
        <v>24</v>
      </c>
      <c r="J445" s="154" t="s">
        <v>574</v>
      </c>
      <c r="K445" s="185"/>
      <c r="L445" s="163" t="s">
        <v>748</v>
      </c>
      <c r="M445" s="164" t="s">
        <v>649</v>
      </c>
      <c r="N445" s="165" t="s">
        <v>733</v>
      </c>
      <c r="O445" s="165" t="s">
        <v>734</v>
      </c>
      <c r="P445" s="165" t="s">
        <v>735</v>
      </c>
      <c r="Q445" s="188">
        <v>42401</v>
      </c>
      <c r="R445" s="165" t="s">
        <v>736</v>
      </c>
      <c r="S445" s="166" t="s">
        <v>1334</v>
      </c>
      <c r="T445" s="165" t="s">
        <v>678</v>
      </c>
    </row>
    <row r="446" spans="1:20" ht="38.25" customHeight="1">
      <c r="A446" s="169" t="s">
        <v>668</v>
      </c>
      <c r="B446" s="186" t="s">
        <v>669</v>
      </c>
      <c r="C446" s="156" t="s">
        <v>670</v>
      </c>
      <c r="D446" s="171" t="s">
        <v>1894</v>
      </c>
      <c r="E446" s="171" t="s">
        <v>1895</v>
      </c>
      <c r="F446" s="171" t="s">
        <v>706</v>
      </c>
      <c r="G446" s="171" t="s">
        <v>820</v>
      </c>
      <c r="H446" s="171" t="s">
        <v>1877</v>
      </c>
      <c r="I446" s="170">
        <v>25</v>
      </c>
      <c r="J446" s="156" t="s">
        <v>574</v>
      </c>
      <c r="K446" s="187"/>
      <c r="L446" s="172" t="s">
        <v>748</v>
      </c>
      <c r="M446" s="173" t="s">
        <v>649</v>
      </c>
      <c r="N446" s="174" t="s">
        <v>733</v>
      </c>
      <c r="O446" s="174" t="s">
        <v>734</v>
      </c>
      <c r="P446" s="174" t="s">
        <v>735</v>
      </c>
      <c r="Q446" s="183">
        <v>42401</v>
      </c>
      <c r="R446" s="174" t="s">
        <v>736</v>
      </c>
      <c r="S446" s="175" t="s">
        <v>1328</v>
      </c>
      <c r="T446" s="174" t="s">
        <v>678</v>
      </c>
    </row>
    <row r="447" spans="1:20" ht="38.25" customHeight="1">
      <c r="A447" s="159" t="s">
        <v>668</v>
      </c>
      <c r="B447" s="184" t="s">
        <v>669</v>
      </c>
      <c r="C447" s="154" t="s">
        <v>670</v>
      </c>
      <c r="D447" s="161" t="s">
        <v>1896</v>
      </c>
      <c r="E447" s="161" t="s">
        <v>1897</v>
      </c>
      <c r="F447" s="161" t="s">
        <v>706</v>
      </c>
      <c r="G447" s="161" t="s">
        <v>697</v>
      </c>
      <c r="H447" s="161" t="s">
        <v>1877</v>
      </c>
      <c r="I447" s="160">
        <v>24</v>
      </c>
      <c r="J447" s="154" t="s">
        <v>574</v>
      </c>
      <c r="K447" s="185"/>
      <c r="L447" s="163" t="s">
        <v>748</v>
      </c>
      <c r="M447" s="164" t="s">
        <v>649</v>
      </c>
      <c r="N447" s="165" t="s">
        <v>733</v>
      </c>
      <c r="O447" s="165" t="s">
        <v>734</v>
      </c>
      <c r="P447" s="165" t="s">
        <v>735</v>
      </c>
      <c r="Q447" s="188">
        <v>42401</v>
      </c>
      <c r="R447" s="165" t="s">
        <v>736</v>
      </c>
      <c r="S447" s="166" t="s">
        <v>1334</v>
      </c>
      <c r="T447" s="165" t="s">
        <v>678</v>
      </c>
    </row>
    <row r="448" spans="1:20" ht="38.25" customHeight="1">
      <c r="A448" s="169" t="s">
        <v>668</v>
      </c>
      <c r="B448" s="186" t="s">
        <v>669</v>
      </c>
      <c r="C448" s="156" t="s">
        <v>670</v>
      </c>
      <c r="D448" s="171" t="s">
        <v>1898</v>
      </c>
      <c r="E448" s="171" t="s">
        <v>1899</v>
      </c>
      <c r="F448" s="171" t="s">
        <v>706</v>
      </c>
      <c r="G448" s="171" t="s">
        <v>1373</v>
      </c>
      <c r="H448" s="171" t="s">
        <v>1877</v>
      </c>
      <c r="I448" s="170">
        <v>49</v>
      </c>
      <c r="J448" s="156" t="s">
        <v>574</v>
      </c>
      <c r="K448" s="187"/>
      <c r="L448" s="172" t="s">
        <v>748</v>
      </c>
      <c r="M448" s="173" t="s">
        <v>649</v>
      </c>
      <c r="N448" s="174" t="s">
        <v>733</v>
      </c>
      <c r="O448" s="174" t="s">
        <v>734</v>
      </c>
      <c r="P448" s="174" t="s">
        <v>735</v>
      </c>
      <c r="Q448" s="183">
        <v>42401</v>
      </c>
      <c r="R448" s="174" t="s">
        <v>736</v>
      </c>
      <c r="S448" s="175" t="s">
        <v>1900</v>
      </c>
      <c r="T448" s="174" t="s">
        <v>678</v>
      </c>
    </row>
    <row r="449" spans="1:20" ht="38.25" customHeight="1">
      <c r="A449" s="159" t="s">
        <v>668</v>
      </c>
      <c r="B449" s="184" t="s">
        <v>669</v>
      </c>
      <c r="C449" s="154" t="s">
        <v>670</v>
      </c>
      <c r="D449" s="161" t="s">
        <v>1901</v>
      </c>
      <c r="E449" s="161" t="s">
        <v>1902</v>
      </c>
      <c r="F449" s="161" t="s">
        <v>706</v>
      </c>
      <c r="G449" s="161" t="s">
        <v>1903</v>
      </c>
      <c r="H449" s="161" t="s">
        <v>1877</v>
      </c>
      <c r="I449" s="160">
        <v>25</v>
      </c>
      <c r="J449" s="154" t="s">
        <v>574</v>
      </c>
      <c r="K449" s="185"/>
      <c r="L449" s="163" t="s">
        <v>748</v>
      </c>
      <c r="M449" s="164" t="s">
        <v>649</v>
      </c>
      <c r="N449" s="165" t="s">
        <v>733</v>
      </c>
      <c r="O449" s="165" t="s">
        <v>734</v>
      </c>
      <c r="P449" s="165" t="s">
        <v>735</v>
      </c>
      <c r="Q449" s="188">
        <v>42401</v>
      </c>
      <c r="R449" s="165" t="s">
        <v>736</v>
      </c>
      <c r="S449" s="166" t="s">
        <v>1328</v>
      </c>
      <c r="T449" s="165" t="s">
        <v>678</v>
      </c>
    </row>
    <row r="450" spans="1:20" ht="38.25" customHeight="1">
      <c r="A450" s="169" t="s">
        <v>668</v>
      </c>
      <c r="B450" s="186" t="s">
        <v>669</v>
      </c>
      <c r="C450" s="156" t="s">
        <v>670</v>
      </c>
      <c r="D450" s="171" t="s">
        <v>1901</v>
      </c>
      <c r="E450" s="171" t="s">
        <v>1904</v>
      </c>
      <c r="F450" s="171" t="s">
        <v>706</v>
      </c>
      <c r="G450" s="171" t="s">
        <v>1903</v>
      </c>
      <c r="H450" s="171" t="s">
        <v>1877</v>
      </c>
      <c r="I450" s="170">
        <v>24</v>
      </c>
      <c r="J450" s="156" t="s">
        <v>574</v>
      </c>
      <c r="K450" s="187"/>
      <c r="L450" s="172" t="s">
        <v>748</v>
      </c>
      <c r="M450" s="173" t="s">
        <v>649</v>
      </c>
      <c r="N450" s="174" t="s">
        <v>733</v>
      </c>
      <c r="O450" s="174" t="s">
        <v>734</v>
      </c>
      <c r="P450" s="174" t="s">
        <v>735</v>
      </c>
      <c r="Q450" s="183">
        <v>42401</v>
      </c>
      <c r="R450" s="174" t="s">
        <v>736</v>
      </c>
      <c r="S450" s="175" t="s">
        <v>1334</v>
      </c>
      <c r="T450" s="174" t="s">
        <v>678</v>
      </c>
    </row>
    <row r="451" spans="1:20" ht="38.25" customHeight="1">
      <c r="A451" s="159" t="s">
        <v>668</v>
      </c>
      <c r="B451" s="184" t="s">
        <v>669</v>
      </c>
      <c r="C451" s="154" t="s">
        <v>670</v>
      </c>
      <c r="D451" s="161" t="s">
        <v>1905</v>
      </c>
      <c r="E451" s="161" t="s">
        <v>1906</v>
      </c>
      <c r="F451" s="161" t="s">
        <v>706</v>
      </c>
      <c r="G451" s="161" t="s">
        <v>1907</v>
      </c>
      <c r="H451" s="161" t="s">
        <v>1877</v>
      </c>
      <c r="I451" s="160">
        <v>25</v>
      </c>
      <c r="J451" s="154" t="s">
        <v>574</v>
      </c>
      <c r="K451" s="185"/>
      <c r="L451" s="163" t="s">
        <v>748</v>
      </c>
      <c r="M451" s="164" t="s">
        <v>649</v>
      </c>
      <c r="N451" s="165" t="s">
        <v>733</v>
      </c>
      <c r="O451" s="165" t="s">
        <v>734</v>
      </c>
      <c r="P451" s="165" t="s">
        <v>735</v>
      </c>
      <c r="Q451" s="188">
        <v>42401</v>
      </c>
      <c r="R451" s="165" t="s">
        <v>736</v>
      </c>
      <c r="S451" s="166" t="s">
        <v>1328</v>
      </c>
      <c r="T451" s="165" t="s">
        <v>678</v>
      </c>
    </row>
    <row r="452" spans="1:20" ht="38.25" customHeight="1">
      <c r="A452" s="169" t="s">
        <v>668</v>
      </c>
      <c r="B452" s="186" t="s">
        <v>669</v>
      </c>
      <c r="C452" s="156" t="s">
        <v>670</v>
      </c>
      <c r="D452" s="171" t="s">
        <v>1908</v>
      </c>
      <c r="E452" s="171" t="s">
        <v>1909</v>
      </c>
      <c r="F452" s="171" t="s">
        <v>1910</v>
      </c>
      <c r="G452" s="171" t="s">
        <v>1911</v>
      </c>
      <c r="H452" s="171" t="s">
        <v>1857</v>
      </c>
      <c r="I452" s="170">
        <v>24</v>
      </c>
      <c r="J452" s="156" t="s">
        <v>574</v>
      </c>
      <c r="K452" s="187"/>
      <c r="L452" s="172" t="s">
        <v>748</v>
      </c>
      <c r="M452" s="173" t="s">
        <v>649</v>
      </c>
      <c r="N452" s="174" t="s">
        <v>733</v>
      </c>
      <c r="O452" s="174" t="s">
        <v>734</v>
      </c>
      <c r="P452" s="174" t="s">
        <v>735</v>
      </c>
      <c r="Q452" s="183">
        <v>42401</v>
      </c>
      <c r="R452" s="174" t="s">
        <v>736</v>
      </c>
      <c r="S452" s="175" t="s">
        <v>1334</v>
      </c>
      <c r="T452" s="174" t="s">
        <v>678</v>
      </c>
    </row>
    <row r="453" spans="1:20" ht="38.25" customHeight="1">
      <c r="A453" s="159" t="s">
        <v>668</v>
      </c>
      <c r="B453" s="184" t="s">
        <v>669</v>
      </c>
      <c r="C453" s="154" t="s">
        <v>670</v>
      </c>
      <c r="D453" s="161" t="s">
        <v>1912</v>
      </c>
      <c r="E453" s="161" t="s">
        <v>1913</v>
      </c>
      <c r="F453" s="161" t="s">
        <v>706</v>
      </c>
      <c r="G453" s="161" t="s">
        <v>1914</v>
      </c>
      <c r="H453" s="161" t="s">
        <v>1857</v>
      </c>
      <c r="I453" s="160">
        <v>24</v>
      </c>
      <c r="J453" s="154" t="s">
        <v>574</v>
      </c>
      <c r="K453" s="185"/>
      <c r="L453" s="163" t="s">
        <v>748</v>
      </c>
      <c r="M453" s="164" t="s">
        <v>649</v>
      </c>
      <c r="N453" s="165" t="s">
        <v>733</v>
      </c>
      <c r="O453" s="165" t="s">
        <v>734</v>
      </c>
      <c r="P453" s="165" t="s">
        <v>735</v>
      </c>
      <c r="Q453" s="188">
        <v>42401</v>
      </c>
      <c r="R453" s="165" t="s">
        <v>736</v>
      </c>
      <c r="S453" s="166" t="s">
        <v>1334</v>
      </c>
      <c r="T453" s="165" t="s">
        <v>678</v>
      </c>
    </row>
    <row r="454" spans="1:20" ht="38.25" customHeight="1">
      <c r="A454" s="169" t="s">
        <v>668</v>
      </c>
      <c r="B454" s="186" t="s">
        <v>669</v>
      </c>
      <c r="C454" s="156" t="s">
        <v>670</v>
      </c>
      <c r="D454" s="171" t="s">
        <v>1915</v>
      </c>
      <c r="E454" s="171" t="s">
        <v>1916</v>
      </c>
      <c r="F454" s="171" t="s">
        <v>1343</v>
      </c>
      <c r="G454" s="171" t="s">
        <v>1917</v>
      </c>
      <c r="H454" s="171" t="s">
        <v>1166</v>
      </c>
      <c r="I454" s="170">
        <v>24.6</v>
      </c>
      <c r="J454" s="156" t="s">
        <v>574</v>
      </c>
      <c r="K454" s="187"/>
      <c r="L454" s="172" t="s">
        <v>748</v>
      </c>
      <c r="M454" s="173" t="s">
        <v>649</v>
      </c>
      <c r="N454" s="174" t="s">
        <v>733</v>
      </c>
      <c r="O454" s="174" t="s">
        <v>734</v>
      </c>
      <c r="P454" s="174" t="s">
        <v>735</v>
      </c>
      <c r="Q454" s="183">
        <v>43307</v>
      </c>
      <c r="R454" s="174" t="s">
        <v>736</v>
      </c>
      <c r="S454" s="175" t="s">
        <v>1918</v>
      </c>
      <c r="T454" s="174" t="s">
        <v>678</v>
      </c>
    </row>
    <row r="455" spans="1:20" ht="38.25" customHeight="1">
      <c r="A455" s="159" t="s">
        <v>668</v>
      </c>
      <c r="B455" s="184" t="s">
        <v>669</v>
      </c>
      <c r="C455" s="154" t="s">
        <v>670</v>
      </c>
      <c r="D455" s="161" t="s">
        <v>1919</v>
      </c>
      <c r="E455" s="161" t="s">
        <v>1920</v>
      </c>
      <c r="F455" s="161" t="s">
        <v>706</v>
      </c>
      <c r="G455" s="161" t="s">
        <v>1921</v>
      </c>
      <c r="H455" s="161" t="s">
        <v>1337</v>
      </c>
      <c r="I455" s="160">
        <v>23.6</v>
      </c>
      <c r="J455" s="154" t="s">
        <v>574</v>
      </c>
      <c r="K455" s="185"/>
      <c r="L455" s="163" t="s">
        <v>748</v>
      </c>
      <c r="M455" s="164" t="s">
        <v>649</v>
      </c>
      <c r="N455" s="165" t="s">
        <v>733</v>
      </c>
      <c r="O455" s="165" t="s">
        <v>734</v>
      </c>
      <c r="P455" s="165" t="s">
        <v>735</v>
      </c>
      <c r="Q455" s="188">
        <v>43307</v>
      </c>
      <c r="R455" s="165" t="s">
        <v>736</v>
      </c>
      <c r="S455" s="166" t="s">
        <v>1922</v>
      </c>
      <c r="T455" s="165" t="s">
        <v>678</v>
      </c>
    </row>
    <row r="456" spans="1:20" ht="38.25" customHeight="1">
      <c r="A456" s="169" t="s">
        <v>668</v>
      </c>
      <c r="B456" s="186" t="s">
        <v>669</v>
      </c>
      <c r="C456" s="156" t="s">
        <v>670</v>
      </c>
      <c r="D456" s="171" t="s">
        <v>1923</v>
      </c>
      <c r="E456" s="171" t="s">
        <v>1924</v>
      </c>
      <c r="F456" s="171" t="s">
        <v>706</v>
      </c>
      <c r="G456" s="171" t="s">
        <v>1921</v>
      </c>
      <c r="H456" s="171" t="s">
        <v>1337</v>
      </c>
      <c r="I456" s="170">
        <v>24.2</v>
      </c>
      <c r="J456" s="156" t="s">
        <v>574</v>
      </c>
      <c r="K456" s="187"/>
      <c r="L456" s="172" t="s">
        <v>748</v>
      </c>
      <c r="M456" s="173" t="s">
        <v>649</v>
      </c>
      <c r="N456" s="174" t="s">
        <v>733</v>
      </c>
      <c r="O456" s="174" t="s">
        <v>734</v>
      </c>
      <c r="P456" s="174" t="s">
        <v>735</v>
      </c>
      <c r="Q456" s="183">
        <v>43306</v>
      </c>
      <c r="R456" s="174" t="s">
        <v>736</v>
      </c>
      <c r="S456" s="175" t="s">
        <v>1925</v>
      </c>
      <c r="T456" s="174" t="s">
        <v>678</v>
      </c>
    </row>
    <row r="457" spans="1:20" ht="38.25" customHeight="1">
      <c r="A457" s="159" t="s">
        <v>668</v>
      </c>
      <c r="B457" s="184" t="s">
        <v>669</v>
      </c>
      <c r="C457" s="154" t="s">
        <v>670</v>
      </c>
      <c r="D457" s="161" t="s">
        <v>1926</v>
      </c>
      <c r="E457" s="161" t="s">
        <v>1927</v>
      </c>
      <c r="F457" s="161" t="s">
        <v>706</v>
      </c>
      <c r="G457" s="161" t="s">
        <v>1928</v>
      </c>
      <c r="H457" s="161" t="s">
        <v>1929</v>
      </c>
      <c r="I457" s="160">
        <v>24.3</v>
      </c>
      <c r="J457" s="154" t="s">
        <v>574</v>
      </c>
      <c r="K457" s="185"/>
      <c r="L457" s="163" t="s">
        <v>748</v>
      </c>
      <c r="M457" s="164" t="s">
        <v>649</v>
      </c>
      <c r="N457" s="165" t="s">
        <v>733</v>
      </c>
      <c r="O457" s="165" t="s">
        <v>734</v>
      </c>
      <c r="P457" s="165" t="s">
        <v>735</v>
      </c>
      <c r="Q457" s="188">
        <v>43306</v>
      </c>
      <c r="R457" s="165" t="s">
        <v>736</v>
      </c>
      <c r="S457" s="166" t="s">
        <v>1930</v>
      </c>
      <c r="T457" s="165" t="s">
        <v>678</v>
      </c>
    </row>
    <row r="458" spans="1:20" ht="38.25" customHeight="1">
      <c r="A458" s="169" t="s">
        <v>668</v>
      </c>
      <c r="B458" s="186" t="s">
        <v>669</v>
      </c>
      <c r="C458" s="156" t="s">
        <v>670</v>
      </c>
      <c r="D458" s="171" t="s">
        <v>1931</v>
      </c>
      <c r="E458" s="171" t="s">
        <v>1932</v>
      </c>
      <c r="F458" s="171" t="s">
        <v>706</v>
      </c>
      <c r="G458" s="171" t="s">
        <v>1928</v>
      </c>
      <c r="H458" s="171" t="s">
        <v>1929</v>
      </c>
      <c r="I458" s="170">
        <v>23.6</v>
      </c>
      <c r="J458" s="156" t="s">
        <v>574</v>
      </c>
      <c r="K458" s="187"/>
      <c r="L458" s="172" t="s">
        <v>748</v>
      </c>
      <c r="M458" s="173" t="s">
        <v>649</v>
      </c>
      <c r="N458" s="174" t="s">
        <v>733</v>
      </c>
      <c r="O458" s="174" t="s">
        <v>734</v>
      </c>
      <c r="P458" s="174" t="s">
        <v>735</v>
      </c>
      <c r="Q458" s="183">
        <v>43306</v>
      </c>
      <c r="R458" s="174" t="s">
        <v>736</v>
      </c>
      <c r="S458" s="175" t="s">
        <v>1922</v>
      </c>
      <c r="T458" s="174" t="s">
        <v>678</v>
      </c>
    </row>
    <row r="459" spans="1:20" ht="38.25" customHeight="1">
      <c r="A459" s="159" t="s">
        <v>668</v>
      </c>
      <c r="B459" s="184" t="s">
        <v>669</v>
      </c>
      <c r="C459" s="154" t="s">
        <v>670</v>
      </c>
      <c r="D459" s="161" t="s">
        <v>1933</v>
      </c>
      <c r="E459" s="161" t="s">
        <v>1934</v>
      </c>
      <c r="F459" s="161" t="s">
        <v>1343</v>
      </c>
      <c r="G459" s="161" t="s">
        <v>1935</v>
      </c>
      <c r="H459" s="161" t="s">
        <v>747</v>
      </c>
      <c r="I459" s="160">
        <v>22.2</v>
      </c>
      <c r="J459" s="154" t="s">
        <v>574</v>
      </c>
      <c r="K459" s="185"/>
      <c r="L459" s="163" t="s">
        <v>748</v>
      </c>
      <c r="M459" s="164" t="s">
        <v>649</v>
      </c>
      <c r="N459" s="165" t="s">
        <v>733</v>
      </c>
      <c r="O459" s="165" t="s">
        <v>734</v>
      </c>
      <c r="P459" s="165" t="s">
        <v>735</v>
      </c>
      <c r="Q459" s="188">
        <v>43307</v>
      </c>
      <c r="R459" s="165" t="s">
        <v>736</v>
      </c>
      <c r="S459" s="166" t="s">
        <v>1936</v>
      </c>
      <c r="T459" s="165" t="s">
        <v>678</v>
      </c>
    </row>
    <row r="460" spans="1:20" ht="38.25" customHeight="1">
      <c r="A460" s="169" t="s">
        <v>668</v>
      </c>
      <c r="B460" s="186" t="s">
        <v>669</v>
      </c>
      <c r="C460" s="156" t="s">
        <v>670</v>
      </c>
      <c r="D460" s="171" t="s">
        <v>1933</v>
      </c>
      <c r="E460" s="171" t="s">
        <v>1937</v>
      </c>
      <c r="F460" s="171" t="s">
        <v>740</v>
      </c>
      <c r="G460" s="171" t="s">
        <v>1935</v>
      </c>
      <c r="H460" s="171" t="s">
        <v>747</v>
      </c>
      <c r="I460" s="170">
        <v>22.7</v>
      </c>
      <c r="J460" s="156" t="s">
        <v>574</v>
      </c>
      <c r="K460" s="187"/>
      <c r="L460" s="172" t="s">
        <v>748</v>
      </c>
      <c r="M460" s="173" t="s">
        <v>649</v>
      </c>
      <c r="N460" s="174" t="s">
        <v>733</v>
      </c>
      <c r="O460" s="174" t="s">
        <v>734</v>
      </c>
      <c r="P460" s="174" t="s">
        <v>735</v>
      </c>
      <c r="Q460" s="183">
        <v>43307</v>
      </c>
      <c r="R460" s="174" t="s">
        <v>736</v>
      </c>
      <c r="S460" s="175" t="s">
        <v>1938</v>
      </c>
      <c r="T460" s="174" t="s">
        <v>678</v>
      </c>
    </row>
    <row r="461" spans="1:20" ht="38.25" customHeight="1">
      <c r="A461" s="159" t="s">
        <v>668</v>
      </c>
      <c r="B461" s="184" t="s">
        <v>669</v>
      </c>
      <c r="C461" s="154" t="s">
        <v>670</v>
      </c>
      <c r="D461" s="161" t="s">
        <v>1939</v>
      </c>
      <c r="E461" s="161" t="s">
        <v>1940</v>
      </c>
      <c r="F461" s="161" t="s">
        <v>706</v>
      </c>
      <c r="G461" s="161" t="s">
        <v>1941</v>
      </c>
      <c r="H461" s="161" t="s">
        <v>747</v>
      </c>
      <c r="I461" s="160">
        <v>22.5</v>
      </c>
      <c r="J461" s="154" t="s">
        <v>574</v>
      </c>
      <c r="K461" s="185"/>
      <c r="L461" s="163" t="s">
        <v>748</v>
      </c>
      <c r="M461" s="164" t="s">
        <v>649</v>
      </c>
      <c r="N461" s="165" t="s">
        <v>733</v>
      </c>
      <c r="O461" s="165" t="s">
        <v>734</v>
      </c>
      <c r="P461" s="165" t="s">
        <v>735</v>
      </c>
      <c r="Q461" s="188">
        <v>43307</v>
      </c>
      <c r="R461" s="165" t="s">
        <v>736</v>
      </c>
      <c r="S461" s="166" t="s">
        <v>1942</v>
      </c>
      <c r="T461" s="165" t="s">
        <v>678</v>
      </c>
    </row>
    <row r="462" spans="1:20" ht="38.25" customHeight="1">
      <c r="A462" s="169" t="s">
        <v>668</v>
      </c>
      <c r="B462" s="186" t="s">
        <v>669</v>
      </c>
      <c r="C462" s="156" t="s">
        <v>670</v>
      </c>
      <c r="D462" s="171" t="s">
        <v>1939</v>
      </c>
      <c r="E462" s="171" t="s">
        <v>1943</v>
      </c>
      <c r="F462" s="171" t="s">
        <v>706</v>
      </c>
      <c r="G462" s="171" t="s">
        <v>1941</v>
      </c>
      <c r="H462" s="171" t="s">
        <v>747</v>
      </c>
      <c r="I462" s="170">
        <v>25</v>
      </c>
      <c r="J462" s="156" t="s">
        <v>574</v>
      </c>
      <c r="K462" s="187"/>
      <c r="L462" s="172" t="s">
        <v>748</v>
      </c>
      <c r="M462" s="173" t="s">
        <v>649</v>
      </c>
      <c r="N462" s="174" t="s">
        <v>733</v>
      </c>
      <c r="O462" s="174" t="s">
        <v>734</v>
      </c>
      <c r="P462" s="174" t="s">
        <v>735</v>
      </c>
      <c r="Q462" s="183">
        <v>43307</v>
      </c>
      <c r="R462" s="174" t="s">
        <v>736</v>
      </c>
      <c r="S462" s="175" t="s">
        <v>1328</v>
      </c>
      <c r="T462" s="174" t="s">
        <v>678</v>
      </c>
    </row>
    <row r="463" spans="1:20" ht="38.25" customHeight="1">
      <c r="A463" s="159" t="s">
        <v>668</v>
      </c>
      <c r="B463" s="184" t="s">
        <v>669</v>
      </c>
      <c r="C463" s="154" t="s">
        <v>670</v>
      </c>
      <c r="D463" s="161" t="s">
        <v>1944</v>
      </c>
      <c r="E463" s="161" t="s">
        <v>1945</v>
      </c>
      <c r="F463" s="161" t="s">
        <v>706</v>
      </c>
      <c r="G463" s="161" t="s">
        <v>697</v>
      </c>
      <c r="H463" s="161" t="s">
        <v>747</v>
      </c>
      <c r="I463" s="160">
        <v>24.5</v>
      </c>
      <c r="J463" s="154" t="s">
        <v>574</v>
      </c>
      <c r="K463" s="185"/>
      <c r="L463" s="163" t="s">
        <v>748</v>
      </c>
      <c r="M463" s="164" t="s">
        <v>649</v>
      </c>
      <c r="N463" s="165" t="s">
        <v>733</v>
      </c>
      <c r="O463" s="165" t="s">
        <v>734</v>
      </c>
      <c r="P463" s="165" t="s">
        <v>735</v>
      </c>
      <c r="Q463" s="188">
        <v>43307</v>
      </c>
      <c r="R463" s="165" t="s">
        <v>736</v>
      </c>
      <c r="S463" s="166" t="s">
        <v>1946</v>
      </c>
      <c r="T463" s="165" t="s">
        <v>678</v>
      </c>
    </row>
    <row r="464" spans="1:20" ht="38.25" customHeight="1">
      <c r="A464" s="169" t="s">
        <v>668</v>
      </c>
      <c r="B464" s="186" t="s">
        <v>669</v>
      </c>
      <c r="C464" s="156" t="s">
        <v>670</v>
      </c>
      <c r="D464" s="171" t="s">
        <v>1947</v>
      </c>
      <c r="E464" s="171" t="s">
        <v>1948</v>
      </c>
      <c r="F464" s="171" t="s">
        <v>706</v>
      </c>
      <c r="G464" s="171" t="s">
        <v>1949</v>
      </c>
      <c r="H464" s="171" t="s">
        <v>1166</v>
      </c>
      <c r="I464" s="170">
        <v>22.7</v>
      </c>
      <c r="J464" s="156" t="s">
        <v>574</v>
      </c>
      <c r="K464" s="187"/>
      <c r="L464" s="172" t="s">
        <v>748</v>
      </c>
      <c r="M464" s="173" t="s">
        <v>649</v>
      </c>
      <c r="N464" s="174" t="s">
        <v>733</v>
      </c>
      <c r="O464" s="174" t="s">
        <v>734</v>
      </c>
      <c r="P464" s="174" t="s">
        <v>735</v>
      </c>
      <c r="Q464" s="183">
        <v>43307</v>
      </c>
      <c r="R464" s="174" t="s">
        <v>736</v>
      </c>
      <c r="S464" s="175" t="s">
        <v>1938</v>
      </c>
      <c r="T464" s="174" t="s">
        <v>678</v>
      </c>
    </row>
    <row r="465" spans="1:20" ht="38.25" customHeight="1">
      <c r="A465" s="159" t="s">
        <v>668</v>
      </c>
      <c r="B465" s="184" t="s">
        <v>669</v>
      </c>
      <c r="C465" s="154" t="s">
        <v>670</v>
      </c>
      <c r="D465" s="161" t="s">
        <v>1950</v>
      </c>
      <c r="E465" s="161" t="s">
        <v>1951</v>
      </c>
      <c r="F465" s="161" t="s">
        <v>1570</v>
      </c>
      <c r="G465" s="161" t="s">
        <v>1949</v>
      </c>
      <c r="H465" s="161" t="s">
        <v>1166</v>
      </c>
      <c r="I465" s="160">
        <v>23.5</v>
      </c>
      <c r="J465" s="154" t="s">
        <v>574</v>
      </c>
      <c r="K465" s="185"/>
      <c r="L465" s="163" t="s">
        <v>748</v>
      </c>
      <c r="M465" s="164" t="s">
        <v>649</v>
      </c>
      <c r="N465" s="165" t="s">
        <v>733</v>
      </c>
      <c r="O465" s="165" t="s">
        <v>734</v>
      </c>
      <c r="P465" s="165" t="s">
        <v>735</v>
      </c>
      <c r="Q465" s="188">
        <v>43307</v>
      </c>
      <c r="R465" s="165" t="s">
        <v>736</v>
      </c>
      <c r="S465" s="166" t="s">
        <v>1952</v>
      </c>
      <c r="T465" s="165" t="s">
        <v>678</v>
      </c>
    </row>
    <row r="466" spans="1:20" ht="38.25" customHeight="1">
      <c r="A466" s="169" t="s">
        <v>668</v>
      </c>
      <c r="B466" s="186" t="s">
        <v>669</v>
      </c>
      <c r="C466" s="156" t="s">
        <v>670</v>
      </c>
      <c r="D466" s="171" t="s">
        <v>1953</v>
      </c>
      <c r="E466" s="171" t="s">
        <v>1954</v>
      </c>
      <c r="F466" s="171" t="s">
        <v>740</v>
      </c>
      <c r="G466" s="171" t="s">
        <v>1955</v>
      </c>
      <c r="H466" s="171" t="s">
        <v>675</v>
      </c>
      <c r="I466" s="170">
        <v>21.3</v>
      </c>
      <c r="J466" s="156" t="s">
        <v>574</v>
      </c>
      <c r="K466" s="187"/>
      <c r="L466" s="172" t="s">
        <v>748</v>
      </c>
      <c r="M466" s="173" t="s">
        <v>649</v>
      </c>
      <c r="N466" s="174" t="s">
        <v>733</v>
      </c>
      <c r="O466" s="174" t="s">
        <v>734</v>
      </c>
      <c r="P466" s="174" t="s">
        <v>735</v>
      </c>
      <c r="Q466" s="183">
        <v>43306</v>
      </c>
      <c r="R466" s="174" t="s">
        <v>736</v>
      </c>
      <c r="S466" s="175" t="s">
        <v>1956</v>
      </c>
      <c r="T466" s="174" t="s">
        <v>678</v>
      </c>
    </row>
    <row r="467" spans="1:20" ht="38.25" customHeight="1">
      <c r="A467" s="159" t="s">
        <v>668</v>
      </c>
      <c r="B467" s="184" t="s">
        <v>669</v>
      </c>
      <c r="C467" s="154" t="s">
        <v>670</v>
      </c>
      <c r="D467" s="161" t="s">
        <v>1957</v>
      </c>
      <c r="E467" s="161" t="s">
        <v>1958</v>
      </c>
      <c r="F467" s="161" t="s">
        <v>740</v>
      </c>
      <c r="G467" s="161" t="s">
        <v>1959</v>
      </c>
      <c r="H467" s="161" t="s">
        <v>1324</v>
      </c>
      <c r="I467" s="160">
        <v>24.4</v>
      </c>
      <c r="J467" s="154" t="s">
        <v>574</v>
      </c>
      <c r="K467" s="185"/>
      <c r="L467" s="163" t="s">
        <v>748</v>
      </c>
      <c r="M467" s="164" t="s">
        <v>649</v>
      </c>
      <c r="N467" s="165" t="s">
        <v>733</v>
      </c>
      <c r="O467" s="165" t="s">
        <v>734</v>
      </c>
      <c r="P467" s="165" t="s">
        <v>735</v>
      </c>
      <c r="Q467" s="188">
        <v>43306</v>
      </c>
      <c r="R467" s="165" t="s">
        <v>736</v>
      </c>
      <c r="S467" s="166" t="s">
        <v>1960</v>
      </c>
      <c r="T467" s="165" t="s">
        <v>678</v>
      </c>
    </row>
    <row r="468" spans="1:20" ht="38.25" customHeight="1">
      <c r="A468" s="169" t="s">
        <v>668</v>
      </c>
      <c r="B468" s="186" t="s">
        <v>669</v>
      </c>
      <c r="C468" s="156" t="s">
        <v>670</v>
      </c>
      <c r="D468" s="171" t="s">
        <v>1961</v>
      </c>
      <c r="E468" s="171" t="s">
        <v>1962</v>
      </c>
      <c r="F468" s="171" t="s">
        <v>740</v>
      </c>
      <c r="G468" s="171" t="s">
        <v>1959</v>
      </c>
      <c r="H468" s="171" t="s">
        <v>1324</v>
      </c>
      <c r="I468" s="170">
        <v>21.7</v>
      </c>
      <c r="J468" s="156" t="s">
        <v>574</v>
      </c>
      <c r="K468" s="187"/>
      <c r="L468" s="172" t="s">
        <v>748</v>
      </c>
      <c r="M468" s="173" t="s">
        <v>649</v>
      </c>
      <c r="N468" s="174" t="s">
        <v>733</v>
      </c>
      <c r="O468" s="174" t="s">
        <v>734</v>
      </c>
      <c r="P468" s="174" t="s">
        <v>735</v>
      </c>
      <c r="Q468" s="183">
        <v>43306</v>
      </c>
      <c r="R468" s="174" t="s">
        <v>736</v>
      </c>
      <c r="S468" s="175" t="s">
        <v>1963</v>
      </c>
      <c r="T468" s="174" t="s">
        <v>678</v>
      </c>
    </row>
    <row r="469" spans="1:20" ht="38.25" customHeight="1">
      <c r="A469" s="159" t="s">
        <v>668</v>
      </c>
      <c r="B469" s="184" t="s">
        <v>669</v>
      </c>
      <c r="C469" s="154" t="s">
        <v>670</v>
      </c>
      <c r="D469" s="161" t="s">
        <v>1961</v>
      </c>
      <c r="E469" s="161" t="s">
        <v>1964</v>
      </c>
      <c r="F469" s="161" t="s">
        <v>706</v>
      </c>
      <c r="G469" s="161" t="s">
        <v>1959</v>
      </c>
      <c r="H469" s="161" t="s">
        <v>1324</v>
      </c>
      <c r="I469" s="160">
        <v>21.4</v>
      </c>
      <c r="J469" s="154" t="s">
        <v>574</v>
      </c>
      <c r="K469" s="185"/>
      <c r="L469" s="163" t="s">
        <v>748</v>
      </c>
      <c r="M469" s="164" t="s">
        <v>649</v>
      </c>
      <c r="N469" s="165" t="s">
        <v>733</v>
      </c>
      <c r="O469" s="165" t="s">
        <v>734</v>
      </c>
      <c r="P469" s="165" t="s">
        <v>735</v>
      </c>
      <c r="Q469" s="188">
        <v>43306</v>
      </c>
      <c r="R469" s="165" t="s">
        <v>736</v>
      </c>
      <c r="S469" s="166" t="s">
        <v>1965</v>
      </c>
      <c r="T469" s="165" t="s">
        <v>678</v>
      </c>
    </row>
    <row r="470" spans="1:20" ht="38.25" customHeight="1">
      <c r="A470" s="169" t="s">
        <v>668</v>
      </c>
      <c r="B470" s="186" t="s">
        <v>669</v>
      </c>
      <c r="C470" s="156" t="s">
        <v>670</v>
      </c>
      <c r="D470" s="171" t="s">
        <v>1966</v>
      </c>
      <c r="E470" s="171" t="s">
        <v>1967</v>
      </c>
      <c r="F470" s="171" t="s">
        <v>1343</v>
      </c>
      <c r="G470" s="171" t="s">
        <v>1968</v>
      </c>
      <c r="H470" s="171" t="s">
        <v>1324</v>
      </c>
      <c r="I470" s="170">
        <v>24.2</v>
      </c>
      <c r="J470" s="156" t="s">
        <v>574</v>
      </c>
      <c r="K470" s="187"/>
      <c r="L470" s="172" t="s">
        <v>748</v>
      </c>
      <c r="M470" s="173" t="s">
        <v>649</v>
      </c>
      <c r="N470" s="174" t="s">
        <v>733</v>
      </c>
      <c r="O470" s="174" t="s">
        <v>734</v>
      </c>
      <c r="P470" s="174" t="s">
        <v>735</v>
      </c>
      <c r="Q470" s="183">
        <v>43306</v>
      </c>
      <c r="R470" s="174" t="s">
        <v>736</v>
      </c>
      <c r="S470" s="175" t="s">
        <v>1925</v>
      </c>
      <c r="T470" s="174" t="s">
        <v>678</v>
      </c>
    </row>
    <row r="471" spans="1:20" ht="38.25" customHeight="1">
      <c r="A471" s="159" t="s">
        <v>668</v>
      </c>
      <c r="B471" s="184" t="s">
        <v>669</v>
      </c>
      <c r="C471" s="154" t="s">
        <v>670</v>
      </c>
      <c r="D471" s="161" t="s">
        <v>1969</v>
      </c>
      <c r="E471" s="161" t="s">
        <v>1970</v>
      </c>
      <c r="F471" s="161" t="s">
        <v>1465</v>
      </c>
      <c r="G471" s="161" t="s">
        <v>741</v>
      </c>
      <c r="H471" s="161" t="s">
        <v>741</v>
      </c>
      <c r="I471" s="160">
        <v>24</v>
      </c>
      <c r="J471" s="154" t="s">
        <v>574</v>
      </c>
      <c r="K471" s="185"/>
      <c r="L471" s="163" t="s">
        <v>748</v>
      </c>
      <c r="M471" s="164" t="s">
        <v>649</v>
      </c>
      <c r="N471" s="165" t="s">
        <v>733</v>
      </c>
      <c r="O471" s="165" t="s">
        <v>734</v>
      </c>
      <c r="P471" s="165" t="s">
        <v>735</v>
      </c>
      <c r="Q471" s="188">
        <v>43307</v>
      </c>
      <c r="R471" s="165" t="s">
        <v>736</v>
      </c>
      <c r="S471" s="166" t="s">
        <v>1334</v>
      </c>
      <c r="T471" s="165" t="s">
        <v>678</v>
      </c>
    </row>
    <row r="472" spans="1:20" ht="38.25" customHeight="1">
      <c r="A472" s="169" t="s">
        <v>668</v>
      </c>
      <c r="B472" s="186" t="s">
        <v>669</v>
      </c>
      <c r="C472" s="156" t="s">
        <v>670</v>
      </c>
      <c r="D472" s="171" t="s">
        <v>1969</v>
      </c>
      <c r="E472" s="171" t="s">
        <v>1971</v>
      </c>
      <c r="F472" s="171" t="s">
        <v>1465</v>
      </c>
      <c r="G472" s="171" t="s">
        <v>741</v>
      </c>
      <c r="H472" s="171" t="s">
        <v>741</v>
      </c>
      <c r="I472" s="170">
        <v>22.2</v>
      </c>
      <c r="J472" s="156" t="s">
        <v>574</v>
      </c>
      <c r="K472" s="187"/>
      <c r="L472" s="172" t="s">
        <v>748</v>
      </c>
      <c r="M472" s="173" t="s">
        <v>649</v>
      </c>
      <c r="N472" s="174" t="s">
        <v>733</v>
      </c>
      <c r="O472" s="174" t="s">
        <v>734</v>
      </c>
      <c r="P472" s="174" t="s">
        <v>735</v>
      </c>
      <c r="Q472" s="183">
        <v>43307</v>
      </c>
      <c r="R472" s="174" t="s">
        <v>736</v>
      </c>
      <c r="S472" s="175" t="s">
        <v>1936</v>
      </c>
      <c r="T472" s="174" t="s">
        <v>678</v>
      </c>
    </row>
    <row r="473" spans="1:20" ht="38.25" customHeight="1">
      <c r="A473" s="159" t="s">
        <v>668</v>
      </c>
      <c r="B473" s="184" t="s">
        <v>669</v>
      </c>
      <c r="C473" s="154" t="s">
        <v>670</v>
      </c>
      <c r="D473" s="161" t="s">
        <v>1972</v>
      </c>
      <c r="E473" s="161" t="s">
        <v>1973</v>
      </c>
      <c r="F473" s="161" t="s">
        <v>1570</v>
      </c>
      <c r="G473" s="161" t="s">
        <v>741</v>
      </c>
      <c r="H473" s="161" t="s">
        <v>741</v>
      </c>
      <c r="I473" s="160">
        <v>24.9</v>
      </c>
      <c r="J473" s="154" t="s">
        <v>574</v>
      </c>
      <c r="K473" s="185"/>
      <c r="L473" s="163" t="s">
        <v>748</v>
      </c>
      <c r="M473" s="164" t="s">
        <v>649</v>
      </c>
      <c r="N473" s="165" t="s">
        <v>733</v>
      </c>
      <c r="O473" s="165" t="s">
        <v>734</v>
      </c>
      <c r="P473" s="165" t="s">
        <v>735</v>
      </c>
      <c r="Q473" s="188">
        <v>43307</v>
      </c>
      <c r="R473" s="165" t="s">
        <v>736</v>
      </c>
      <c r="S473" s="166" t="s">
        <v>1974</v>
      </c>
      <c r="T473" s="165" t="s">
        <v>678</v>
      </c>
    </row>
    <row r="474" spans="1:20" ht="38.25" customHeight="1">
      <c r="A474" s="169" t="s">
        <v>668</v>
      </c>
      <c r="B474" s="186" t="s">
        <v>669</v>
      </c>
      <c r="C474" s="156" t="s">
        <v>670</v>
      </c>
      <c r="D474" s="171" t="s">
        <v>1975</v>
      </c>
      <c r="E474" s="171" t="s">
        <v>1976</v>
      </c>
      <c r="F474" s="171" t="s">
        <v>706</v>
      </c>
      <c r="G474" s="171" t="s">
        <v>741</v>
      </c>
      <c r="H474" s="171" t="s">
        <v>741</v>
      </c>
      <c r="I474" s="170">
        <v>24.6</v>
      </c>
      <c r="J474" s="156" t="s">
        <v>574</v>
      </c>
      <c r="K474" s="187"/>
      <c r="L474" s="172" t="s">
        <v>748</v>
      </c>
      <c r="M474" s="173" t="s">
        <v>649</v>
      </c>
      <c r="N474" s="174" t="s">
        <v>733</v>
      </c>
      <c r="O474" s="174" t="s">
        <v>734</v>
      </c>
      <c r="P474" s="174" t="s">
        <v>735</v>
      </c>
      <c r="Q474" s="183">
        <v>43307</v>
      </c>
      <c r="R474" s="174" t="s">
        <v>736</v>
      </c>
      <c r="S474" s="175" t="s">
        <v>1918</v>
      </c>
      <c r="T474" s="174" t="s">
        <v>678</v>
      </c>
    </row>
    <row r="475" spans="1:20" ht="38.25" customHeight="1">
      <c r="A475" s="159" t="s">
        <v>668</v>
      </c>
      <c r="B475" s="184" t="s">
        <v>669</v>
      </c>
      <c r="C475" s="154" t="s">
        <v>670</v>
      </c>
      <c r="D475" s="161" t="s">
        <v>1939</v>
      </c>
      <c r="E475" s="161" t="s">
        <v>1977</v>
      </c>
      <c r="F475" s="161" t="s">
        <v>706</v>
      </c>
      <c r="G475" s="161" t="s">
        <v>1941</v>
      </c>
      <c r="H475" s="161" t="s">
        <v>747</v>
      </c>
      <c r="I475" s="160">
        <v>24.3</v>
      </c>
      <c r="J475" s="154" t="s">
        <v>574</v>
      </c>
      <c r="K475" s="185"/>
      <c r="L475" s="163" t="s">
        <v>748</v>
      </c>
      <c r="M475" s="164" t="s">
        <v>649</v>
      </c>
      <c r="N475" s="165" t="s">
        <v>733</v>
      </c>
      <c r="O475" s="165" t="s">
        <v>734</v>
      </c>
      <c r="P475" s="165" t="s">
        <v>735</v>
      </c>
      <c r="Q475" s="188">
        <v>43307</v>
      </c>
      <c r="R475" s="165" t="s">
        <v>736</v>
      </c>
      <c r="S475" s="166" t="s">
        <v>1930</v>
      </c>
      <c r="T475" s="165" t="s">
        <v>678</v>
      </c>
    </row>
    <row r="476" spans="1:20" ht="38.25" customHeight="1">
      <c r="A476" s="169" t="s">
        <v>668</v>
      </c>
      <c r="B476" s="186" t="s">
        <v>669</v>
      </c>
      <c r="C476" s="156" t="s">
        <v>670</v>
      </c>
      <c r="D476" s="171" t="s">
        <v>1978</v>
      </c>
      <c r="E476" s="171" t="s">
        <v>1979</v>
      </c>
      <c r="F476" s="171" t="s">
        <v>706</v>
      </c>
      <c r="G476" s="171" t="s">
        <v>1333</v>
      </c>
      <c r="H476" s="171" t="s">
        <v>1980</v>
      </c>
      <c r="I476" s="170">
        <v>24.3</v>
      </c>
      <c r="J476" s="156" t="s">
        <v>574</v>
      </c>
      <c r="K476" s="187"/>
      <c r="L476" s="172" t="s">
        <v>748</v>
      </c>
      <c r="M476" s="173" t="s">
        <v>649</v>
      </c>
      <c r="N476" s="174" t="s">
        <v>733</v>
      </c>
      <c r="O476" s="174" t="s">
        <v>734</v>
      </c>
      <c r="P476" s="174" t="s">
        <v>735</v>
      </c>
      <c r="Q476" s="183">
        <v>43306</v>
      </c>
      <c r="R476" s="174" t="s">
        <v>736</v>
      </c>
      <c r="S476" s="175" t="s">
        <v>1930</v>
      </c>
      <c r="T476" s="174" t="s">
        <v>678</v>
      </c>
    </row>
    <row r="477" spans="1:20" ht="38.25" customHeight="1">
      <c r="A477" s="159" t="s">
        <v>668</v>
      </c>
      <c r="B477" s="184" t="s">
        <v>669</v>
      </c>
      <c r="C477" s="154" t="s">
        <v>670</v>
      </c>
      <c r="D477" s="161" t="s">
        <v>1350</v>
      </c>
      <c r="E477" s="161" t="s">
        <v>1981</v>
      </c>
      <c r="F477" s="161" t="s">
        <v>706</v>
      </c>
      <c r="G477" s="161" t="s">
        <v>1982</v>
      </c>
      <c r="H477" s="161" t="s">
        <v>311</v>
      </c>
      <c r="I477" s="160">
        <v>23.9</v>
      </c>
      <c r="J477" s="154" t="s">
        <v>574</v>
      </c>
      <c r="K477" s="185"/>
      <c r="L477" s="163" t="s">
        <v>748</v>
      </c>
      <c r="M477" s="164" t="s">
        <v>649</v>
      </c>
      <c r="N477" s="165" t="s">
        <v>733</v>
      </c>
      <c r="O477" s="165" t="s">
        <v>734</v>
      </c>
      <c r="P477" s="165" t="s">
        <v>735</v>
      </c>
      <c r="Q477" s="188">
        <v>43306</v>
      </c>
      <c r="R477" s="165" t="s">
        <v>736</v>
      </c>
      <c r="S477" s="166" t="s">
        <v>1983</v>
      </c>
      <c r="T477" s="165" t="s">
        <v>678</v>
      </c>
    </row>
    <row r="478" spans="1:20" ht="38.25" customHeight="1">
      <c r="A478" s="169" t="s">
        <v>668</v>
      </c>
      <c r="B478" s="186" t="s">
        <v>669</v>
      </c>
      <c r="C478" s="156" t="s">
        <v>670</v>
      </c>
      <c r="D478" s="171" t="s">
        <v>1984</v>
      </c>
      <c r="E478" s="171" t="s">
        <v>1985</v>
      </c>
      <c r="F478" s="171" t="s">
        <v>706</v>
      </c>
      <c r="G478" s="171" t="s">
        <v>1986</v>
      </c>
      <c r="H478" s="171" t="s">
        <v>311</v>
      </c>
      <c r="I478" s="170">
        <v>23.3</v>
      </c>
      <c r="J478" s="156" t="s">
        <v>574</v>
      </c>
      <c r="K478" s="187"/>
      <c r="L478" s="172" t="s">
        <v>748</v>
      </c>
      <c r="M478" s="173" t="s">
        <v>649</v>
      </c>
      <c r="N478" s="174" t="s">
        <v>733</v>
      </c>
      <c r="O478" s="174" t="s">
        <v>734</v>
      </c>
      <c r="P478" s="174" t="s">
        <v>735</v>
      </c>
      <c r="Q478" s="183">
        <v>43306</v>
      </c>
      <c r="R478" s="174" t="s">
        <v>736</v>
      </c>
      <c r="S478" s="175" t="s">
        <v>1987</v>
      </c>
      <c r="T478" s="174" t="s">
        <v>678</v>
      </c>
    </row>
    <row r="479" spans="1:20" ht="38.25" customHeight="1">
      <c r="A479" s="159" t="s">
        <v>668</v>
      </c>
      <c r="B479" s="184" t="s">
        <v>669</v>
      </c>
      <c r="C479" s="154" t="s">
        <v>670</v>
      </c>
      <c r="D479" s="161" t="s">
        <v>1988</v>
      </c>
      <c r="E479" s="161" t="s">
        <v>1989</v>
      </c>
      <c r="F479" s="161" t="s">
        <v>1570</v>
      </c>
      <c r="G479" s="161" t="s">
        <v>1990</v>
      </c>
      <c r="H479" s="161" t="s">
        <v>311</v>
      </c>
      <c r="I479" s="160">
        <v>23.9</v>
      </c>
      <c r="J479" s="154" t="s">
        <v>574</v>
      </c>
      <c r="K479" s="185"/>
      <c r="L479" s="163" t="s">
        <v>748</v>
      </c>
      <c r="M479" s="164" t="s">
        <v>649</v>
      </c>
      <c r="N479" s="165" t="s">
        <v>733</v>
      </c>
      <c r="O479" s="165" t="s">
        <v>734</v>
      </c>
      <c r="P479" s="165" t="s">
        <v>735</v>
      </c>
      <c r="Q479" s="188">
        <v>43306</v>
      </c>
      <c r="R479" s="165" t="s">
        <v>736</v>
      </c>
      <c r="S479" s="166" t="s">
        <v>1983</v>
      </c>
      <c r="T479" s="165" t="s">
        <v>678</v>
      </c>
    </row>
    <row r="480" spans="1:20" ht="38.25" customHeight="1">
      <c r="A480" s="169" t="s">
        <v>668</v>
      </c>
      <c r="B480" s="186" t="s">
        <v>669</v>
      </c>
      <c r="C480" s="156" t="s">
        <v>670</v>
      </c>
      <c r="D480" s="171" t="s">
        <v>1991</v>
      </c>
      <c r="E480" s="171" t="s">
        <v>1992</v>
      </c>
      <c r="F480" s="171" t="s">
        <v>706</v>
      </c>
      <c r="G480" s="171" t="s">
        <v>1993</v>
      </c>
      <c r="H480" s="171" t="s">
        <v>311</v>
      </c>
      <c r="I480" s="170">
        <v>25</v>
      </c>
      <c r="J480" s="156" t="s">
        <v>574</v>
      </c>
      <c r="K480" s="187"/>
      <c r="L480" s="172" t="s">
        <v>748</v>
      </c>
      <c r="M480" s="173" t="s">
        <v>649</v>
      </c>
      <c r="N480" s="174" t="s">
        <v>733</v>
      </c>
      <c r="O480" s="174" t="s">
        <v>734</v>
      </c>
      <c r="P480" s="174" t="s">
        <v>735</v>
      </c>
      <c r="Q480" s="183">
        <v>43306</v>
      </c>
      <c r="R480" s="174" t="s">
        <v>736</v>
      </c>
      <c r="S480" s="175" t="s">
        <v>1328</v>
      </c>
      <c r="T480" s="174" t="s">
        <v>678</v>
      </c>
    </row>
    <row r="481" spans="1:20" ht="38.25" customHeight="1">
      <c r="A481" s="159" t="s">
        <v>668</v>
      </c>
      <c r="B481" s="184" t="s">
        <v>669</v>
      </c>
      <c r="C481" s="154" t="s">
        <v>670</v>
      </c>
      <c r="D481" s="161" t="s">
        <v>1994</v>
      </c>
      <c r="E481" s="161" t="s">
        <v>1995</v>
      </c>
      <c r="F481" s="161" t="s">
        <v>740</v>
      </c>
      <c r="G481" s="161" t="s">
        <v>1935</v>
      </c>
      <c r="H481" s="161" t="s">
        <v>311</v>
      </c>
      <c r="I481" s="160">
        <v>25</v>
      </c>
      <c r="J481" s="154" t="s">
        <v>574</v>
      </c>
      <c r="K481" s="185"/>
      <c r="L481" s="163" t="s">
        <v>748</v>
      </c>
      <c r="M481" s="164" t="s">
        <v>649</v>
      </c>
      <c r="N481" s="165" t="s">
        <v>733</v>
      </c>
      <c r="O481" s="165" t="s">
        <v>734</v>
      </c>
      <c r="P481" s="165" t="s">
        <v>735</v>
      </c>
      <c r="Q481" s="188">
        <v>43306</v>
      </c>
      <c r="R481" s="165" t="s">
        <v>736</v>
      </c>
      <c r="S481" s="166" t="s">
        <v>1328</v>
      </c>
      <c r="T481" s="165" t="s">
        <v>678</v>
      </c>
    </row>
    <row r="482" spans="1:20" ht="38.25" customHeight="1">
      <c r="A482" s="169" t="s">
        <v>668</v>
      </c>
      <c r="B482" s="186" t="s">
        <v>669</v>
      </c>
      <c r="C482" s="156" t="s">
        <v>670</v>
      </c>
      <c r="D482" s="171" t="s">
        <v>1350</v>
      </c>
      <c r="E482" s="171" t="s">
        <v>1996</v>
      </c>
      <c r="F482" s="171" t="s">
        <v>706</v>
      </c>
      <c r="G482" s="171" t="s">
        <v>1982</v>
      </c>
      <c r="H482" s="171" t="s">
        <v>311</v>
      </c>
      <c r="I482" s="170">
        <v>24.8</v>
      </c>
      <c r="J482" s="156" t="s">
        <v>574</v>
      </c>
      <c r="K482" s="187"/>
      <c r="L482" s="172" t="s">
        <v>748</v>
      </c>
      <c r="M482" s="173" t="s">
        <v>649</v>
      </c>
      <c r="N482" s="174" t="s">
        <v>733</v>
      </c>
      <c r="O482" s="174" t="s">
        <v>734</v>
      </c>
      <c r="P482" s="174" t="s">
        <v>735</v>
      </c>
      <c r="Q482" s="183">
        <v>43306</v>
      </c>
      <c r="R482" s="174" t="s">
        <v>736</v>
      </c>
      <c r="S482" s="175" t="s">
        <v>1997</v>
      </c>
      <c r="T482" s="174" t="s">
        <v>678</v>
      </c>
    </row>
    <row r="483" spans="1:20" ht="51" customHeight="1">
      <c r="A483" s="159" t="s">
        <v>668</v>
      </c>
      <c r="B483" s="184" t="s">
        <v>669</v>
      </c>
      <c r="C483" s="154" t="s">
        <v>670</v>
      </c>
      <c r="D483" s="161" t="s">
        <v>1998</v>
      </c>
      <c r="E483" s="161" t="s">
        <v>1999</v>
      </c>
      <c r="F483" s="161" t="s">
        <v>706</v>
      </c>
      <c r="G483" s="161" t="s">
        <v>2000</v>
      </c>
      <c r="H483" s="161" t="s">
        <v>747</v>
      </c>
      <c r="I483" s="160">
        <v>21</v>
      </c>
      <c r="J483" s="154" t="s">
        <v>574</v>
      </c>
      <c r="K483" s="185"/>
      <c r="L483" s="163" t="s">
        <v>748</v>
      </c>
      <c r="M483" s="164" t="s">
        <v>649</v>
      </c>
      <c r="N483" s="165" t="s">
        <v>2001</v>
      </c>
      <c r="O483" s="165" t="s">
        <v>2002</v>
      </c>
      <c r="P483" s="165" t="s">
        <v>2003</v>
      </c>
      <c r="Q483" s="188">
        <v>43615</v>
      </c>
      <c r="R483" s="165" t="s">
        <v>736</v>
      </c>
      <c r="S483" s="166" t="s">
        <v>1388</v>
      </c>
      <c r="T483" s="165" t="s">
        <v>678</v>
      </c>
    </row>
    <row r="484" spans="1:20" ht="38.25" customHeight="1">
      <c r="A484" s="169" t="s">
        <v>668</v>
      </c>
      <c r="B484" s="186" t="s">
        <v>669</v>
      </c>
      <c r="C484" s="156" t="s">
        <v>670</v>
      </c>
      <c r="D484" s="171" t="s">
        <v>2004</v>
      </c>
      <c r="E484" s="171" t="s">
        <v>2005</v>
      </c>
      <c r="F484" s="171" t="s">
        <v>1343</v>
      </c>
      <c r="G484" s="171" t="s">
        <v>2006</v>
      </c>
      <c r="H484" s="171" t="s">
        <v>747</v>
      </c>
      <c r="I484" s="170">
        <v>22.5</v>
      </c>
      <c r="J484" s="156" t="s">
        <v>574</v>
      </c>
      <c r="K484" s="187"/>
      <c r="L484" s="172" t="s">
        <v>748</v>
      </c>
      <c r="M484" s="173" t="s">
        <v>649</v>
      </c>
      <c r="N484" s="174" t="s">
        <v>2001</v>
      </c>
      <c r="O484" s="174" t="s">
        <v>2002</v>
      </c>
      <c r="P484" s="174" t="s">
        <v>2003</v>
      </c>
      <c r="Q484" s="183">
        <v>43615</v>
      </c>
      <c r="R484" s="174" t="s">
        <v>736</v>
      </c>
      <c r="S484" s="175" t="s">
        <v>1942</v>
      </c>
      <c r="T484" s="174" t="s">
        <v>678</v>
      </c>
    </row>
    <row r="485" spans="1:20" ht="38.25" customHeight="1">
      <c r="A485" s="159" t="s">
        <v>668</v>
      </c>
      <c r="B485" s="184" t="s">
        <v>669</v>
      </c>
      <c r="C485" s="154" t="s">
        <v>670</v>
      </c>
      <c r="D485" s="161" t="s">
        <v>2007</v>
      </c>
      <c r="E485" s="161" t="s">
        <v>2008</v>
      </c>
      <c r="F485" s="161" t="s">
        <v>1767</v>
      </c>
      <c r="G485" s="161" t="s">
        <v>2006</v>
      </c>
      <c r="H485" s="161" t="s">
        <v>675</v>
      </c>
      <c r="I485" s="160">
        <v>17.899999999999999</v>
      </c>
      <c r="J485" s="154" t="s">
        <v>574</v>
      </c>
      <c r="K485" s="185"/>
      <c r="L485" s="163" t="s">
        <v>748</v>
      </c>
      <c r="M485" s="164" t="s">
        <v>649</v>
      </c>
      <c r="N485" s="165" t="s">
        <v>2001</v>
      </c>
      <c r="O485" s="165" t="s">
        <v>2002</v>
      </c>
      <c r="P485" s="165" t="s">
        <v>2003</v>
      </c>
      <c r="Q485" s="188">
        <v>43615</v>
      </c>
      <c r="R485" s="165" t="s">
        <v>736</v>
      </c>
      <c r="S485" s="166" t="s">
        <v>2009</v>
      </c>
      <c r="T485" s="165" t="s">
        <v>678</v>
      </c>
    </row>
    <row r="486" spans="1:20" ht="38.25" customHeight="1">
      <c r="A486" s="169" t="s">
        <v>668</v>
      </c>
      <c r="B486" s="186" t="s">
        <v>669</v>
      </c>
      <c r="C486" s="156" t="s">
        <v>670</v>
      </c>
      <c r="D486" s="171" t="s">
        <v>2010</v>
      </c>
      <c r="E486" s="171" t="s">
        <v>2011</v>
      </c>
      <c r="F486" s="171" t="s">
        <v>1767</v>
      </c>
      <c r="G486" s="171" t="s">
        <v>2012</v>
      </c>
      <c r="H486" s="171" t="s">
        <v>675</v>
      </c>
      <c r="I486" s="170">
        <v>21.9</v>
      </c>
      <c r="J486" s="156" t="s">
        <v>574</v>
      </c>
      <c r="K486" s="187"/>
      <c r="L486" s="172" t="s">
        <v>748</v>
      </c>
      <c r="M486" s="173" t="s">
        <v>649</v>
      </c>
      <c r="N486" s="174" t="s">
        <v>2001</v>
      </c>
      <c r="O486" s="174" t="s">
        <v>2002</v>
      </c>
      <c r="P486" s="174" t="s">
        <v>2003</v>
      </c>
      <c r="Q486" s="183">
        <v>43615</v>
      </c>
      <c r="R486" s="174" t="s">
        <v>736</v>
      </c>
      <c r="S486" s="175" t="s">
        <v>2013</v>
      </c>
      <c r="T486" s="174" t="s">
        <v>678</v>
      </c>
    </row>
    <row r="487" spans="1:20" ht="38.25" customHeight="1">
      <c r="A487" s="159" t="s">
        <v>668</v>
      </c>
      <c r="B487" s="184" t="s">
        <v>669</v>
      </c>
      <c r="C487" s="154" t="s">
        <v>670</v>
      </c>
      <c r="D487" s="161" t="s">
        <v>2014</v>
      </c>
      <c r="E487" s="161" t="s">
        <v>2015</v>
      </c>
      <c r="F487" s="161" t="s">
        <v>706</v>
      </c>
      <c r="G487" s="161" t="s">
        <v>2016</v>
      </c>
      <c r="H487" s="161" t="s">
        <v>727</v>
      </c>
      <c r="I487" s="160">
        <v>20.2</v>
      </c>
      <c r="J487" s="154" t="s">
        <v>574</v>
      </c>
      <c r="K487" s="185"/>
      <c r="L487" s="163" t="s">
        <v>748</v>
      </c>
      <c r="M487" s="164" t="s">
        <v>649</v>
      </c>
      <c r="N487" s="165" t="s">
        <v>2001</v>
      </c>
      <c r="O487" s="165" t="s">
        <v>2002</v>
      </c>
      <c r="P487" s="165" t="s">
        <v>2003</v>
      </c>
      <c r="Q487" s="188">
        <v>43615</v>
      </c>
      <c r="R487" s="165" t="s">
        <v>736</v>
      </c>
      <c r="S487" s="166" t="s">
        <v>2017</v>
      </c>
      <c r="T487" s="165" t="s">
        <v>678</v>
      </c>
    </row>
    <row r="488" spans="1:20" ht="38.25" customHeight="1">
      <c r="A488" s="169" t="s">
        <v>668</v>
      </c>
      <c r="B488" s="186" t="s">
        <v>669</v>
      </c>
      <c r="C488" s="156" t="s">
        <v>670</v>
      </c>
      <c r="D488" s="171" t="s">
        <v>2018</v>
      </c>
      <c r="E488" s="171" t="s">
        <v>2019</v>
      </c>
      <c r="F488" s="171" t="s">
        <v>706</v>
      </c>
      <c r="G488" s="171" t="s">
        <v>2016</v>
      </c>
      <c r="H488" s="171" t="s">
        <v>727</v>
      </c>
      <c r="I488" s="170">
        <v>19.100000000000001</v>
      </c>
      <c r="J488" s="156" t="s">
        <v>574</v>
      </c>
      <c r="K488" s="187"/>
      <c r="L488" s="172" t="s">
        <v>748</v>
      </c>
      <c r="M488" s="173" t="s">
        <v>649</v>
      </c>
      <c r="N488" s="174" t="s">
        <v>2001</v>
      </c>
      <c r="O488" s="174" t="s">
        <v>2002</v>
      </c>
      <c r="P488" s="174" t="s">
        <v>2003</v>
      </c>
      <c r="Q488" s="183">
        <v>43615</v>
      </c>
      <c r="R488" s="174" t="s">
        <v>736</v>
      </c>
      <c r="S488" s="175" t="s">
        <v>2020</v>
      </c>
      <c r="T488" s="174" t="s">
        <v>678</v>
      </c>
    </row>
    <row r="489" spans="1:20" ht="38.25" customHeight="1">
      <c r="A489" s="159" t="s">
        <v>668</v>
      </c>
      <c r="B489" s="184" t="s">
        <v>669</v>
      </c>
      <c r="C489" s="154" t="s">
        <v>670</v>
      </c>
      <c r="D489" s="161" t="s">
        <v>2018</v>
      </c>
      <c r="E489" s="161" t="s">
        <v>2021</v>
      </c>
      <c r="F489" s="161" t="s">
        <v>706</v>
      </c>
      <c r="G489" s="161" t="s">
        <v>2016</v>
      </c>
      <c r="H489" s="161" t="s">
        <v>727</v>
      </c>
      <c r="I489" s="160">
        <v>21.2</v>
      </c>
      <c r="J489" s="154" t="s">
        <v>574</v>
      </c>
      <c r="K489" s="185"/>
      <c r="L489" s="163" t="s">
        <v>748</v>
      </c>
      <c r="M489" s="164" t="s">
        <v>649</v>
      </c>
      <c r="N489" s="165" t="s">
        <v>2001</v>
      </c>
      <c r="O489" s="165" t="s">
        <v>2002</v>
      </c>
      <c r="P489" s="165" t="s">
        <v>2003</v>
      </c>
      <c r="Q489" s="188">
        <v>43615</v>
      </c>
      <c r="R489" s="165" t="s">
        <v>736</v>
      </c>
      <c r="S489" s="166" t="s">
        <v>2022</v>
      </c>
      <c r="T489" s="165" t="s">
        <v>678</v>
      </c>
    </row>
    <row r="490" spans="1:20" ht="38.25" customHeight="1">
      <c r="A490" s="169" t="s">
        <v>668</v>
      </c>
      <c r="B490" s="186" t="s">
        <v>669</v>
      </c>
      <c r="C490" s="156" t="s">
        <v>670</v>
      </c>
      <c r="D490" s="171" t="s">
        <v>2023</v>
      </c>
      <c r="E490" s="171" t="s">
        <v>2024</v>
      </c>
      <c r="F490" s="171" t="s">
        <v>706</v>
      </c>
      <c r="G490" s="171" t="s">
        <v>2016</v>
      </c>
      <c r="H490" s="171" t="s">
        <v>727</v>
      </c>
      <c r="I490" s="170">
        <v>25</v>
      </c>
      <c r="J490" s="156" t="s">
        <v>574</v>
      </c>
      <c r="K490" s="187"/>
      <c r="L490" s="172" t="s">
        <v>748</v>
      </c>
      <c r="M490" s="173" t="s">
        <v>649</v>
      </c>
      <c r="N490" s="174" t="s">
        <v>2001</v>
      </c>
      <c r="O490" s="174" t="s">
        <v>2002</v>
      </c>
      <c r="P490" s="174" t="s">
        <v>2003</v>
      </c>
      <c r="Q490" s="183">
        <v>43615</v>
      </c>
      <c r="R490" s="174" t="s">
        <v>736</v>
      </c>
      <c r="S490" s="175" t="s">
        <v>1328</v>
      </c>
      <c r="T490" s="174" t="s">
        <v>678</v>
      </c>
    </row>
    <row r="491" spans="1:20" ht="38.25" customHeight="1">
      <c r="A491" s="159" t="s">
        <v>668</v>
      </c>
      <c r="B491" s="184" t="s">
        <v>669</v>
      </c>
      <c r="C491" s="154" t="s">
        <v>670</v>
      </c>
      <c r="D491" s="161" t="s">
        <v>2025</v>
      </c>
      <c r="E491" s="161" t="s">
        <v>2026</v>
      </c>
      <c r="F491" s="161" t="s">
        <v>706</v>
      </c>
      <c r="G491" s="161" t="s">
        <v>2016</v>
      </c>
      <c r="H491" s="161" t="s">
        <v>727</v>
      </c>
      <c r="I491" s="160">
        <v>23</v>
      </c>
      <c r="J491" s="154" t="s">
        <v>574</v>
      </c>
      <c r="K491" s="185"/>
      <c r="L491" s="163" t="s">
        <v>748</v>
      </c>
      <c r="M491" s="164" t="s">
        <v>649</v>
      </c>
      <c r="N491" s="165" t="s">
        <v>2001</v>
      </c>
      <c r="O491" s="165" t="s">
        <v>2002</v>
      </c>
      <c r="P491" s="165" t="s">
        <v>2003</v>
      </c>
      <c r="Q491" s="188">
        <v>43615</v>
      </c>
      <c r="R491" s="165" t="s">
        <v>736</v>
      </c>
      <c r="S491" s="166" t="s">
        <v>737</v>
      </c>
      <c r="T491" s="165" t="s">
        <v>678</v>
      </c>
    </row>
    <row r="492" spans="1:20" ht="38.25" customHeight="1">
      <c r="A492" s="169" t="s">
        <v>668</v>
      </c>
      <c r="B492" s="186" t="s">
        <v>669</v>
      </c>
      <c r="C492" s="156" t="s">
        <v>670</v>
      </c>
      <c r="D492" s="171" t="s">
        <v>2027</v>
      </c>
      <c r="E492" s="171" t="s">
        <v>2028</v>
      </c>
      <c r="F492" s="171" t="s">
        <v>706</v>
      </c>
      <c r="G492" s="171" t="s">
        <v>2016</v>
      </c>
      <c r="H492" s="171" t="s">
        <v>727</v>
      </c>
      <c r="I492" s="170">
        <v>24.5</v>
      </c>
      <c r="J492" s="156" t="s">
        <v>574</v>
      </c>
      <c r="K492" s="187"/>
      <c r="L492" s="172" t="s">
        <v>748</v>
      </c>
      <c r="M492" s="173" t="s">
        <v>649</v>
      </c>
      <c r="N492" s="174" t="s">
        <v>2001</v>
      </c>
      <c r="O492" s="174" t="s">
        <v>2002</v>
      </c>
      <c r="P492" s="174" t="s">
        <v>2003</v>
      </c>
      <c r="Q492" s="183">
        <v>43615</v>
      </c>
      <c r="R492" s="174" t="s">
        <v>736</v>
      </c>
      <c r="S492" s="175" t="s">
        <v>1946</v>
      </c>
      <c r="T492" s="174" t="s">
        <v>678</v>
      </c>
    </row>
    <row r="493" spans="1:20" ht="38.25" customHeight="1">
      <c r="A493" s="159" t="s">
        <v>668</v>
      </c>
      <c r="B493" s="184" t="s">
        <v>669</v>
      </c>
      <c r="C493" s="154" t="s">
        <v>670</v>
      </c>
      <c r="D493" s="161" t="s">
        <v>2029</v>
      </c>
      <c r="E493" s="161" t="s">
        <v>2030</v>
      </c>
      <c r="F493" s="161" t="s">
        <v>706</v>
      </c>
      <c r="G493" s="161" t="s">
        <v>2012</v>
      </c>
      <c r="H493" s="161" t="s">
        <v>727</v>
      </c>
      <c r="I493" s="160">
        <v>22.4</v>
      </c>
      <c r="J493" s="154" t="s">
        <v>574</v>
      </c>
      <c r="K493" s="185"/>
      <c r="L493" s="163" t="s">
        <v>748</v>
      </c>
      <c r="M493" s="164" t="s">
        <v>649</v>
      </c>
      <c r="N493" s="165" t="s">
        <v>2001</v>
      </c>
      <c r="O493" s="165" t="s">
        <v>2002</v>
      </c>
      <c r="P493" s="165" t="s">
        <v>2003</v>
      </c>
      <c r="Q493" s="188">
        <v>43615</v>
      </c>
      <c r="R493" s="165" t="s">
        <v>736</v>
      </c>
      <c r="S493" s="166" t="s">
        <v>2031</v>
      </c>
      <c r="T493" s="165" t="s">
        <v>678</v>
      </c>
    </row>
    <row r="494" spans="1:20" ht="38.25" customHeight="1">
      <c r="A494" s="169" t="s">
        <v>668</v>
      </c>
      <c r="B494" s="186" t="s">
        <v>669</v>
      </c>
      <c r="C494" s="156" t="s">
        <v>670</v>
      </c>
      <c r="D494" s="171" t="s">
        <v>2032</v>
      </c>
      <c r="E494" s="171" t="s">
        <v>2033</v>
      </c>
      <c r="F494" s="171" t="s">
        <v>706</v>
      </c>
      <c r="G494" s="171" t="s">
        <v>2012</v>
      </c>
      <c r="H494" s="171" t="s">
        <v>727</v>
      </c>
      <c r="I494" s="170">
        <v>109</v>
      </c>
      <c r="J494" s="156" t="s">
        <v>574</v>
      </c>
      <c r="K494" s="187"/>
      <c r="L494" s="172" t="s">
        <v>748</v>
      </c>
      <c r="M494" s="173" t="s">
        <v>649</v>
      </c>
      <c r="N494" s="174" t="s">
        <v>2001</v>
      </c>
      <c r="O494" s="174" t="s">
        <v>2002</v>
      </c>
      <c r="P494" s="174" t="s">
        <v>2003</v>
      </c>
      <c r="Q494" s="183">
        <v>43615</v>
      </c>
      <c r="R494" s="174" t="s">
        <v>736</v>
      </c>
      <c r="S494" s="175" t="s">
        <v>2034</v>
      </c>
      <c r="T494" s="174" t="s">
        <v>678</v>
      </c>
    </row>
    <row r="495" spans="1:20" ht="51" customHeight="1">
      <c r="A495" s="159" t="s">
        <v>668</v>
      </c>
      <c r="B495" s="184" t="s">
        <v>669</v>
      </c>
      <c r="C495" s="154" t="s">
        <v>670</v>
      </c>
      <c r="D495" s="161" t="s">
        <v>2035</v>
      </c>
      <c r="E495" s="161" t="s">
        <v>2036</v>
      </c>
      <c r="F495" s="161" t="s">
        <v>1322</v>
      </c>
      <c r="G495" s="161" t="s">
        <v>2037</v>
      </c>
      <c r="H495" s="161" t="s">
        <v>2037</v>
      </c>
      <c r="I495" s="160">
        <v>21.6</v>
      </c>
      <c r="J495" s="154" t="s">
        <v>574</v>
      </c>
      <c r="K495" s="185"/>
      <c r="L495" s="163" t="s">
        <v>748</v>
      </c>
      <c r="M495" s="164" t="s">
        <v>649</v>
      </c>
      <c r="N495" s="165" t="s">
        <v>2001</v>
      </c>
      <c r="O495" s="165" t="s">
        <v>734</v>
      </c>
      <c r="P495" s="165" t="s">
        <v>735</v>
      </c>
      <c r="Q495" s="188">
        <v>43615</v>
      </c>
      <c r="R495" s="165" t="s">
        <v>2038</v>
      </c>
      <c r="S495" s="166" t="s">
        <v>2039</v>
      </c>
      <c r="T495" s="165" t="s">
        <v>678</v>
      </c>
    </row>
    <row r="496" spans="1:20" ht="38.25" customHeight="1">
      <c r="A496" s="169" t="s">
        <v>668</v>
      </c>
      <c r="B496" s="186" t="s">
        <v>669</v>
      </c>
      <c r="C496" s="156" t="s">
        <v>670</v>
      </c>
      <c r="D496" s="171" t="s">
        <v>2040</v>
      </c>
      <c r="E496" s="171" t="s">
        <v>2041</v>
      </c>
      <c r="F496" s="171" t="s">
        <v>706</v>
      </c>
      <c r="G496" s="171" t="s">
        <v>2042</v>
      </c>
      <c r="H496" s="171" t="s">
        <v>1577</v>
      </c>
      <c r="I496" s="170">
        <v>20.7</v>
      </c>
      <c r="J496" s="156" t="s">
        <v>574</v>
      </c>
      <c r="K496" s="187"/>
      <c r="L496" s="172" t="s">
        <v>748</v>
      </c>
      <c r="M496" s="173" t="s">
        <v>649</v>
      </c>
      <c r="N496" s="174" t="s">
        <v>2001</v>
      </c>
      <c r="O496" s="174" t="s">
        <v>2002</v>
      </c>
      <c r="P496" s="174" t="s">
        <v>2003</v>
      </c>
      <c r="Q496" s="183">
        <v>43615</v>
      </c>
      <c r="R496" s="174" t="s">
        <v>736</v>
      </c>
      <c r="S496" s="175" t="s">
        <v>2043</v>
      </c>
      <c r="T496" s="174" t="s">
        <v>678</v>
      </c>
    </row>
    <row r="497" spans="1:20" ht="38.25" customHeight="1">
      <c r="A497" s="159" t="s">
        <v>668</v>
      </c>
      <c r="B497" s="184" t="s">
        <v>669</v>
      </c>
      <c r="C497" s="154" t="s">
        <v>670</v>
      </c>
      <c r="D497" s="161" t="s">
        <v>2044</v>
      </c>
      <c r="E497" s="161" t="s">
        <v>2045</v>
      </c>
      <c r="F497" s="161" t="s">
        <v>706</v>
      </c>
      <c r="G497" s="161" t="s">
        <v>780</v>
      </c>
      <c r="H497" s="161" t="s">
        <v>727</v>
      </c>
      <c r="I497" s="160">
        <v>23.5</v>
      </c>
      <c r="J497" s="154" t="s">
        <v>574</v>
      </c>
      <c r="K497" s="185"/>
      <c r="L497" s="163" t="s">
        <v>748</v>
      </c>
      <c r="M497" s="164" t="s">
        <v>649</v>
      </c>
      <c r="N497" s="165" t="s">
        <v>2001</v>
      </c>
      <c r="O497" s="165" t="s">
        <v>2002</v>
      </c>
      <c r="P497" s="165" t="s">
        <v>2003</v>
      </c>
      <c r="Q497" s="188">
        <v>43615</v>
      </c>
      <c r="R497" s="165" t="s">
        <v>736</v>
      </c>
      <c r="S497" s="166" t="s">
        <v>1952</v>
      </c>
      <c r="T497" s="165" t="s">
        <v>678</v>
      </c>
    </row>
    <row r="498" spans="1:20" ht="38.25" customHeight="1">
      <c r="A498" s="169" t="s">
        <v>668</v>
      </c>
      <c r="B498" s="186" t="s">
        <v>669</v>
      </c>
      <c r="C498" s="156" t="s">
        <v>670</v>
      </c>
      <c r="D498" s="171" t="s">
        <v>2046</v>
      </c>
      <c r="E498" s="171" t="s">
        <v>2047</v>
      </c>
      <c r="F498" s="171" t="s">
        <v>706</v>
      </c>
      <c r="G498" s="171" t="s">
        <v>1188</v>
      </c>
      <c r="H498" s="171" t="s">
        <v>727</v>
      </c>
      <c r="I498" s="170">
        <v>21.6</v>
      </c>
      <c r="J498" s="156" t="s">
        <v>574</v>
      </c>
      <c r="K498" s="187"/>
      <c r="L498" s="172" t="s">
        <v>748</v>
      </c>
      <c r="M498" s="173" t="s">
        <v>649</v>
      </c>
      <c r="N498" s="174" t="s">
        <v>2001</v>
      </c>
      <c r="O498" s="174" t="s">
        <v>2002</v>
      </c>
      <c r="P498" s="174" t="s">
        <v>2003</v>
      </c>
      <c r="Q498" s="183">
        <v>43615</v>
      </c>
      <c r="R498" s="174" t="s">
        <v>736</v>
      </c>
      <c r="S498" s="175" t="s">
        <v>2039</v>
      </c>
      <c r="T498" s="174" t="s">
        <v>678</v>
      </c>
    </row>
    <row r="499" spans="1:20" ht="51" customHeight="1">
      <c r="A499" s="159" t="s">
        <v>668</v>
      </c>
      <c r="B499" s="184" t="s">
        <v>669</v>
      </c>
      <c r="C499" s="154" t="s">
        <v>670</v>
      </c>
      <c r="D499" s="161" t="s">
        <v>2048</v>
      </c>
      <c r="E499" s="161" t="s">
        <v>2049</v>
      </c>
      <c r="F499" s="161" t="s">
        <v>706</v>
      </c>
      <c r="G499" s="161" t="s">
        <v>1188</v>
      </c>
      <c r="H499" s="161" t="s">
        <v>727</v>
      </c>
      <c r="I499" s="160">
        <v>20.100000000000001</v>
      </c>
      <c r="J499" s="154" t="s">
        <v>574</v>
      </c>
      <c r="K499" s="185"/>
      <c r="L499" s="163" t="s">
        <v>748</v>
      </c>
      <c r="M499" s="164" t="s">
        <v>649</v>
      </c>
      <c r="N499" s="165" t="s">
        <v>2001</v>
      </c>
      <c r="O499" s="165" t="s">
        <v>2002</v>
      </c>
      <c r="P499" s="165" t="s">
        <v>2003</v>
      </c>
      <c r="Q499" s="188">
        <v>43615</v>
      </c>
      <c r="R499" s="165" t="s">
        <v>736</v>
      </c>
      <c r="S499" s="166" t="s">
        <v>2050</v>
      </c>
      <c r="T499" s="165" t="s">
        <v>678</v>
      </c>
    </row>
    <row r="500" spans="1:20" ht="38.25" customHeight="1">
      <c r="A500" s="169" t="s">
        <v>668</v>
      </c>
      <c r="B500" s="186" t="s">
        <v>669</v>
      </c>
      <c r="C500" s="156" t="s">
        <v>670</v>
      </c>
      <c r="D500" s="171" t="s">
        <v>2051</v>
      </c>
      <c r="E500" s="171" t="s">
        <v>2052</v>
      </c>
      <c r="F500" s="171" t="s">
        <v>706</v>
      </c>
      <c r="G500" s="171" t="s">
        <v>780</v>
      </c>
      <c r="H500" s="171" t="s">
        <v>727</v>
      </c>
      <c r="I500" s="170">
        <v>22.9</v>
      </c>
      <c r="J500" s="156" t="s">
        <v>574</v>
      </c>
      <c r="K500" s="187"/>
      <c r="L500" s="172" t="s">
        <v>748</v>
      </c>
      <c r="M500" s="173" t="s">
        <v>649</v>
      </c>
      <c r="N500" s="174" t="s">
        <v>2001</v>
      </c>
      <c r="O500" s="174" t="s">
        <v>2002</v>
      </c>
      <c r="P500" s="174" t="s">
        <v>2003</v>
      </c>
      <c r="Q500" s="183">
        <v>43615</v>
      </c>
      <c r="R500" s="174" t="s">
        <v>736</v>
      </c>
      <c r="S500" s="175" t="s">
        <v>2053</v>
      </c>
      <c r="T500" s="174" t="s">
        <v>678</v>
      </c>
    </row>
    <row r="501" spans="1:20" ht="38.25" customHeight="1">
      <c r="A501" s="159" t="s">
        <v>668</v>
      </c>
      <c r="B501" s="184" t="s">
        <v>669</v>
      </c>
      <c r="C501" s="154" t="s">
        <v>670</v>
      </c>
      <c r="D501" s="161" t="s">
        <v>2054</v>
      </c>
      <c r="E501" s="161" t="s">
        <v>2055</v>
      </c>
      <c r="F501" s="161" t="s">
        <v>706</v>
      </c>
      <c r="G501" s="161" t="s">
        <v>2056</v>
      </c>
      <c r="H501" s="161" t="s">
        <v>675</v>
      </c>
      <c r="I501" s="160">
        <v>23.8</v>
      </c>
      <c r="J501" s="154" t="s">
        <v>574</v>
      </c>
      <c r="K501" s="185"/>
      <c r="L501" s="163" t="s">
        <v>748</v>
      </c>
      <c r="M501" s="164" t="s">
        <v>649</v>
      </c>
      <c r="N501" s="165" t="s">
        <v>2001</v>
      </c>
      <c r="O501" s="165" t="s">
        <v>2002</v>
      </c>
      <c r="P501" s="165" t="s">
        <v>2003</v>
      </c>
      <c r="Q501" s="188">
        <v>43615</v>
      </c>
      <c r="R501" s="165" t="s">
        <v>736</v>
      </c>
      <c r="S501" s="166" t="s">
        <v>2057</v>
      </c>
      <c r="T501" s="165" t="s">
        <v>678</v>
      </c>
    </row>
    <row r="502" spans="1:20" ht="38.25" customHeight="1">
      <c r="A502" s="169" t="s">
        <v>668</v>
      </c>
      <c r="B502" s="186" t="s">
        <v>669</v>
      </c>
      <c r="C502" s="156" t="s">
        <v>670</v>
      </c>
      <c r="D502" s="171" t="s">
        <v>2058</v>
      </c>
      <c r="E502" s="171" t="s">
        <v>2059</v>
      </c>
      <c r="F502" s="171" t="s">
        <v>706</v>
      </c>
      <c r="G502" s="171" t="s">
        <v>780</v>
      </c>
      <c r="H502" s="171" t="s">
        <v>675</v>
      </c>
      <c r="I502" s="170">
        <v>21.3</v>
      </c>
      <c r="J502" s="156" t="s">
        <v>574</v>
      </c>
      <c r="K502" s="187"/>
      <c r="L502" s="172" t="s">
        <v>748</v>
      </c>
      <c r="M502" s="173" t="s">
        <v>649</v>
      </c>
      <c r="N502" s="174" t="s">
        <v>2001</v>
      </c>
      <c r="O502" s="174" t="s">
        <v>2002</v>
      </c>
      <c r="P502" s="174" t="s">
        <v>2003</v>
      </c>
      <c r="Q502" s="183">
        <v>43615</v>
      </c>
      <c r="R502" s="174" t="s">
        <v>736</v>
      </c>
      <c r="S502" s="175" t="s">
        <v>1956</v>
      </c>
      <c r="T502" s="174" t="s">
        <v>678</v>
      </c>
    </row>
    <row r="503" spans="1:20" ht="38.25" customHeight="1">
      <c r="A503" s="159" t="s">
        <v>668</v>
      </c>
      <c r="B503" s="184" t="s">
        <v>669</v>
      </c>
      <c r="C503" s="154" t="s">
        <v>670</v>
      </c>
      <c r="D503" s="161" t="s">
        <v>2060</v>
      </c>
      <c r="E503" s="161" t="s">
        <v>2061</v>
      </c>
      <c r="F503" s="161" t="s">
        <v>706</v>
      </c>
      <c r="G503" s="161" t="s">
        <v>1808</v>
      </c>
      <c r="H503" s="161" t="s">
        <v>675</v>
      </c>
      <c r="I503" s="160">
        <v>21.3</v>
      </c>
      <c r="J503" s="154" t="s">
        <v>574</v>
      </c>
      <c r="K503" s="185"/>
      <c r="L503" s="163" t="s">
        <v>748</v>
      </c>
      <c r="M503" s="164" t="s">
        <v>649</v>
      </c>
      <c r="N503" s="165" t="s">
        <v>2001</v>
      </c>
      <c r="O503" s="165" t="s">
        <v>2002</v>
      </c>
      <c r="P503" s="165" t="s">
        <v>2003</v>
      </c>
      <c r="Q503" s="188">
        <v>43615</v>
      </c>
      <c r="R503" s="165" t="s">
        <v>736</v>
      </c>
      <c r="S503" s="166" t="s">
        <v>1956</v>
      </c>
      <c r="T503" s="165" t="s">
        <v>678</v>
      </c>
    </row>
    <row r="504" spans="1:20" ht="51" customHeight="1">
      <c r="A504" s="169" t="s">
        <v>668</v>
      </c>
      <c r="B504" s="186" t="s">
        <v>669</v>
      </c>
      <c r="C504" s="156" t="s">
        <v>670</v>
      </c>
      <c r="D504" s="171" t="s">
        <v>2062</v>
      </c>
      <c r="E504" s="171" t="s">
        <v>2063</v>
      </c>
      <c r="F504" s="171" t="s">
        <v>706</v>
      </c>
      <c r="G504" s="171" t="s">
        <v>1808</v>
      </c>
      <c r="H504" s="171" t="s">
        <v>675</v>
      </c>
      <c r="I504" s="170">
        <v>14.8</v>
      </c>
      <c r="J504" s="156" t="s">
        <v>574</v>
      </c>
      <c r="K504" s="187"/>
      <c r="L504" s="172" t="s">
        <v>748</v>
      </c>
      <c r="M504" s="173" t="s">
        <v>649</v>
      </c>
      <c r="N504" s="174" t="s">
        <v>2001</v>
      </c>
      <c r="O504" s="174" t="s">
        <v>2002</v>
      </c>
      <c r="P504" s="174" t="s">
        <v>2003</v>
      </c>
      <c r="Q504" s="183">
        <v>43615</v>
      </c>
      <c r="R504" s="174" t="s">
        <v>736</v>
      </c>
      <c r="S504" s="175" t="s">
        <v>2064</v>
      </c>
      <c r="T504" s="174" t="s">
        <v>678</v>
      </c>
    </row>
    <row r="505" spans="1:20" ht="38.25" customHeight="1">
      <c r="A505" s="159" t="s">
        <v>668</v>
      </c>
      <c r="B505" s="184" t="s">
        <v>669</v>
      </c>
      <c r="C505" s="154" t="s">
        <v>670</v>
      </c>
      <c r="D505" s="161" t="s">
        <v>2065</v>
      </c>
      <c r="E505" s="161" t="s">
        <v>2066</v>
      </c>
      <c r="F505" s="161" t="s">
        <v>706</v>
      </c>
      <c r="G505" s="161" t="s">
        <v>2067</v>
      </c>
      <c r="H505" s="161" t="s">
        <v>732</v>
      </c>
      <c r="I505" s="160">
        <v>18.3</v>
      </c>
      <c r="J505" s="154" t="s">
        <v>574</v>
      </c>
      <c r="K505" s="185"/>
      <c r="L505" s="163" t="s">
        <v>748</v>
      </c>
      <c r="M505" s="164" t="s">
        <v>649</v>
      </c>
      <c r="N505" s="165" t="s">
        <v>2001</v>
      </c>
      <c r="O505" s="165" t="s">
        <v>2002</v>
      </c>
      <c r="P505" s="165" t="s">
        <v>2003</v>
      </c>
      <c r="Q505" s="188">
        <v>43615</v>
      </c>
      <c r="R505" s="165" t="s">
        <v>736</v>
      </c>
      <c r="S505" s="166" t="s">
        <v>2068</v>
      </c>
      <c r="T505" s="165" t="s">
        <v>678</v>
      </c>
    </row>
    <row r="506" spans="1:20" ht="38.25" customHeight="1">
      <c r="A506" s="169" t="s">
        <v>668</v>
      </c>
      <c r="B506" s="186" t="s">
        <v>669</v>
      </c>
      <c r="C506" s="156" t="s">
        <v>670</v>
      </c>
      <c r="D506" s="171" t="s">
        <v>2069</v>
      </c>
      <c r="E506" s="171" t="s">
        <v>2070</v>
      </c>
      <c r="F506" s="171" t="s">
        <v>706</v>
      </c>
      <c r="G506" s="171" t="s">
        <v>2071</v>
      </c>
      <c r="H506" s="171" t="s">
        <v>732</v>
      </c>
      <c r="I506" s="170">
        <v>18.5</v>
      </c>
      <c r="J506" s="156" t="s">
        <v>574</v>
      </c>
      <c r="K506" s="187"/>
      <c r="L506" s="172" t="s">
        <v>748</v>
      </c>
      <c r="M506" s="173" t="s">
        <v>649</v>
      </c>
      <c r="N506" s="174" t="s">
        <v>2001</v>
      </c>
      <c r="O506" s="174" t="s">
        <v>2002</v>
      </c>
      <c r="P506" s="174" t="s">
        <v>2003</v>
      </c>
      <c r="Q506" s="183">
        <v>43615</v>
      </c>
      <c r="R506" s="174" t="s">
        <v>736</v>
      </c>
      <c r="S506" s="175" t="s">
        <v>2072</v>
      </c>
      <c r="T506" s="174" t="s">
        <v>678</v>
      </c>
    </row>
    <row r="507" spans="1:20" ht="51" customHeight="1">
      <c r="A507" s="159" t="s">
        <v>668</v>
      </c>
      <c r="B507" s="184" t="s">
        <v>669</v>
      </c>
      <c r="C507" s="154" t="s">
        <v>670</v>
      </c>
      <c r="D507" s="161" t="s">
        <v>2073</v>
      </c>
      <c r="E507" s="161" t="s">
        <v>2074</v>
      </c>
      <c r="F507" s="161" t="s">
        <v>706</v>
      </c>
      <c r="G507" s="161" t="s">
        <v>2075</v>
      </c>
      <c r="H507" s="161" t="s">
        <v>732</v>
      </c>
      <c r="I507" s="160">
        <v>24.9</v>
      </c>
      <c r="J507" s="154" t="s">
        <v>574</v>
      </c>
      <c r="K507" s="185"/>
      <c r="L507" s="163" t="s">
        <v>748</v>
      </c>
      <c r="M507" s="164" t="s">
        <v>649</v>
      </c>
      <c r="N507" s="165" t="s">
        <v>2001</v>
      </c>
      <c r="O507" s="165" t="s">
        <v>2002</v>
      </c>
      <c r="P507" s="165" t="s">
        <v>2003</v>
      </c>
      <c r="Q507" s="188">
        <v>43615</v>
      </c>
      <c r="R507" s="165" t="s">
        <v>736</v>
      </c>
      <c r="S507" s="166" t="s">
        <v>1974</v>
      </c>
      <c r="T507" s="165" t="s">
        <v>678</v>
      </c>
    </row>
    <row r="508" spans="1:20" ht="51" customHeight="1">
      <c r="A508" s="169" t="s">
        <v>668</v>
      </c>
      <c r="B508" s="186" t="s">
        <v>669</v>
      </c>
      <c r="C508" s="156" t="s">
        <v>670</v>
      </c>
      <c r="D508" s="171" t="s">
        <v>2076</v>
      </c>
      <c r="E508" s="171" t="s">
        <v>2077</v>
      </c>
      <c r="F508" s="171" t="s">
        <v>706</v>
      </c>
      <c r="G508" s="171" t="s">
        <v>2075</v>
      </c>
      <c r="H508" s="171" t="s">
        <v>732</v>
      </c>
      <c r="I508" s="170">
        <v>20.9</v>
      </c>
      <c r="J508" s="156" t="s">
        <v>574</v>
      </c>
      <c r="K508" s="187"/>
      <c r="L508" s="172" t="s">
        <v>748</v>
      </c>
      <c r="M508" s="173" t="s">
        <v>649</v>
      </c>
      <c r="N508" s="174" t="s">
        <v>2001</v>
      </c>
      <c r="O508" s="174" t="s">
        <v>2002</v>
      </c>
      <c r="P508" s="174" t="s">
        <v>2003</v>
      </c>
      <c r="Q508" s="183">
        <v>43615</v>
      </c>
      <c r="R508" s="174" t="s">
        <v>736</v>
      </c>
      <c r="S508" s="175" t="s">
        <v>2078</v>
      </c>
      <c r="T508" s="174" t="s">
        <v>678</v>
      </c>
    </row>
    <row r="509" spans="1:20" ht="38.25" customHeight="1">
      <c r="A509" s="159" t="s">
        <v>668</v>
      </c>
      <c r="B509" s="184" t="s">
        <v>669</v>
      </c>
      <c r="C509" s="154" t="s">
        <v>670</v>
      </c>
      <c r="D509" s="161" t="s">
        <v>2079</v>
      </c>
      <c r="E509" s="161" t="s">
        <v>2080</v>
      </c>
      <c r="F509" s="161" t="s">
        <v>706</v>
      </c>
      <c r="G509" s="161" t="s">
        <v>2081</v>
      </c>
      <c r="H509" s="161" t="s">
        <v>732</v>
      </c>
      <c r="I509" s="160">
        <v>22.9</v>
      </c>
      <c r="J509" s="154" t="s">
        <v>574</v>
      </c>
      <c r="K509" s="185"/>
      <c r="L509" s="163" t="s">
        <v>748</v>
      </c>
      <c r="M509" s="164" t="s">
        <v>649</v>
      </c>
      <c r="N509" s="165" t="s">
        <v>2001</v>
      </c>
      <c r="O509" s="165" t="s">
        <v>2002</v>
      </c>
      <c r="P509" s="165" t="s">
        <v>2003</v>
      </c>
      <c r="Q509" s="188">
        <v>43615</v>
      </c>
      <c r="R509" s="165" t="s">
        <v>736</v>
      </c>
      <c r="S509" s="166" t="s">
        <v>2053</v>
      </c>
      <c r="T509" s="165" t="s">
        <v>678</v>
      </c>
    </row>
    <row r="510" spans="1:20" ht="38.25" customHeight="1">
      <c r="A510" s="169" t="s">
        <v>668</v>
      </c>
      <c r="B510" s="186" t="s">
        <v>669</v>
      </c>
      <c r="C510" s="156" t="s">
        <v>670</v>
      </c>
      <c r="D510" s="171" t="s">
        <v>2082</v>
      </c>
      <c r="E510" s="171" t="s">
        <v>2083</v>
      </c>
      <c r="F510" s="171" t="s">
        <v>706</v>
      </c>
      <c r="G510" s="171" t="s">
        <v>2081</v>
      </c>
      <c r="H510" s="171" t="s">
        <v>732</v>
      </c>
      <c r="I510" s="170">
        <v>20.6</v>
      </c>
      <c r="J510" s="156" t="s">
        <v>574</v>
      </c>
      <c r="K510" s="187"/>
      <c r="L510" s="172" t="s">
        <v>748</v>
      </c>
      <c r="M510" s="173" t="s">
        <v>649</v>
      </c>
      <c r="N510" s="174" t="s">
        <v>2001</v>
      </c>
      <c r="O510" s="174" t="s">
        <v>2002</v>
      </c>
      <c r="P510" s="174" t="s">
        <v>2003</v>
      </c>
      <c r="Q510" s="183">
        <v>43615</v>
      </c>
      <c r="R510" s="174" t="s">
        <v>736</v>
      </c>
      <c r="S510" s="175" t="s">
        <v>2084</v>
      </c>
      <c r="T510" s="174" t="s">
        <v>678</v>
      </c>
    </row>
    <row r="511" spans="1:20" ht="51" customHeight="1">
      <c r="A511" s="159" t="s">
        <v>668</v>
      </c>
      <c r="B511" s="184" t="s">
        <v>669</v>
      </c>
      <c r="C511" s="154" t="s">
        <v>670</v>
      </c>
      <c r="D511" s="161" t="s">
        <v>2085</v>
      </c>
      <c r="E511" s="161" t="s">
        <v>2086</v>
      </c>
      <c r="F511" s="161" t="s">
        <v>706</v>
      </c>
      <c r="G511" s="161" t="s">
        <v>1808</v>
      </c>
      <c r="H511" s="161" t="s">
        <v>675</v>
      </c>
      <c r="I511" s="160">
        <v>20.399999999999999</v>
      </c>
      <c r="J511" s="154" t="s">
        <v>574</v>
      </c>
      <c r="K511" s="185"/>
      <c r="L511" s="163" t="s">
        <v>748</v>
      </c>
      <c r="M511" s="164" t="s">
        <v>649</v>
      </c>
      <c r="N511" s="165" t="s">
        <v>2001</v>
      </c>
      <c r="O511" s="165" t="s">
        <v>2002</v>
      </c>
      <c r="P511" s="165" t="s">
        <v>2003</v>
      </c>
      <c r="Q511" s="188">
        <v>43615</v>
      </c>
      <c r="R511" s="165" t="s">
        <v>736</v>
      </c>
      <c r="S511" s="166" t="s">
        <v>2087</v>
      </c>
      <c r="T511" s="165" t="s">
        <v>678</v>
      </c>
    </row>
    <row r="512" spans="1:20" ht="38.25" customHeight="1">
      <c r="A512" s="169" t="s">
        <v>668</v>
      </c>
      <c r="B512" s="186" t="s">
        <v>669</v>
      </c>
      <c r="C512" s="156" t="s">
        <v>670</v>
      </c>
      <c r="D512" s="171" t="s">
        <v>2088</v>
      </c>
      <c r="E512" s="171" t="s">
        <v>2089</v>
      </c>
      <c r="F512" s="171" t="s">
        <v>706</v>
      </c>
      <c r="G512" s="171" t="s">
        <v>2090</v>
      </c>
      <c r="H512" s="171" t="s">
        <v>675</v>
      </c>
      <c r="I512" s="170">
        <v>18.600000000000001</v>
      </c>
      <c r="J512" s="156" t="s">
        <v>574</v>
      </c>
      <c r="K512" s="187"/>
      <c r="L512" s="172" t="s">
        <v>748</v>
      </c>
      <c r="M512" s="173" t="s">
        <v>649</v>
      </c>
      <c r="N512" s="174" t="s">
        <v>2001</v>
      </c>
      <c r="O512" s="174" t="s">
        <v>2002</v>
      </c>
      <c r="P512" s="174" t="s">
        <v>2003</v>
      </c>
      <c r="Q512" s="183">
        <v>43615</v>
      </c>
      <c r="R512" s="174" t="s">
        <v>736</v>
      </c>
      <c r="S512" s="175" t="s">
        <v>2091</v>
      </c>
      <c r="T512" s="174" t="s">
        <v>678</v>
      </c>
    </row>
    <row r="513" spans="1:20" ht="38.25" customHeight="1">
      <c r="A513" s="159" t="s">
        <v>668</v>
      </c>
      <c r="B513" s="184" t="s">
        <v>669</v>
      </c>
      <c r="C513" s="154" t="s">
        <v>670</v>
      </c>
      <c r="D513" s="161" t="s">
        <v>2092</v>
      </c>
      <c r="E513" s="161" t="s">
        <v>2093</v>
      </c>
      <c r="F513" s="161" t="s">
        <v>706</v>
      </c>
      <c r="G513" s="161" t="s">
        <v>2094</v>
      </c>
      <c r="H513" s="161" t="s">
        <v>675</v>
      </c>
      <c r="I513" s="160">
        <v>24</v>
      </c>
      <c r="J513" s="154" t="s">
        <v>574</v>
      </c>
      <c r="K513" s="185"/>
      <c r="L513" s="163" t="s">
        <v>748</v>
      </c>
      <c r="M513" s="164" t="s">
        <v>649</v>
      </c>
      <c r="N513" s="165" t="s">
        <v>2001</v>
      </c>
      <c r="O513" s="165" t="s">
        <v>2002</v>
      </c>
      <c r="P513" s="165" t="s">
        <v>2003</v>
      </c>
      <c r="Q513" s="188">
        <v>43615</v>
      </c>
      <c r="R513" s="165" t="s">
        <v>736</v>
      </c>
      <c r="S513" s="166" t="s">
        <v>1334</v>
      </c>
      <c r="T513" s="165" t="s">
        <v>678</v>
      </c>
    </row>
    <row r="514" spans="1:20" ht="38.25" customHeight="1">
      <c r="A514" s="169" t="s">
        <v>668</v>
      </c>
      <c r="B514" s="186" t="s">
        <v>669</v>
      </c>
      <c r="C514" s="156" t="s">
        <v>670</v>
      </c>
      <c r="D514" s="171" t="s">
        <v>2092</v>
      </c>
      <c r="E514" s="171" t="s">
        <v>2095</v>
      </c>
      <c r="F514" s="171" t="s">
        <v>706</v>
      </c>
      <c r="G514" s="171" t="s">
        <v>2094</v>
      </c>
      <c r="H514" s="171" t="s">
        <v>675</v>
      </c>
      <c r="I514" s="170">
        <v>22.8</v>
      </c>
      <c r="J514" s="156" t="s">
        <v>574</v>
      </c>
      <c r="K514" s="187"/>
      <c r="L514" s="172" t="s">
        <v>748</v>
      </c>
      <c r="M514" s="173" t="s">
        <v>649</v>
      </c>
      <c r="N514" s="174" t="s">
        <v>2001</v>
      </c>
      <c r="O514" s="174" t="s">
        <v>2002</v>
      </c>
      <c r="P514" s="174" t="s">
        <v>2003</v>
      </c>
      <c r="Q514" s="183">
        <v>43615</v>
      </c>
      <c r="R514" s="174" t="s">
        <v>736</v>
      </c>
      <c r="S514" s="175" t="s">
        <v>2096</v>
      </c>
      <c r="T514" s="174" t="s">
        <v>678</v>
      </c>
    </row>
    <row r="515" spans="1:20" ht="51" customHeight="1">
      <c r="A515" s="159" t="s">
        <v>668</v>
      </c>
      <c r="B515" s="184" t="s">
        <v>669</v>
      </c>
      <c r="C515" s="154" t="s">
        <v>670</v>
      </c>
      <c r="D515" s="161" t="s">
        <v>2097</v>
      </c>
      <c r="E515" s="161" t="s">
        <v>2098</v>
      </c>
      <c r="F515" s="161" t="s">
        <v>706</v>
      </c>
      <c r="G515" s="161" t="s">
        <v>2094</v>
      </c>
      <c r="H515" s="161" t="s">
        <v>675</v>
      </c>
      <c r="I515" s="160">
        <v>22.8</v>
      </c>
      <c r="J515" s="154" t="s">
        <v>574</v>
      </c>
      <c r="K515" s="185"/>
      <c r="L515" s="163" t="s">
        <v>748</v>
      </c>
      <c r="M515" s="164" t="s">
        <v>649</v>
      </c>
      <c r="N515" s="165" t="s">
        <v>2001</v>
      </c>
      <c r="O515" s="165" t="s">
        <v>2002</v>
      </c>
      <c r="P515" s="165" t="s">
        <v>2003</v>
      </c>
      <c r="Q515" s="188">
        <v>43615</v>
      </c>
      <c r="R515" s="165" t="s">
        <v>736</v>
      </c>
      <c r="S515" s="166" t="s">
        <v>2096</v>
      </c>
      <c r="T515" s="165" t="s">
        <v>678</v>
      </c>
    </row>
    <row r="516" spans="1:20" ht="38.25" customHeight="1">
      <c r="A516" s="169" t="s">
        <v>668</v>
      </c>
      <c r="B516" s="186" t="s">
        <v>669</v>
      </c>
      <c r="C516" s="156" t="s">
        <v>670</v>
      </c>
      <c r="D516" s="171" t="s">
        <v>2099</v>
      </c>
      <c r="E516" s="171" t="s">
        <v>2100</v>
      </c>
      <c r="F516" s="171" t="s">
        <v>706</v>
      </c>
      <c r="G516" s="171" t="s">
        <v>2101</v>
      </c>
      <c r="H516" s="171" t="s">
        <v>747</v>
      </c>
      <c r="I516" s="170">
        <v>107</v>
      </c>
      <c r="J516" s="156" t="s">
        <v>574</v>
      </c>
      <c r="K516" s="187"/>
      <c r="L516" s="172" t="s">
        <v>748</v>
      </c>
      <c r="M516" s="173" t="s">
        <v>649</v>
      </c>
      <c r="N516" s="174" t="s">
        <v>2001</v>
      </c>
      <c r="O516" s="174" t="s">
        <v>2002</v>
      </c>
      <c r="P516" s="174" t="s">
        <v>2003</v>
      </c>
      <c r="Q516" s="183">
        <v>43615</v>
      </c>
      <c r="R516" s="174" t="s">
        <v>736</v>
      </c>
      <c r="S516" s="175" t="s">
        <v>2102</v>
      </c>
      <c r="T516" s="174" t="s">
        <v>678</v>
      </c>
    </row>
    <row r="517" spans="1:20" ht="38.25" customHeight="1">
      <c r="A517" s="159" t="s">
        <v>668</v>
      </c>
      <c r="B517" s="184" t="s">
        <v>669</v>
      </c>
      <c r="C517" s="154" t="s">
        <v>670</v>
      </c>
      <c r="D517" s="161" t="s">
        <v>2099</v>
      </c>
      <c r="E517" s="161" t="s">
        <v>2103</v>
      </c>
      <c r="F517" s="161" t="s">
        <v>706</v>
      </c>
      <c r="G517" s="161" t="s">
        <v>2101</v>
      </c>
      <c r="H517" s="161" t="s">
        <v>747</v>
      </c>
      <c r="I517" s="160">
        <v>18.600000000000001</v>
      </c>
      <c r="J517" s="154" t="s">
        <v>574</v>
      </c>
      <c r="K517" s="185"/>
      <c r="L517" s="163" t="s">
        <v>748</v>
      </c>
      <c r="M517" s="164" t="s">
        <v>649</v>
      </c>
      <c r="N517" s="165" t="s">
        <v>2001</v>
      </c>
      <c r="O517" s="165" t="s">
        <v>2002</v>
      </c>
      <c r="P517" s="165" t="s">
        <v>2003</v>
      </c>
      <c r="Q517" s="188">
        <v>43615</v>
      </c>
      <c r="R517" s="165" t="s">
        <v>736</v>
      </c>
      <c r="S517" s="166" t="s">
        <v>2091</v>
      </c>
      <c r="T517" s="165" t="s">
        <v>678</v>
      </c>
    </row>
    <row r="518" spans="1:20" ht="38.25" customHeight="1">
      <c r="A518" s="169" t="s">
        <v>668</v>
      </c>
      <c r="B518" s="186" t="s">
        <v>669</v>
      </c>
      <c r="C518" s="156" t="s">
        <v>670</v>
      </c>
      <c r="D518" s="171" t="s">
        <v>2104</v>
      </c>
      <c r="E518" s="171" t="s">
        <v>2105</v>
      </c>
      <c r="F518" s="171" t="s">
        <v>706</v>
      </c>
      <c r="G518" s="171" t="s">
        <v>2106</v>
      </c>
      <c r="H518" s="171" t="s">
        <v>747</v>
      </c>
      <c r="I518" s="170">
        <v>24.9</v>
      </c>
      <c r="J518" s="156" t="s">
        <v>574</v>
      </c>
      <c r="K518" s="187"/>
      <c r="L518" s="172" t="s">
        <v>748</v>
      </c>
      <c r="M518" s="173" t="s">
        <v>649</v>
      </c>
      <c r="N518" s="174" t="s">
        <v>2001</v>
      </c>
      <c r="O518" s="174" t="s">
        <v>2002</v>
      </c>
      <c r="P518" s="174" t="s">
        <v>2003</v>
      </c>
      <c r="Q518" s="183">
        <v>43615</v>
      </c>
      <c r="R518" s="174" t="s">
        <v>736</v>
      </c>
      <c r="S518" s="175" t="s">
        <v>1974</v>
      </c>
      <c r="T518" s="174" t="s">
        <v>678</v>
      </c>
    </row>
    <row r="519" spans="1:20" ht="38.25" customHeight="1">
      <c r="A519" s="159" t="s">
        <v>668</v>
      </c>
      <c r="B519" s="184" t="s">
        <v>669</v>
      </c>
      <c r="C519" s="154" t="s">
        <v>670</v>
      </c>
      <c r="D519" s="161" t="s">
        <v>2107</v>
      </c>
      <c r="E519" s="161" t="s">
        <v>2108</v>
      </c>
      <c r="F519" s="161" t="s">
        <v>1343</v>
      </c>
      <c r="G519" s="161" t="s">
        <v>2109</v>
      </c>
      <c r="H519" s="161" t="s">
        <v>747</v>
      </c>
      <c r="I519" s="160">
        <v>22.4</v>
      </c>
      <c r="J519" s="154" t="s">
        <v>574</v>
      </c>
      <c r="K519" s="185"/>
      <c r="L519" s="163" t="s">
        <v>748</v>
      </c>
      <c r="M519" s="164" t="s">
        <v>649</v>
      </c>
      <c r="N519" s="165" t="s">
        <v>2001</v>
      </c>
      <c r="O519" s="165" t="s">
        <v>2002</v>
      </c>
      <c r="P519" s="165" t="s">
        <v>2003</v>
      </c>
      <c r="Q519" s="188">
        <v>43615</v>
      </c>
      <c r="R519" s="165" t="s">
        <v>736</v>
      </c>
      <c r="S519" s="166" t="s">
        <v>2031</v>
      </c>
      <c r="T519" s="165" t="s">
        <v>678</v>
      </c>
    </row>
    <row r="520" spans="1:20" ht="38.25" customHeight="1">
      <c r="A520" s="169" t="s">
        <v>668</v>
      </c>
      <c r="B520" s="186" t="s">
        <v>669</v>
      </c>
      <c r="C520" s="156" t="s">
        <v>670</v>
      </c>
      <c r="D520" s="171" t="s">
        <v>2110</v>
      </c>
      <c r="E520" s="171" t="s">
        <v>2111</v>
      </c>
      <c r="F520" s="171" t="s">
        <v>706</v>
      </c>
      <c r="G520" s="171" t="s">
        <v>2112</v>
      </c>
      <c r="H520" s="171" t="s">
        <v>2113</v>
      </c>
      <c r="I520" s="170">
        <v>21.3</v>
      </c>
      <c r="J520" s="156" t="s">
        <v>574</v>
      </c>
      <c r="K520" s="187"/>
      <c r="L520" s="172" t="s">
        <v>748</v>
      </c>
      <c r="M520" s="173" t="s">
        <v>649</v>
      </c>
      <c r="N520" s="174" t="s">
        <v>2001</v>
      </c>
      <c r="O520" s="174" t="s">
        <v>2002</v>
      </c>
      <c r="P520" s="174" t="s">
        <v>2003</v>
      </c>
      <c r="Q520" s="183">
        <v>43615</v>
      </c>
      <c r="R520" s="174" t="s">
        <v>736</v>
      </c>
      <c r="S520" s="175" t="s">
        <v>1956</v>
      </c>
      <c r="T520" s="174" t="s">
        <v>678</v>
      </c>
    </row>
    <row r="521" spans="1:20" ht="51" customHeight="1">
      <c r="A521" s="159" t="s">
        <v>668</v>
      </c>
      <c r="B521" s="184" t="s">
        <v>669</v>
      </c>
      <c r="C521" s="154" t="s">
        <v>670</v>
      </c>
      <c r="D521" s="161" t="s">
        <v>2114</v>
      </c>
      <c r="E521" s="161" t="s">
        <v>2115</v>
      </c>
      <c r="F521" s="161" t="s">
        <v>1322</v>
      </c>
      <c r="G521" s="161" t="s">
        <v>2116</v>
      </c>
      <c r="H521" s="161" t="s">
        <v>2117</v>
      </c>
      <c r="I521" s="160">
        <v>19.5</v>
      </c>
      <c r="J521" s="154" t="s">
        <v>574</v>
      </c>
      <c r="K521" s="185"/>
      <c r="L521" s="163" t="s">
        <v>748</v>
      </c>
      <c r="M521" s="164" t="s">
        <v>649</v>
      </c>
      <c r="N521" s="165" t="s">
        <v>2001</v>
      </c>
      <c r="O521" s="165" t="s">
        <v>734</v>
      </c>
      <c r="P521" s="165" t="s">
        <v>735</v>
      </c>
      <c r="Q521" s="188">
        <v>43615</v>
      </c>
      <c r="R521" s="165" t="s">
        <v>2038</v>
      </c>
      <c r="S521" s="166" t="s">
        <v>2118</v>
      </c>
      <c r="T521" s="165" t="s">
        <v>678</v>
      </c>
    </row>
    <row r="522" spans="1:20" ht="38.25" customHeight="1">
      <c r="A522" s="169" t="s">
        <v>668</v>
      </c>
      <c r="B522" s="186" t="s">
        <v>669</v>
      </c>
      <c r="C522" s="156" t="s">
        <v>670</v>
      </c>
      <c r="D522" s="171" t="s">
        <v>2119</v>
      </c>
      <c r="E522" s="171" t="s">
        <v>2120</v>
      </c>
      <c r="F522" s="171" t="s">
        <v>740</v>
      </c>
      <c r="G522" s="171" t="s">
        <v>2121</v>
      </c>
      <c r="H522" s="171" t="s">
        <v>2122</v>
      </c>
      <c r="I522" s="170">
        <v>19.399999999999999</v>
      </c>
      <c r="J522" s="156" t="s">
        <v>574</v>
      </c>
      <c r="K522" s="187"/>
      <c r="L522" s="172" t="s">
        <v>748</v>
      </c>
      <c r="M522" s="173" t="s">
        <v>649</v>
      </c>
      <c r="N522" s="174" t="s">
        <v>2001</v>
      </c>
      <c r="O522" s="174" t="s">
        <v>734</v>
      </c>
      <c r="P522" s="174" t="s">
        <v>735</v>
      </c>
      <c r="Q522" s="183">
        <v>43615</v>
      </c>
      <c r="R522" s="174" t="s">
        <v>2038</v>
      </c>
      <c r="S522" s="175" t="s">
        <v>2123</v>
      </c>
      <c r="T522" s="174" t="s">
        <v>678</v>
      </c>
    </row>
    <row r="523" spans="1:20" ht="38.25" customHeight="1">
      <c r="A523" s="159" t="s">
        <v>668</v>
      </c>
      <c r="B523" s="184" t="s">
        <v>669</v>
      </c>
      <c r="C523" s="154" t="s">
        <v>670</v>
      </c>
      <c r="D523" s="161" t="s">
        <v>2124</v>
      </c>
      <c r="E523" s="161" t="s">
        <v>2125</v>
      </c>
      <c r="F523" s="161" t="s">
        <v>706</v>
      </c>
      <c r="G523" s="161" t="s">
        <v>2126</v>
      </c>
      <c r="H523" s="161" t="s">
        <v>311</v>
      </c>
      <c r="I523" s="160">
        <v>22.7</v>
      </c>
      <c r="J523" s="154" t="s">
        <v>574</v>
      </c>
      <c r="K523" s="185"/>
      <c r="L523" s="163" t="s">
        <v>748</v>
      </c>
      <c r="M523" s="164" t="s">
        <v>649</v>
      </c>
      <c r="N523" s="165" t="s">
        <v>2001</v>
      </c>
      <c r="O523" s="165" t="s">
        <v>2002</v>
      </c>
      <c r="P523" s="165" t="s">
        <v>2003</v>
      </c>
      <c r="Q523" s="188">
        <v>43615</v>
      </c>
      <c r="R523" s="165" t="s">
        <v>736</v>
      </c>
      <c r="S523" s="166" t="s">
        <v>1938</v>
      </c>
      <c r="T523" s="165" t="s">
        <v>678</v>
      </c>
    </row>
    <row r="524" spans="1:20" ht="51" customHeight="1">
      <c r="A524" s="169" t="s">
        <v>668</v>
      </c>
      <c r="B524" s="186" t="s">
        <v>669</v>
      </c>
      <c r="C524" s="156" t="s">
        <v>670</v>
      </c>
      <c r="D524" s="171" t="s">
        <v>2127</v>
      </c>
      <c r="E524" s="171" t="s">
        <v>2128</v>
      </c>
      <c r="F524" s="171" t="s">
        <v>706</v>
      </c>
      <c r="G524" s="171" t="s">
        <v>2129</v>
      </c>
      <c r="H524" s="171" t="s">
        <v>311</v>
      </c>
      <c r="I524" s="170">
        <v>23.4</v>
      </c>
      <c r="J524" s="156" t="s">
        <v>574</v>
      </c>
      <c r="K524" s="187"/>
      <c r="L524" s="172" t="s">
        <v>748</v>
      </c>
      <c r="M524" s="173" t="s">
        <v>649</v>
      </c>
      <c r="N524" s="174" t="s">
        <v>2001</v>
      </c>
      <c r="O524" s="174" t="s">
        <v>2002</v>
      </c>
      <c r="P524" s="174" t="s">
        <v>2003</v>
      </c>
      <c r="Q524" s="183">
        <v>43615</v>
      </c>
      <c r="R524" s="174" t="s">
        <v>736</v>
      </c>
      <c r="S524" s="175" t="s">
        <v>2130</v>
      </c>
      <c r="T524" s="174" t="s">
        <v>678</v>
      </c>
    </row>
    <row r="525" spans="1:20" ht="51" customHeight="1">
      <c r="A525" s="159" t="s">
        <v>668</v>
      </c>
      <c r="B525" s="184" t="s">
        <v>669</v>
      </c>
      <c r="C525" s="154" t="s">
        <v>670</v>
      </c>
      <c r="D525" s="161" t="s">
        <v>2131</v>
      </c>
      <c r="E525" s="161" t="s">
        <v>2132</v>
      </c>
      <c r="F525" s="161" t="s">
        <v>706</v>
      </c>
      <c r="G525" s="161" t="s">
        <v>2133</v>
      </c>
      <c r="H525" s="161" t="s">
        <v>311</v>
      </c>
      <c r="I525" s="160">
        <v>22.6</v>
      </c>
      <c r="J525" s="154" t="s">
        <v>574</v>
      </c>
      <c r="K525" s="185"/>
      <c r="L525" s="163" t="s">
        <v>748</v>
      </c>
      <c r="M525" s="164" t="s">
        <v>649</v>
      </c>
      <c r="N525" s="165" t="s">
        <v>2001</v>
      </c>
      <c r="O525" s="165" t="s">
        <v>2002</v>
      </c>
      <c r="P525" s="165" t="s">
        <v>2003</v>
      </c>
      <c r="Q525" s="188">
        <v>43615</v>
      </c>
      <c r="R525" s="165" t="s">
        <v>736</v>
      </c>
      <c r="S525" s="166" t="s">
        <v>2134</v>
      </c>
      <c r="T525" s="165" t="s">
        <v>678</v>
      </c>
    </row>
    <row r="526" spans="1:20" ht="51" customHeight="1">
      <c r="A526" s="169" t="s">
        <v>668</v>
      </c>
      <c r="B526" s="186" t="s">
        <v>669</v>
      </c>
      <c r="C526" s="156" t="s">
        <v>670</v>
      </c>
      <c r="D526" s="171" t="s">
        <v>2131</v>
      </c>
      <c r="E526" s="171" t="s">
        <v>2135</v>
      </c>
      <c r="F526" s="171" t="s">
        <v>706</v>
      </c>
      <c r="G526" s="171" t="s">
        <v>2133</v>
      </c>
      <c r="H526" s="171" t="s">
        <v>311</v>
      </c>
      <c r="I526" s="170">
        <v>19.7</v>
      </c>
      <c r="J526" s="156" t="s">
        <v>574</v>
      </c>
      <c r="K526" s="187"/>
      <c r="L526" s="172" t="s">
        <v>748</v>
      </c>
      <c r="M526" s="173" t="s">
        <v>649</v>
      </c>
      <c r="N526" s="174" t="s">
        <v>2001</v>
      </c>
      <c r="O526" s="174" t="s">
        <v>2002</v>
      </c>
      <c r="P526" s="174" t="s">
        <v>2003</v>
      </c>
      <c r="Q526" s="183">
        <v>43615</v>
      </c>
      <c r="R526" s="174" t="s">
        <v>736</v>
      </c>
      <c r="S526" s="175" t="s">
        <v>2136</v>
      </c>
      <c r="T526" s="174" t="s">
        <v>678</v>
      </c>
    </row>
    <row r="527" spans="1:20" ht="38.25" customHeight="1">
      <c r="A527" s="159" t="s">
        <v>668</v>
      </c>
      <c r="B527" s="184" t="s">
        <v>669</v>
      </c>
      <c r="C527" s="154" t="s">
        <v>670</v>
      </c>
      <c r="D527" s="161" t="s">
        <v>2137</v>
      </c>
      <c r="E527" s="161" t="s">
        <v>2138</v>
      </c>
      <c r="F527" s="161" t="s">
        <v>706</v>
      </c>
      <c r="G527" s="161" t="s">
        <v>2139</v>
      </c>
      <c r="H527" s="161" t="s">
        <v>311</v>
      </c>
      <c r="I527" s="160">
        <v>22.8</v>
      </c>
      <c r="J527" s="154" t="s">
        <v>574</v>
      </c>
      <c r="K527" s="185"/>
      <c r="L527" s="163" t="s">
        <v>748</v>
      </c>
      <c r="M527" s="164" t="s">
        <v>649</v>
      </c>
      <c r="N527" s="165" t="s">
        <v>2001</v>
      </c>
      <c r="O527" s="165" t="s">
        <v>2002</v>
      </c>
      <c r="P527" s="165" t="s">
        <v>2003</v>
      </c>
      <c r="Q527" s="188">
        <v>43615</v>
      </c>
      <c r="R527" s="165" t="s">
        <v>736</v>
      </c>
      <c r="S527" s="166" t="s">
        <v>2096</v>
      </c>
      <c r="T527" s="165" t="s">
        <v>678</v>
      </c>
    </row>
    <row r="528" spans="1:20" ht="38.25" customHeight="1">
      <c r="A528" s="169" t="s">
        <v>668</v>
      </c>
      <c r="B528" s="186" t="s">
        <v>669</v>
      </c>
      <c r="C528" s="156" t="s">
        <v>670</v>
      </c>
      <c r="D528" s="171" t="s">
        <v>2140</v>
      </c>
      <c r="E528" s="171" t="s">
        <v>2141</v>
      </c>
      <c r="F528" s="171" t="s">
        <v>740</v>
      </c>
      <c r="G528" s="171" t="s">
        <v>2121</v>
      </c>
      <c r="H528" s="171" t="s">
        <v>2122</v>
      </c>
      <c r="I528" s="170">
        <v>22.4</v>
      </c>
      <c r="J528" s="156" t="s">
        <v>574</v>
      </c>
      <c r="K528" s="187"/>
      <c r="L528" s="172" t="s">
        <v>748</v>
      </c>
      <c r="M528" s="173" t="s">
        <v>649</v>
      </c>
      <c r="N528" s="174" t="s">
        <v>2001</v>
      </c>
      <c r="O528" s="174" t="s">
        <v>734</v>
      </c>
      <c r="P528" s="174" t="s">
        <v>735</v>
      </c>
      <c r="Q528" s="183">
        <v>43615</v>
      </c>
      <c r="R528" s="174" t="s">
        <v>2038</v>
      </c>
      <c r="S528" s="175" t="s">
        <v>2031</v>
      </c>
      <c r="T528" s="174" t="s">
        <v>678</v>
      </c>
    </row>
    <row r="529" spans="1:20" ht="51" customHeight="1">
      <c r="A529" s="159" t="s">
        <v>668</v>
      </c>
      <c r="B529" s="184" t="s">
        <v>669</v>
      </c>
      <c r="C529" s="154" t="s">
        <v>670</v>
      </c>
      <c r="D529" s="161" t="s">
        <v>2142</v>
      </c>
      <c r="E529" s="161" t="s">
        <v>2143</v>
      </c>
      <c r="F529" s="161" t="s">
        <v>706</v>
      </c>
      <c r="G529" s="161" t="s">
        <v>2121</v>
      </c>
      <c r="H529" s="161" t="s">
        <v>2122</v>
      </c>
      <c r="I529" s="160">
        <v>24.8</v>
      </c>
      <c r="J529" s="154" t="s">
        <v>574</v>
      </c>
      <c r="K529" s="185"/>
      <c r="L529" s="163" t="s">
        <v>748</v>
      </c>
      <c r="M529" s="164" t="s">
        <v>649</v>
      </c>
      <c r="N529" s="165" t="s">
        <v>2001</v>
      </c>
      <c r="O529" s="165" t="s">
        <v>2002</v>
      </c>
      <c r="P529" s="165" t="s">
        <v>2003</v>
      </c>
      <c r="Q529" s="188">
        <v>43615</v>
      </c>
      <c r="R529" s="165" t="s">
        <v>736</v>
      </c>
      <c r="S529" s="166" t="s">
        <v>1997</v>
      </c>
      <c r="T529" s="165" t="s">
        <v>678</v>
      </c>
    </row>
    <row r="530" spans="1:20" ht="51" customHeight="1">
      <c r="A530" s="169" t="s">
        <v>668</v>
      </c>
      <c r="B530" s="186" t="s">
        <v>669</v>
      </c>
      <c r="C530" s="156" t="s">
        <v>670</v>
      </c>
      <c r="D530" s="171" t="s">
        <v>2142</v>
      </c>
      <c r="E530" s="171" t="s">
        <v>2144</v>
      </c>
      <c r="F530" s="171" t="s">
        <v>706</v>
      </c>
      <c r="G530" s="171" t="s">
        <v>2121</v>
      </c>
      <c r="H530" s="171" t="s">
        <v>2122</v>
      </c>
      <c r="I530" s="170">
        <v>22.5</v>
      </c>
      <c r="J530" s="156" t="s">
        <v>574</v>
      </c>
      <c r="K530" s="187"/>
      <c r="L530" s="172" t="s">
        <v>748</v>
      </c>
      <c r="M530" s="173" t="s">
        <v>649</v>
      </c>
      <c r="N530" s="174" t="s">
        <v>2001</v>
      </c>
      <c r="O530" s="174" t="s">
        <v>2002</v>
      </c>
      <c r="P530" s="174" t="s">
        <v>2003</v>
      </c>
      <c r="Q530" s="183">
        <v>43615</v>
      </c>
      <c r="R530" s="174" t="s">
        <v>736</v>
      </c>
      <c r="S530" s="175" t="s">
        <v>1942</v>
      </c>
      <c r="T530" s="174" t="s">
        <v>678</v>
      </c>
    </row>
    <row r="531" spans="1:20" ht="38.25" customHeight="1">
      <c r="A531" s="159" t="s">
        <v>668</v>
      </c>
      <c r="B531" s="184" t="s">
        <v>669</v>
      </c>
      <c r="C531" s="154" t="s">
        <v>670</v>
      </c>
      <c r="D531" s="161" t="s">
        <v>2145</v>
      </c>
      <c r="E531" s="161" t="s">
        <v>2146</v>
      </c>
      <c r="F531" s="161" t="s">
        <v>1767</v>
      </c>
      <c r="G531" s="161" t="s">
        <v>2147</v>
      </c>
      <c r="H531" s="161" t="s">
        <v>311</v>
      </c>
      <c r="I531" s="160">
        <v>23.5</v>
      </c>
      <c r="J531" s="154" t="s">
        <v>574</v>
      </c>
      <c r="K531" s="185"/>
      <c r="L531" s="163" t="s">
        <v>748</v>
      </c>
      <c r="M531" s="164" t="s">
        <v>649</v>
      </c>
      <c r="N531" s="165" t="s">
        <v>2001</v>
      </c>
      <c r="O531" s="165" t="s">
        <v>2002</v>
      </c>
      <c r="P531" s="165" t="s">
        <v>2003</v>
      </c>
      <c r="Q531" s="188">
        <v>43615</v>
      </c>
      <c r="R531" s="165" t="s">
        <v>736</v>
      </c>
      <c r="S531" s="166" t="s">
        <v>1952</v>
      </c>
      <c r="T531" s="165" t="s">
        <v>678</v>
      </c>
    </row>
    <row r="532" spans="1:20" ht="51" customHeight="1">
      <c r="A532" s="169" t="s">
        <v>668</v>
      </c>
      <c r="B532" s="186" t="s">
        <v>669</v>
      </c>
      <c r="C532" s="156" t="s">
        <v>670</v>
      </c>
      <c r="D532" s="171" t="s">
        <v>2148</v>
      </c>
      <c r="E532" s="171" t="s">
        <v>2149</v>
      </c>
      <c r="F532" s="171" t="s">
        <v>1322</v>
      </c>
      <c r="G532" s="171" t="s">
        <v>810</v>
      </c>
      <c r="H532" s="171" t="s">
        <v>311</v>
      </c>
      <c r="I532" s="170">
        <v>18.3</v>
      </c>
      <c r="J532" s="156" t="s">
        <v>574</v>
      </c>
      <c r="K532" s="187"/>
      <c r="L532" s="172" t="s">
        <v>748</v>
      </c>
      <c r="M532" s="173" t="s">
        <v>649</v>
      </c>
      <c r="N532" s="174" t="s">
        <v>2001</v>
      </c>
      <c r="O532" s="174" t="s">
        <v>734</v>
      </c>
      <c r="P532" s="174" t="s">
        <v>735</v>
      </c>
      <c r="Q532" s="183">
        <v>43615</v>
      </c>
      <c r="R532" s="174" t="s">
        <v>2038</v>
      </c>
      <c r="S532" s="175" t="s">
        <v>2068</v>
      </c>
      <c r="T532" s="174" t="s">
        <v>678</v>
      </c>
    </row>
    <row r="533" spans="1:20" ht="38.25" customHeight="1">
      <c r="A533" s="159" t="s">
        <v>668</v>
      </c>
      <c r="B533" s="184" t="s">
        <v>669</v>
      </c>
      <c r="C533" s="154" t="s">
        <v>670</v>
      </c>
      <c r="D533" s="161" t="s">
        <v>2150</v>
      </c>
      <c r="E533" s="161" t="s">
        <v>2151</v>
      </c>
      <c r="F533" s="161" t="s">
        <v>706</v>
      </c>
      <c r="G533" s="161" t="s">
        <v>2152</v>
      </c>
      <c r="H533" s="161" t="s">
        <v>311</v>
      </c>
      <c r="I533" s="160">
        <v>22.3</v>
      </c>
      <c r="J533" s="154" t="s">
        <v>574</v>
      </c>
      <c r="K533" s="185"/>
      <c r="L533" s="163" t="s">
        <v>748</v>
      </c>
      <c r="M533" s="164" t="s">
        <v>649</v>
      </c>
      <c r="N533" s="165" t="s">
        <v>2001</v>
      </c>
      <c r="O533" s="165" t="s">
        <v>2002</v>
      </c>
      <c r="P533" s="165" t="s">
        <v>2003</v>
      </c>
      <c r="Q533" s="188">
        <v>43615</v>
      </c>
      <c r="R533" s="165" t="s">
        <v>736</v>
      </c>
      <c r="S533" s="166" t="s">
        <v>2153</v>
      </c>
      <c r="T533" s="165" t="s">
        <v>678</v>
      </c>
    </row>
    <row r="534" spans="1:20" ht="38.25" customHeight="1">
      <c r="A534" s="169" t="s">
        <v>668</v>
      </c>
      <c r="B534" s="186" t="s">
        <v>669</v>
      </c>
      <c r="C534" s="156" t="s">
        <v>670</v>
      </c>
      <c r="D534" s="171" t="s">
        <v>2154</v>
      </c>
      <c r="E534" s="171" t="s">
        <v>2155</v>
      </c>
      <c r="F534" s="171" t="s">
        <v>1343</v>
      </c>
      <c r="G534" s="171" t="s">
        <v>2156</v>
      </c>
      <c r="H534" s="171" t="s">
        <v>311</v>
      </c>
      <c r="I534" s="170">
        <v>23.4</v>
      </c>
      <c r="J534" s="156" t="s">
        <v>574</v>
      </c>
      <c r="K534" s="187"/>
      <c r="L534" s="172" t="s">
        <v>748</v>
      </c>
      <c r="M534" s="173" t="s">
        <v>649</v>
      </c>
      <c r="N534" s="174" t="s">
        <v>2001</v>
      </c>
      <c r="O534" s="174" t="s">
        <v>2002</v>
      </c>
      <c r="P534" s="174" t="s">
        <v>2003</v>
      </c>
      <c r="Q534" s="183">
        <v>43615</v>
      </c>
      <c r="R534" s="174" t="s">
        <v>736</v>
      </c>
      <c r="S534" s="175" t="s">
        <v>2130</v>
      </c>
      <c r="T534" s="174" t="s">
        <v>678</v>
      </c>
    </row>
    <row r="535" spans="1:20" ht="38.25" customHeight="1">
      <c r="A535" s="159" t="s">
        <v>668</v>
      </c>
      <c r="B535" s="184" t="s">
        <v>669</v>
      </c>
      <c r="C535" s="154" t="s">
        <v>670</v>
      </c>
      <c r="D535" s="161" t="s">
        <v>2150</v>
      </c>
      <c r="E535" s="161" t="s">
        <v>2157</v>
      </c>
      <c r="F535" s="161" t="s">
        <v>706</v>
      </c>
      <c r="G535" s="161" t="s">
        <v>2152</v>
      </c>
      <c r="H535" s="161" t="s">
        <v>311</v>
      </c>
      <c r="I535" s="160">
        <v>21.2</v>
      </c>
      <c r="J535" s="154" t="s">
        <v>574</v>
      </c>
      <c r="K535" s="185"/>
      <c r="L535" s="163" t="s">
        <v>748</v>
      </c>
      <c r="M535" s="164" t="s">
        <v>649</v>
      </c>
      <c r="N535" s="165" t="s">
        <v>2001</v>
      </c>
      <c r="O535" s="165" t="s">
        <v>2002</v>
      </c>
      <c r="P535" s="165" t="s">
        <v>2003</v>
      </c>
      <c r="Q535" s="188">
        <v>43615</v>
      </c>
      <c r="R535" s="165" t="s">
        <v>736</v>
      </c>
      <c r="S535" s="166" t="s">
        <v>2022</v>
      </c>
      <c r="T535" s="165" t="s">
        <v>678</v>
      </c>
    </row>
    <row r="536" spans="1:20" ht="51" customHeight="1">
      <c r="A536" s="169" t="s">
        <v>668</v>
      </c>
      <c r="B536" s="186" t="s">
        <v>669</v>
      </c>
      <c r="C536" s="156" t="s">
        <v>670</v>
      </c>
      <c r="D536" s="171" t="s">
        <v>2131</v>
      </c>
      <c r="E536" s="171" t="s">
        <v>2158</v>
      </c>
      <c r="F536" s="171" t="s">
        <v>706</v>
      </c>
      <c r="G536" s="171" t="s">
        <v>2133</v>
      </c>
      <c r="H536" s="171" t="s">
        <v>311</v>
      </c>
      <c r="I536" s="170">
        <v>24.8</v>
      </c>
      <c r="J536" s="156" t="s">
        <v>574</v>
      </c>
      <c r="K536" s="187"/>
      <c r="L536" s="172" t="s">
        <v>748</v>
      </c>
      <c r="M536" s="173" t="s">
        <v>649</v>
      </c>
      <c r="N536" s="174" t="s">
        <v>2001</v>
      </c>
      <c r="O536" s="174" t="s">
        <v>2002</v>
      </c>
      <c r="P536" s="174" t="s">
        <v>2003</v>
      </c>
      <c r="Q536" s="183">
        <v>43615</v>
      </c>
      <c r="R536" s="174" t="s">
        <v>736</v>
      </c>
      <c r="S536" s="175" t="s">
        <v>1997</v>
      </c>
      <c r="T536" s="174" t="s">
        <v>678</v>
      </c>
    </row>
    <row r="537" spans="1:20" ht="38.25" customHeight="1">
      <c r="A537" s="159" t="s">
        <v>668</v>
      </c>
      <c r="B537" s="184" t="s">
        <v>669</v>
      </c>
      <c r="C537" s="154" t="s">
        <v>670</v>
      </c>
      <c r="D537" s="161" t="s">
        <v>2159</v>
      </c>
      <c r="E537" s="161" t="s">
        <v>2160</v>
      </c>
      <c r="F537" s="161" t="s">
        <v>706</v>
      </c>
      <c r="G537" s="161" t="s">
        <v>2161</v>
      </c>
      <c r="H537" s="161" t="s">
        <v>311</v>
      </c>
      <c r="I537" s="160">
        <v>24</v>
      </c>
      <c r="J537" s="154" t="s">
        <v>574</v>
      </c>
      <c r="K537" s="185"/>
      <c r="L537" s="163" t="s">
        <v>748</v>
      </c>
      <c r="M537" s="164" t="s">
        <v>649</v>
      </c>
      <c r="N537" s="165" t="s">
        <v>2001</v>
      </c>
      <c r="O537" s="165" t="s">
        <v>2002</v>
      </c>
      <c r="P537" s="165" t="s">
        <v>2003</v>
      </c>
      <c r="Q537" s="188">
        <v>43615</v>
      </c>
      <c r="R537" s="165" t="s">
        <v>736</v>
      </c>
      <c r="S537" s="166" t="s">
        <v>1334</v>
      </c>
      <c r="T537" s="165" t="s">
        <v>678</v>
      </c>
    </row>
    <row r="538" spans="1:20" ht="51" customHeight="1">
      <c r="A538" s="169" t="s">
        <v>668</v>
      </c>
      <c r="B538" s="186" t="s">
        <v>669</v>
      </c>
      <c r="C538" s="156" t="s">
        <v>670</v>
      </c>
      <c r="D538" s="171" t="s">
        <v>2162</v>
      </c>
      <c r="E538" s="171" t="s">
        <v>2163</v>
      </c>
      <c r="F538" s="171" t="s">
        <v>706</v>
      </c>
      <c r="G538" s="171" t="s">
        <v>2161</v>
      </c>
      <c r="H538" s="171" t="s">
        <v>311</v>
      </c>
      <c r="I538" s="170">
        <v>21.7</v>
      </c>
      <c r="J538" s="156" t="s">
        <v>574</v>
      </c>
      <c r="K538" s="187"/>
      <c r="L538" s="172" t="s">
        <v>748</v>
      </c>
      <c r="M538" s="173" t="s">
        <v>649</v>
      </c>
      <c r="N538" s="174" t="s">
        <v>2001</v>
      </c>
      <c r="O538" s="174" t="s">
        <v>2002</v>
      </c>
      <c r="P538" s="174" t="s">
        <v>2003</v>
      </c>
      <c r="Q538" s="183">
        <v>43615</v>
      </c>
      <c r="R538" s="174" t="s">
        <v>736</v>
      </c>
      <c r="S538" s="175" t="s">
        <v>1963</v>
      </c>
      <c r="T538" s="174" t="s">
        <v>678</v>
      </c>
    </row>
    <row r="539" spans="1:20" ht="51" customHeight="1">
      <c r="A539" s="159" t="s">
        <v>668</v>
      </c>
      <c r="B539" s="184" t="s">
        <v>669</v>
      </c>
      <c r="C539" s="154" t="s">
        <v>670</v>
      </c>
      <c r="D539" s="161" t="s">
        <v>2164</v>
      </c>
      <c r="E539" s="161" t="s">
        <v>2165</v>
      </c>
      <c r="F539" s="161" t="s">
        <v>706</v>
      </c>
      <c r="G539" s="161" t="s">
        <v>2116</v>
      </c>
      <c r="H539" s="161" t="s">
        <v>2117</v>
      </c>
      <c r="I539" s="160">
        <v>23.8</v>
      </c>
      <c r="J539" s="154" t="s">
        <v>574</v>
      </c>
      <c r="K539" s="185"/>
      <c r="L539" s="163" t="s">
        <v>748</v>
      </c>
      <c r="M539" s="164" t="s">
        <v>649</v>
      </c>
      <c r="N539" s="165" t="s">
        <v>2001</v>
      </c>
      <c r="O539" s="165" t="s">
        <v>2002</v>
      </c>
      <c r="P539" s="165" t="s">
        <v>2003</v>
      </c>
      <c r="Q539" s="188">
        <v>43615</v>
      </c>
      <c r="R539" s="165" t="s">
        <v>736</v>
      </c>
      <c r="S539" s="166" t="s">
        <v>2057</v>
      </c>
      <c r="T539" s="165" t="s">
        <v>678</v>
      </c>
    </row>
    <row r="540" spans="1:20" ht="38.25" customHeight="1">
      <c r="A540" s="169" t="s">
        <v>668</v>
      </c>
      <c r="B540" s="186" t="s">
        <v>669</v>
      </c>
      <c r="C540" s="156" t="s">
        <v>670</v>
      </c>
      <c r="D540" s="171" t="s">
        <v>2166</v>
      </c>
      <c r="E540" s="171" t="s">
        <v>2167</v>
      </c>
      <c r="F540" s="171" t="s">
        <v>706</v>
      </c>
      <c r="G540" s="171" t="s">
        <v>2161</v>
      </c>
      <c r="H540" s="171" t="s">
        <v>311</v>
      </c>
      <c r="I540" s="170">
        <v>20.8</v>
      </c>
      <c r="J540" s="156" t="s">
        <v>574</v>
      </c>
      <c r="K540" s="187"/>
      <c r="L540" s="172" t="s">
        <v>748</v>
      </c>
      <c r="M540" s="173" t="s">
        <v>649</v>
      </c>
      <c r="N540" s="174" t="s">
        <v>2001</v>
      </c>
      <c r="O540" s="174" t="s">
        <v>2002</v>
      </c>
      <c r="P540" s="174" t="s">
        <v>2003</v>
      </c>
      <c r="Q540" s="183">
        <v>43615</v>
      </c>
      <c r="R540" s="174" t="s">
        <v>736</v>
      </c>
      <c r="S540" s="175" t="s">
        <v>2168</v>
      </c>
      <c r="T540" s="174" t="s">
        <v>678</v>
      </c>
    </row>
    <row r="541" spans="1:20" ht="38.25" customHeight="1">
      <c r="A541" s="159" t="s">
        <v>668</v>
      </c>
      <c r="B541" s="184" t="s">
        <v>669</v>
      </c>
      <c r="C541" s="154" t="s">
        <v>670</v>
      </c>
      <c r="D541" s="161" t="s">
        <v>2099</v>
      </c>
      <c r="E541" s="161" t="s">
        <v>2169</v>
      </c>
      <c r="F541" s="161" t="s">
        <v>706</v>
      </c>
      <c r="G541" s="161" t="s">
        <v>2101</v>
      </c>
      <c r="H541" s="161" t="s">
        <v>747</v>
      </c>
      <c r="I541" s="160">
        <v>24.6</v>
      </c>
      <c r="J541" s="154" t="s">
        <v>574</v>
      </c>
      <c r="K541" s="185"/>
      <c r="L541" s="163" t="s">
        <v>748</v>
      </c>
      <c r="M541" s="164" t="s">
        <v>649</v>
      </c>
      <c r="N541" s="165" t="s">
        <v>2001</v>
      </c>
      <c r="O541" s="165" t="s">
        <v>2002</v>
      </c>
      <c r="P541" s="165" t="s">
        <v>2003</v>
      </c>
      <c r="Q541" s="188">
        <v>43615</v>
      </c>
      <c r="R541" s="165" t="s">
        <v>736</v>
      </c>
      <c r="S541" s="166" t="s">
        <v>1918</v>
      </c>
      <c r="T541" s="165" t="s">
        <v>678</v>
      </c>
    </row>
    <row r="542" spans="1:20" ht="38.25" customHeight="1">
      <c r="A542" s="169" t="s">
        <v>668</v>
      </c>
      <c r="B542" s="186" t="s">
        <v>669</v>
      </c>
      <c r="C542" s="156" t="s">
        <v>670</v>
      </c>
      <c r="D542" s="171" t="s">
        <v>2166</v>
      </c>
      <c r="E542" s="171" t="s">
        <v>2170</v>
      </c>
      <c r="F542" s="171" t="s">
        <v>706</v>
      </c>
      <c r="G542" s="171" t="s">
        <v>2161</v>
      </c>
      <c r="H542" s="171" t="s">
        <v>311</v>
      </c>
      <c r="I542" s="170">
        <v>22.3</v>
      </c>
      <c r="J542" s="156" t="s">
        <v>574</v>
      </c>
      <c r="K542" s="187"/>
      <c r="L542" s="172" t="s">
        <v>748</v>
      </c>
      <c r="M542" s="173" t="s">
        <v>649</v>
      </c>
      <c r="N542" s="174" t="s">
        <v>2001</v>
      </c>
      <c r="O542" s="174" t="s">
        <v>2002</v>
      </c>
      <c r="P542" s="174" t="s">
        <v>2003</v>
      </c>
      <c r="Q542" s="183">
        <v>43615</v>
      </c>
      <c r="R542" s="174" t="s">
        <v>736</v>
      </c>
      <c r="S542" s="175" t="s">
        <v>2153</v>
      </c>
      <c r="T542" s="174" t="s">
        <v>678</v>
      </c>
    </row>
    <row r="543" spans="1:20" ht="51" customHeight="1">
      <c r="A543" s="159" t="s">
        <v>668</v>
      </c>
      <c r="B543" s="184" t="s">
        <v>669</v>
      </c>
      <c r="C543" s="154" t="s">
        <v>670</v>
      </c>
      <c r="D543" s="161" t="s">
        <v>2171</v>
      </c>
      <c r="E543" s="161" t="s">
        <v>2172</v>
      </c>
      <c r="F543" s="161" t="s">
        <v>1322</v>
      </c>
      <c r="G543" s="161" t="s">
        <v>2173</v>
      </c>
      <c r="H543" s="161" t="s">
        <v>732</v>
      </c>
      <c r="I543" s="160">
        <v>24.6</v>
      </c>
      <c r="J543" s="154" t="s">
        <v>574</v>
      </c>
      <c r="K543" s="185"/>
      <c r="L543" s="163" t="s">
        <v>748</v>
      </c>
      <c r="M543" s="164" t="s">
        <v>649</v>
      </c>
      <c r="N543" s="165" t="s">
        <v>2001</v>
      </c>
      <c r="O543" s="165" t="s">
        <v>734</v>
      </c>
      <c r="P543" s="165" t="s">
        <v>735</v>
      </c>
      <c r="Q543" s="188">
        <v>44925</v>
      </c>
      <c r="R543" s="165" t="s">
        <v>2038</v>
      </c>
      <c r="S543" s="166" t="s">
        <v>1918</v>
      </c>
      <c r="T543" s="165" t="s">
        <v>678</v>
      </c>
    </row>
    <row r="544" spans="1:20" ht="51" customHeight="1">
      <c r="A544" s="169" t="s">
        <v>668</v>
      </c>
      <c r="B544" s="186" t="s">
        <v>669</v>
      </c>
      <c r="C544" s="156" t="s">
        <v>670</v>
      </c>
      <c r="D544" s="171" t="s">
        <v>2174</v>
      </c>
      <c r="E544" s="171" t="s">
        <v>2175</v>
      </c>
      <c r="F544" s="171" t="s">
        <v>1322</v>
      </c>
      <c r="G544" s="171" t="s">
        <v>2176</v>
      </c>
      <c r="H544" s="171" t="s">
        <v>732</v>
      </c>
      <c r="I544" s="170">
        <v>20.7</v>
      </c>
      <c r="J544" s="156" t="s">
        <v>574</v>
      </c>
      <c r="K544" s="187"/>
      <c r="L544" s="172" t="s">
        <v>748</v>
      </c>
      <c r="M544" s="173" t="s">
        <v>649</v>
      </c>
      <c r="N544" s="174" t="s">
        <v>2001</v>
      </c>
      <c r="O544" s="174" t="s">
        <v>734</v>
      </c>
      <c r="P544" s="174" t="s">
        <v>735</v>
      </c>
      <c r="Q544" s="183">
        <v>44925</v>
      </c>
      <c r="R544" s="174" t="s">
        <v>2038</v>
      </c>
      <c r="S544" s="175" t="s">
        <v>2043</v>
      </c>
      <c r="T544" s="174" t="s">
        <v>678</v>
      </c>
    </row>
    <row r="545" spans="1:20" ht="51" customHeight="1">
      <c r="A545" s="159" t="s">
        <v>668</v>
      </c>
      <c r="B545" s="184" t="s">
        <v>669</v>
      </c>
      <c r="C545" s="154" t="s">
        <v>670</v>
      </c>
      <c r="D545" s="161" t="s">
        <v>2177</v>
      </c>
      <c r="E545" s="161" t="s">
        <v>2178</v>
      </c>
      <c r="F545" s="161" t="s">
        <v>1322</v>
      </c>
      <c r="G545" s="161" t="s">
        <v>2179</v>
      </c>
      <c r="H545" s="161" t="s">
        <v>732</v>
      </c>
      <c r="I545" s="160">
        <v>21.2</v>
      </c>
      <c r="J545" s="154" t="s">
        <v>574</v>
      </c>
      <c r="K545" s="185"/>
      <c r="L545" s="163" t="s">
        <v>748</v>
      </c>
      <c r="M545" s="164" t="s">
        <v>649</v>
      </c>
      <c r="N545" s="165" t="s">
        <v>2001</v>
      </c>
      <c r="O545" s="165" t="s">
        <v>734</v>
      </c>
      <c r="P545" s="165" t="s">
        <v>735</v>
      </c>
      <c r="Q545" s="188">
        <v>44925</v>
      </c>
      <c r="R545" s="165" t="s">
        <v>2038</v>
      </c>
      <c r="S545" s="166" t="s">
        <v>2022</v>
      </c>
      <c r="T545" s="165" t="s">
        <v>678</v>
      </c>
    </row>
    <row r="546" spans="1:20" ht="51" customHeight="1">
      <c r="A546" s="169" t="s">
        <v>668</v>
      </c>
      <c r="B546" s="186" t="s">
        <v>669</v>
      </c>
      <c r="C546" s="156" t="s">
        <v>670</v>
      </c>
      <c r="D546" s="171" t="s">
        <v>2180</v>
      </c>
      <c r="E546" s="171" t="s">
        <v>2181</v>
      </c>
      <c r="F546" s="171" t="s">
        <v>1322</v>
      </c>
      <c r="G546" s="171" t="s">
        <v>2182</v>
      </c>
      <c r="H546" s="171" t="s">
        <v>732</v>
      </c>
      <c r="I546" s="170">
        <v>22.9</v>
      </c>
      <c r="J546" s="156" t="s">
        <v>574</v>
      </c>
      <c r="K546" s="187"/>
      <c r="L546" s="172" t="s">
        <v>748</v>
      </c>
      <c r="M546" s="173" t="s">
        <v>649</v>
      </c>
      <c r="N546" s="174" t="s">
        <v>2001</v>
      </c>
      <c r="O546" s="174" t="s">
        <v>734</v>
      </c>
      <c r="P546" s="174" t="s">
        <v>735</v>
      </c>
      <c r="Q546" s="183">
        <v>44925</v>
      </c>
      <c r="R546" s="174" t="s">
        <v>2038</v>
      </c>
      <c r="S546" s="175" t="s">
        <v>2053</v>
      </c>
      <c r="T546" s="174" t="s">
        <v>678</v>
      </c>
    </row>
    <row r="547" spans="1:20" ht="51" customHeight="1">
      <c r="A547" s="159" t="s">
        <v>668</v>
      </c>
      <c r="B547" s="184" t="s">
        <v>669</v>
      </c>
      <c r="C547" s="154" t="s">
        <v>670</v>
      </c>
      <c r="D547" s="161" t="s">
        <v>2183</v>
      </c>
      <c r="E547" s="161" t="s">
        <v>2184</v>
      </c>
      <c r="F547" s="161" t="s">
        <v>1322</v>
      </c>
      <c r="G547" s="161" t="s">
        <v>2185</v>
      </c>
      <c r="H547" s="161" t="s">
        <v>732</v>
      </c>
      <c r="I547" s="160">
        <v>18.8</v>
      </c>
      <c r="J547" s="154" t="s">
        <v>574</v>
      </c>
      <c r="K547" s="185"/>
      <c r="L547" s="163" t="s">
        <v>748</v>
      </c>
      <c r="M547" s="164" t="s">
        <v>649</v>
      </c>
      <c r="N547" s="165" t="s">
        <v>2001</v>
      </c>
      <c r="O547" s="165" t="s">
        <v>734</v>
      </c>
      <c r="P547" s="165" t="s">
        <v>735</v>
      </c>
      <c r="Q547" s="188">
        <v>44925</v>
      </c>
      <c r="R547" s="165" t="s">
        <v>2038</v>
      </c>
      <c r="S547" s="166" t="s">
        <v>2186</v>
      </c>
      <c r="T547" s="165" t="s">
        <v>678</v>
      </c>
    </row>
    <row r="548" spans="1:20" ht="51" customHeight="1">
      <c r="A548" s="169" t="s">
        <v>668</v>
      </c>
      <c r="B548" s="186" t="s">
        <v>669</v>
      </c>
      <c r="C548" s="156" t="s">
        <v>670</v>
      </c>
      <c r="D548" s="171" t="s">
        <v>2187</v>
      </c>
      <c r="E548" s="171" t="s">
        <v>2188</v>
      </c>
      <c r="F548" s="171" t="s">
        <v>1322</v>
      </c>
      <c r="G548" s="171" t="s">
        <v>2189</v>
      </c>
      <c r="H548" s="171" t="s">
        <v>732</v>
      </c>
      <c r="I548" s="170">
        <v>22</v>
      </c>
      <c r="J548" s="156" t="s">
        <v>574</v>
      </c>
      <c r="K548" s="187"/>
      <c r="L548" s="172" t="s">
        <v>748</v>
      </c>
      <c r="M548" s="173" t="s">
        <v>649</v>
      </c>
      <c r="N548" s="174" t="s">
        <v>2001</v>
      </c>
      <c r="O548" s="174" t="s">
        <v>734</v>
      </c>
      <c r="P548" s="174" t="s">
        <v>735</v>
      </c>
      <c r="Q548" s="183">
        <v>44925</v>
      </c>
      <c r="R548" s="174" t="s">
        <v>2038</v>
      </c>
      <c r="S548" s="175" t="s">
        <v>1377</v>
      </c>
      <c r="T548" s="174" t="s">
        <v>678</v>
      </c>
    </row>
    <row r="549" spans="1:20" ht="51" customHeight="1">
      <c r="A549" s="159" t="s">
        <v>668</v>
      </c>
      <c r="B549" s="184" t="s">
        <v>669</v>
      </c>
      <c r="C549" s="154" t="s">
        <v>670</v>
      </c>
      <c r="D549" s="161" t="s">
        <v>2190</v>
      </c>
      <c r="E549" s="161" t="s">
        <v>2191</v>
      </c>
      <c r="F549" s="161" t="s">
        <v>1322</v>
      </c>
      <c r="G549" s="161" t="s">
        <v>2182</v>
      </c>
      <c r="H549" s="161" t="s">
        <v>732</v>
      </c>
      <c r="I549" s="160">
        <v>23.3</v>
      </c>
      <c r="J549" s="154" t="s">
        <v>574</v>
      </c>
      <c r="K549" s="185"/>
      <c r="L549" s="163" t="s">
        <v>748</v>
      </c>
      <c r="M549" s="164" t="s">
        <v>649</v>
      </c>
      <c r="N549" s="165" t="s">
        <v>2001</v>
      </c>
      <c r="O549" s="165" t="s">
        <v>734</v>
      </c>
      <c r="P549" s="165" t="s">
        <v>735</v>
      </c>
      <c r="Q549" s="188">
        <v>44925</v>
      </c>
      <c r="R549" s="165" t="s">
        <v>2038</v>
      </c>
      <c r="S549" s="166" t="s">
        <v>1987</v>
      </c>
      <c r="T549" s="165" t="s">
        <v>678</v>
      </c>
    </row>
    <row r="550" spans="1:20" ht="51" customHeight="1">
      <c r="A550" s="169" t="s">
        <v>668</v>
      </c>
      <c r="B550" s="186" t="s">
        <v>669</v>
      </c>
      <c r="C550" s="156" t="s">
        <v>670</v>
      </c>
      <c r="D550" s="171" t="s">
        <v>2192</v>
      </c>
      <c r="E550" s="171" t="s">
        <v>2193</v>
      </c>
      <c r="F550" s="171" t="s">
        <v>1322</v>
      </c>
      <c r="G550" s="171" t="s">
        <v>2194</v>
      </c>
      <c r="H550" s="171" t="s">
        <v>727</v>
      </c>
      <c r="I550" s="170">
        <v>16.3</v>
      </c>
      <c r="J550" s="156" t="s">
        <v>574</v>
      </c>
      <c r="K550" s="187"/>
      <c r="L550" s="172" t="s">
        <v>748</v>
      </c>
      <c r="M550" s="173" t="s">
        <v>649</v>
      </c>
      <c r="N550" s="174" t="s">
        <v>2001</v>
      </c>
      <c r="O550" s="174" t="s">
        <v>734</v>
      </c>
      <c r="P550" s="174" t="s">
        <v>735</v>
      </c>
      <c r="Q550" s="183">
        <v>44925</v>
      </c>
      <c r="R550" s="174" t="s">
        <v>2038</v>
      </c>
      <c r="S550" s="175" t="s">
        <v>2195</v>
      </c>
      <c r="T550" s="174" t="s">
        <v>678</v>
      </c>
    </row>
    <row r="551" spans="1:20" ht="51" customHeight="1">
      <c r="A551" s="159" t="s">
        <v>668</v>
      </c>
      <c r="B551" s="184" t="s">
        <v>669</v>
      </c>
      <c r="C551" s="154" t="s">
        <v>670</v>
      </c>
      <c r="D551" s="161" t="s">
        <v>2196</v>
      </c>
      <c r="E551" s="161" t="s">
        <v>2197</v>
      </c>
      <c r="F551" s="161" t="s">
        <v>1322</v>
      </c>
      <c r="G551" s="161" t="s">
        <v>2182</v>
      </c>
      <c r="H551" s="161" t="s">
        <v>727</v>
      </c>
      <c r="I551" s="160">
        <v>21.6</v>
      </c>
      <c r="J551" s="154" t="s">
        <v>574</v>
      </c>
      <c r="K551" s="185"/>
      <c r="L551" s="163" t="s">
        <v>748</v>
      </c>
      <c r="M551" s="164" t="s">
        <v>649</v>
      </c>
      <c r="N551" s="165" t="s">
        <v>2001</v>
      </c>
      <c r="O551" s="165" t="s">
        <v>734</v>
      </c>
      <c r="P551" s="165" t="s">
        <v>735</v>
      </c>
      <c r="Q551" s="188">
        <v>44925</v>
      </c>
      <c r="R551" s="165" t="s">
        <v>2038</v>
      </c>
      <c r="S551" s="166" t="s">
        <v>2039</v>
      </c>
      <c r="T551" s="165" t="s">
        <v>678</v>
      </c>
    </row>
    <row r="552" spans="1:20" ht="51" customHeight="1">
      <c r="A552" s="169" t="s">
        <v>668</v>
      </c>
      <c r="B552" s="186" t="s">
        <v>669</v>
      </c>
      <c r="C552" s="156" t="s">
        <v>670</v>
      </c>
      <c r="D552" s="171" t="s">
        <v>2198</v>
      </c>
      <c r="E552" s="171" t="s">
        <v>2199</v>
      </c>
      <c r="F552" s="171" t="s">
        <v>1322</v>
      </c>
      <c r="G552" s="171" t="s">
        <v>2200</v>
      </c>
      <c r="H552" s="171" t="s">
        <v>727</v>
      </c>
      <c r="I552" s="170">
        <v>21.1</v>
      </c>
      <c r="J552" s="156" t="s">
        <v>574</v>
      </c>
      <c r="K552" s="187"/>
      <c r="L552" s="172" t="s">
        <v>748</v>
      </c>
      <c r="M552" s="173" t="s">
        <v>649</v>
      </c>
      <c r="N552" s="174" t="s">
        <v>2001</v>
      </c>
      <c r="O552" s="174" t="s">
        <v>734</v>
      </c>
      <c r="P552" s="174" t="s">
        <v>735</v>
      </c>
      <c r="Q552" s="183">
        <v>44925</v>
      </c>
      <c r="R552" s="174" t="s">
        <v>2038</v>
      </c>
      <c r="S552" s="175" t="s">
        <v>2201</v>
      </c>
      <c r="T552" s="174" t="s">
        <v>678</v>
      </c>
    </row>
    <row r="553" spans="1:20" ht="51" customHeight="1">
      <c r="A553" s="159" t="s">
        <v>668</v>
      </c>
      <c r="B553" s="184" t="s">
        <v>669</v>
      </c>
      <c r="C553" s="154" t="s">
        <v>670</v>
      </c>
      <c r="D553" s="161" t="s">
        <v>2202</v>
      </c>
      <c r="E553" s="161" t="s">
        <v>2203</v>
      </c>
      <c r="F553" s="161" t="s">
        <v>1322</v>
      </c>
      <c r="G553" s="161" t="s">
        <v>2204</v>
      </c>
      <c r="H553" s="161" t="s">
        <v>727</v>
      </c>
      <c r="I553" s="160">
        <v>23.9</v>
      </c>
      <c r="J553" s="154" t="s">
        <v>574</v>
      </c>
      <c r="K553" s="185"/>
      <c r="L553" s="163" t="s">
        <v>748</v>
      </c>
      <c r="M553" s="164" t="s">
        <v>649</v>
      </c>
      <c r="N553" s="165" t="s">
        <v>2001</v>
      </c>
      <c r="O553" s="165" t="s">
        <v>734</v>
      </c>
      <c r="P553" s="165" t="s">
        <v>735</v>
      </c>
      <c r="Q553" s="188">
        <v>44925</v>
      </c>
      <c r="R553" s="165" t="s">
        <v>2038</v>
      </c>
      <c r="S553" s="166" t="s">
        <v>1983</v>
      </c>
      <c r="T553" s="165" t="s">
        <v>678</v>
      </c>
    </row>
    <row r="554" spans="1:20" ht="51" customHeight="1">
      <c r="A554" s="169" t="s">
        <v>668</v>
      </c>
      <c r="B554" s="186" t="s">
        <v>669</v>
      </c>
      <c r="C554" s="156" t="s">
        <v>670</v>
      </c>
      <c r="D554" s="171" t="s">
        <v>2205</v>
      </c>
      <c r="E554" s="171" t="s">
        <v>2206</v>
      </c>
      <c r="F554" s="171" t="s">
        <v>1322</v>
      </c>
      <c r="G554" s="171" t="s">
        <v>2207</v>
      </c>
      <c r="H554" s="171" t="s">
        <v>675</v>
      </c>
      <c r="I554" s="170">
        <v>23.8</v>
      </c>
      <c r="J554" s="156" t="s">
        <v>574</v>
      </c>
      <c r="K554" s="187"/>
      <c r="L554" s="172" t="s">
        <v>748</v>
      </c>
      <c r="M554" s="173" t="s">
        <v>649</v>
      </c>
      <c r="N554" s="174" t="s">
        <v>2001</v>
      </c>
      <c r="O554" s="174" t="s">
        <v>734</v>
      </c>
      <c r="P554" s="174" t="s">
        <v>735</v>
      </c>
      <c r="Q554" s="183">
        <v>44925</v>
      </c>
      <c r="R554" s="174" t="s">
        <v>2038</v>
      </c>
      <c r="S554" s="175" t="s">
        <v>2057</v>
      </c>
      <c r="T554" s="174" t="s">
        <v>678</v>
      </c>
    </row>
    <row r="555" spans="1:20" ht="51" customHeight="1">
      <c r="A555" s="159" t="s">
        <v>668</v>
      </c>
      <c r="B555" s="184" t="s">
        <v>669</v>
      </c>
      <c r="C555" s="154" t="s">
        <v>670</v>
      </c>
      <c r="D555" s="161" t="s">
        <v>2208</v>
      </c>
      <c r="E555" s="161" t="s">
        <v>2209</v>
      </c>
      <c r="F555" s="161" t="s">
        <v>1322</v>
      </c>
      <c r="G555" s="161" t="s">
        <v>2210</v>
      </c>
      <c r="H555" s="161" t="s">
        <v>675</v>
      </c>
      <c r="I555" s="160">
        <v>24.5</v>
      </c>
      <c r="J555" s="154" t="s">
        <v>574</v>
      </c>
      <c r="K555" s="185"/>
      <c r="L555" s="163" t="s">
        <v>748</v>
      </c>
      <c r="M555" s="164" t="s">
        <v>649</v>
      </c>
      <c r="N555" s="165" t="s">
        <v>2001</v>
      </c>
      <c r="O555" s="165" t="s">
        <v>734</v>
      </c>
      <c r="P555" s="165" t="s">
        <v>735</v>
      </c>
      <c r="Q555" s="188">
        <v>44925</v>
      </c>
      <c r="R555" s="165" t="s">
        <v>2038</v>
      </c>
      <c r="S555" s="166" t="s">
        <v>1946</v>
      </c>
      <c r="T555" s="165" t="s">
        <v>678</v>
      </c>
    </row>
    <row r="556" spans="1:20" ht="51" customHeight="1">
      <c r="A556" s="169" t="s">
        <v>668</v>
      </c>
      <c r="B556" s="186" t="s">
        <v>669</v>
      </c>
      <c r="C556" s="156" t="s">
        <v>670</v>
      </c>
      <c r="D556" s="171" t="s">
        <v>2171</v>
      </c>
      <c r="E556" s="171" t="s">
        <v>2172</v>
      </c>
      <c r="F556" s="171" t="s">
        <v>1322</v>
      </c>
      <c r="G556" s="171" t="s">
        <v>2211</v>
      </c>
      <c r="H556" s="171" t="s">
        <v>675</v>
      </c>
      <c r="I556" s="170">
        <v>20.7</v>
      </c>
      <c r="J556" s="156" t="s">
        <v>574</v>
      </c>
      <c r="K556" s="187"/>
      <c r="L556" s="172" t="s">
        <v>748</v>
      </c>
      <c r="M556" s="173" t="s">
        <v>649</v>
      </c>
      <c r="N556" s="174" t="s">
        <v>2001</v>
      </c>
      <c r="O556" s="174" t="s">
        <v>734</v>
      </c>
      <c r="P556" s="174" t="s">
        <v>735</v>
      </c>
      <c r="Q556" s="183">
        <v>44925</v>
      </c>
      <c r="R556" s="174" t="s">
        <v>2038</v>
      </c>
      <c r="S556" s="175" t="s">
        <v>2043</v>
      </c>
      <c r="T556" s="174" t="s">
        <v>678</v>
      </c>
    </row>
    <row r="557" spans="1:20" ht="51" customHeight="1">
      <c r="A557" s="159" t="s">
        <v>668</v>
      </c>
      <c r="B557" s="184" t="s">
        <v>669</v>
      </c>
      <c r="C557" s="154" t="s">
        <v>670</v>
      </c>
      <c r="D557" s="161" t="s">
        <v>2212</v>
      </c>
      <c r="E557" s="161" t="s">
        <v>2213</v>
      </c>
      <c r="F557" s="161" t="s">
        <v>1322</v>
      </c>
      <c r="G557" s="161" t="s">
        <v>2214</v>
      </c>
      <c r="H557" s="161" t="s">
        <v>675</v>
      </c>
      <c r="I557" s="160">
        <v>19</v>
      </c>
      <c r="J557" s="154" t="s">
        <v>574</v>
      </c>
      <c r="K557" s="185"/>
      <c r="L557" s="163" t="s">
        <v>748</v>
      </c>
      <c r="M557" s="164" t="s">
        <v>649</v>
      </c>
      <c r="N557" s="165" t="s">
        <v>2001</v>
      </c>
      <c r="O557" s="165" t="s">
        <v>734</v>
      </c>
      <c r="P557" s="165" t="s">
        <v>735</v>
      </c>
      <c r="Q557" s="188">
        <v>44925</v>
      </c>
      <c r="R557" s="165" t="s">
        <v>2038</v>
      </c>
      <c r="S557" s="166" t="s">
        <v>2215</v>
      </c>
      <c r="T557" s="165" t="s">
        <v>678</v>
      </c>
    </row>
    <row r="558" spans="1:20" ht="51" customHeight="1">
      <c r="A558" s="169" t="s">
        <v>668</v>
      </c>
      <c r="B558" s="186" t="s">
        <v>669</v>
      </c>
      <c r="C558" s="156" t="s">
        <v>670</v>
      </c>
      <c r="D558" s="171" t="s">
        <v>2216</v>
      </c>
      <c r="E558" s="171" t="s">
        <v>2217</v>
      </c>
      <c r="F558" s="171" t="s">
        <v>1322</v>
      </c>
      <c r="G558" s="171" t="s">
        <v>2218</v>
      </c>
      <c r="H558" s="171" t="s">
        <v>675</v>
      </c>
      <c r="I558" s="170">
        <v>18.2</v>
      </c>
      <c r="J558" s="156" t="s">
        <v>574</v>
      </c>
      <c r="K558" s="187"/>
      <c r="L558" s="172" t="s">
        <v>748</v>
      </c>
      <c r="M558" s="173" t="s">
        <v>649</v>
      </c>
      <c r="N558" s="174" t="s">
        <v>2001</v>
      </c>
      <c r="O558" s="174" t="s">
        <v>734</v>
      </c>
      <c r="P558" s="174" t="s">
        <v>735</v>
      </c>
      <c r="Q558" s="183">
        <v>44925</v>
      </c>
      <c r="R558" s="174" t="s">
        <v>2038</v>
      </c>
      <c r="S558" s="175" t="s">
        <v>2219</v>
      </c>
      <c r="T558" s="174" t="s">
        <v>678</v>
      </c>
    </row>
    <row r="559" spans="1:20" ht="51" customHeight="1">
      <c r="A559" s="159" t="s">
        <v>668</v>
      </c>
      <c r="B559" s="184" t="s">
        <v>669</v>
      </c>
      <c r="C559" s="154" t="s">
        <v>670</v>
      </c>
      <c r="D559" s="161" t="s">
        <v>2220</v>
      </c>
      <c r="E559" s="161" t="s">
        <v>2221</v>
      </c>
      <c r="F559" s="161" t="s">
        <v>1322</v>
      </c>
      <c r="G559" s="161" t="s">
        <v>2222</v>
      </c>
      <c r="H559" s="161" t="s">
        <v>675</v>
      </c>
      <c r="I559" s="160">
        <v>21.6</v>
      </c>
      <c r="J559" s="154" t="s">
        <v>574</v>
      </c>
      <c r="K559" s="185"/>
      <c r="L559" s="163" t="s">
        <v>748</v>
      </c>
      <c r="M559" s="164" t="s">
        <v>649</v>
      </c>
      <c r="N559" s="165" t="s">
        <v>2001</v>
      </c>
      <c r="O559" s="165" t="s">
        <v>734</v>
      </c>
      <c r="P559" s="165" t="s">
        <v>735</v>
      </c>
      <c r="Q559" s="188">
        <v>44925</v>
      </c>
      <c r="R559" s="165" t="s">
        <v>2038</v>
      </c>
      <c r="S559" s="166" t="s">
        <v>2039</v>
      </c>
      <c r="T559" s="165" t="s">
        <v>678</v>
      </c>
    </row>
    <row r="560" spans="1:20" ht="51" customHeight="1">
      <c r="A560" s="169" t="s">
        <v>668</v>
      </c>
      <c r="B560" s="186" t="s">
        <v>669</v>
      </c>
      <c r="C560" s="156" t="s">
        <v>670</v>
      </c>
      <c r="D560" s="171" t="s">
        <v>2223</v>
      </c>
      <c r="E560" s="171" t="s">
        <v>2224</v>
      </c>
      <c r="F560" s="171" t="s">
        <v>1322</v>
      </c>
      <c r="G560" s="171" t="s">
        <v>1757</v>
      </c>
      <c r="H560" s="171" t="s">
        <v>675</v>
      </c>
      <c r="I560" s="170">
        <v>23.1</v>
      </c>
      <c r="J560" s="156" t="s">
        <v>574</v>
      </c>
      <c r="K560" s="187"/>
      <c r="L560" s="172" t="s">
        <v>748</v>
      </c>
      <c r="M560" s="173" t="s">
        <v>649</v>
      </c>
      <c r="N560" s="174" t="s">
        <v>2001</v>
      </c>
      <c r="O560" s="174" t="s">
        <v>734</v>
      </c>
      <c r="P560" s="174" t="s">
        <v>735</v>
      </c>
      <c r="Q560" s="183">
        <v>44925</v>
      </c>
      <c r="R560" s="174" t="s">
        <v>2038</v>
      </c>
      <c r="S560" s="175" t="s">
        <v>2225</v>
      </c>
      <c r="T560" s="174" t="s">
        <v>678</v>
      </c>
    </row>
    <row r="561" spans="1:20" ht="51" customHeight="1">
      <c r="A561" s="159" t="s">
        <v>668</v>
      </c>
      <c r="B561" s="184" t="s">
        <v>669</v>
      </c>
      <c r="C561" s="154" t="s">
        <v>670</v>
      </c>
      <c r="D561" s="161" t="s">
        <v>2226</v>
      </c>
      <c r="E561" s="161" t="s">
        <v>2227</v>
      </c>
      <c r="F561" s="161" t="s">
        <v>1322</v>
      </c>
      <c r="G561" s="161" t="s">
        <v>2228</v>
      </c>
      <c r="H561" s="161" t="s">
        <v>747</v>
      </c>
      <c r="I561" s="160">
        <v>16.8</v>
      </c>
      <c r="J561" s="154" t="s">
        <v>574</v>
      </c>
      <c r="K561" s="185"/>
      <c r="L561" s="163" t="s">
        <v>748</v>
      </c>
      <c r="M561" s="164" t="s">
        <v>649</v>
      </c>
      <c r="N561" s="165" t="s">
        <v>2001</v>
      </c>
      <c r="O561" s="165" t="s">
        <v>734</v>
      </c>
      <c r="P561" s="165" t="s">
        <v>735</v>
      </c>
      <c r="Q561" s="188">
        <v>44925</v>
      </c>
      <c r="R561" s="165" t="s">
        <v>2038</v>
      </c>
      <c r="S561" s="166" t="s">
        <v>2229</v>
      </c>
      <c r="T561" s="165" t="s">
        <v>678</v>
      </c>
    </row>
    <row r="562" spans="1:20" ht="51" customHeight="1">
      <c r="A562" s="169" t="s">
        <v>668</v>
      </c>
      <c r="B562" s="186" t="s">
        <v>669</v>
      </c>
      <c r="C562" s="156" t="s">
        <v>670</v>
      </c>
      <c r="D562" s="171" t="s">
        <v>2230</v>
      </c>
      <c r="E562" s="171" t="s">
        <v>2231</v>
      </c>
      <c r="F562" s="171" t="s">
        <v>1322</v>
      </c>
      <c r="G562" s="171" t="s">
        <v>2232</v>
      </c>
      <c r="H562" s="171" t="s">
        <v>747</v>
      </c>
      <c r="I562" s="170">
        <v>21.9</v>
      </c>
      <c r="J562" s="156" t="s">
        <v>574</v>
      </c>
      <c r="K562" s="187"/>
      <c r="L562" s="172" t="s">
        <v>748</v>
      </c>
      <c r="M562" s="173" t="s">
        <v>649</v>
      </c>
      <c r="N562" s="174" t="s">
        <v>2001</v>
      </c>
      <c r="O562" s="174" t="s">
        <v>734</v>
      </c>
      <c r="P562" s="174" t="s">
        <v>735</v>
      </c>
      <c r="Q562" s="183">
        <v>44925</v>
      </c>
      <c r="R562" s="174" t="s">
        <v>2038</v>
      </c>
      <c r="S562" s="175" t="s">
        <v>2013</v>
      </c>
      <c r="T562" s="174" t="s">
        <v>678</v>
      </c>
    </row>
    <row r="563" spans="1:20" ht="51" customHeight="1">
      <c r="A563" s="159" t="s">
        <v>668</v>
      </c>
      <c r="B563" s="184" t="s">
        <v>669</v>
      </c>
      <c r="C563" s="154" t="s">
        <v>670</v>
      </c>
      <c r="D563" s="161" t="s">
        <v>2233</v>
      </c>
      <c r="E563" s="161" t="s">
        <v>2234</v>
      </c>
      <c r="F563" s="161" t="s">
        <v>1322</v>
      </c>
      <c r="G563" s="161" t="s">
        <v>2235</v>
      </c>
      <c r="H563" s="161" t="s">
        <v>747</v>
      </c>
      <c r="I563" s="160">
        <v>21.7</v>
      </c>
      <c r="J563" s="154" t="s">
        <v>574</v>
      </c>
      <c r="K563" s="185"/>
      <c r="L563" s="163" t="s">
        <v>748</v>
      </c>
      <c r="M563" s="164" t="s">
        <v>649</v>
      </c>
      <c r="N563" s="165" t="s">
        <v>2001</v>
      </c>
      <c r="O563" s="165" t="s">
        <v>734</v>
      </c>
      <c r="P563" s="165" t="s">
        <v>735</v>
      </c>
      <c r="Q563" s="188">
        <v>44925</v>
      </c>
      <c r="R563" s="165" t="s">
        <v>2038</v>
      </c>
      <c r="S563" s="166" t="s">
        <v>1963</v>
      </c>
      <c r="T563" s="165" t="s">
        <v>678</v>
      </c>
    </row>
    <row r="564" spans="1:20" ht="51" customHeight="1">
      <c r="A564" s="169" t="s">
        <v>668</v>
      </c>
      <c r="B564" s="186" t="s">
        <v>669</v>
      </c>
      <c r="C564" s="156" t="s">
        <v>670</v>
      </c>
      <c r="D564" s="171" t="s">
        <v>2236</v>
      </c>
      <c r="E564" s="171" t="s">
        <v>2237</v>
      </c>
      <c r="F564" s="171" t="s">
        <v>1322</v>
      </c>
      <c r="G564" s="171" t="s">
        <v>2238</v>
      </c>
      <c r="H564" s="171" t="s">
        <v>747</v>
      </c>
      <c r="I564" s="170">
        <v>23</v>
      </c>
      <c r="J564" s="156" t="s">
        <v>574</v>
      </c>
      <c r="K564" s="187"/>
      <c r="L564" s="172" t="s">
        <v>748</v>
      </c>
      <c r="M564" s="173" t="s">
        <v>649</v>
      </c>
      <c r="N564" s="174" t="s">
        <v>2001</v>
      </c>
      <c r="O564" s="174" t="s">
        <v>734</v>
      </c>
      <c r="P564" s="174" t="s">
        <v>735</v>
      </c>
      <c r="Q564" s="183">
        <v>44925</v>
      </c>
      <c r="R564" s="174" t="s">
        <v>2038</v>
      </c>
      <c r="S564" s="175" t="s">
        <v>737</v>
      </c>
      <c r="T564" s="174" t="s">
        <v>678</v>
      </c>
    </row>
    <row r="565" spans="1:20" ht="51" customHeight="1">
      <c r="A565" s="159" t="s">
        <v>668</v>
      </c>
      <c r="B565" s="184" t="s">
        <v>669</v>
      </c>
      <c r="C565" s="154" t="s">
        <v>670</v>
      </c>
      <c r="D565" s="161" t="s">
        <v>2239</v>
      </c>
      <c r="E565" s="161" t="s">
        <v>2240</v>
      </c>
      <c r="F565" s="161" t="s">
        <v>1322</v>
      </c>
      <c r="G565" s="161" t="s">
        <v>2241</v>
      </c>
      <c r="H565" s="161" t="s">
        <v>747</v>
      </c>
      <c r="I565" s="160">
        <v>21.3</v>
      </c>
      <c r="J565" s="154" t="s">
        <v>574</v>
      </c>
      <c r="K565" s="185"/>
      <c r="L565" s="163" t="s">
        <v>748</v>
      </c>
      <c r="M565" s="164" t="s">
        <v>649</v>
      </c>
      <c r="N565" s="165" t="s">
        <v>2001</v>
      </c>
      <c r="O565" s="165" t="s">
        <v>734</v>
      </c>
      <c r="P565" s="165" t="s">
        <v>735</v>
      </c>
      <c r="Q565" s="188">
        <v>44925</v>
      </c>
      <c r="R565" s="165" t="s">
        <v>2038</v>
      </c>
      <c r="S565" s="166" t="s">
        <v>1956</v>
      </c>
      <c r="T565" s="165" t="s">
        <v>678</v>
      </c>
    </row>
    <row r="566" spans="1:20" ht="51" customHeight="1">
      <c r="A566" s="169" t="s">
        <v>668</v>
      </c>
      <c r="B566" s="186" t="s">
        <v>669</v>
      </c>
      <c r="C566" s="156" t="s">
        <v>670</v>
      </c>
      <c r="D566" s="171" t="s">
        <v>2242</v>
      </c>
      <c r="E566" s="171" t="s">
        <v>2243</v>
      </c>
      <c r="F566" s="171" t="s">
        <v>1322</v>
      </c>
      <c r="G566" s="171" t="s">
        <v>2244</v>
      </c>
      <c r="H566" s="171" t="s">
        <v>747</v>
      </c>
      <c r="I566" s="170">
        <v>20.7</v>
      </c>
      <c r="J566" s="156" t="s">
        <v>574</v>
      </c>
      <c r="K566" s="187"/>
      <c r="L566" s="172" t="s">
        <v>748</v>
      </c>
      <c r="M566" s="173" t="s">
        <v>649</v>
      </c>
      <c r="N566" s="174" t="s">
        <v>2001</v>
      </c>
      <c r="O566" s="174" t="s">
        <v>734</v>
      </c>
      <c r="P566" s="174" t="s">
        <v>735</v>
      </c>
      <c r="Q566" s="183">
        <v>44925</v>
      </c>
      <c r="R566" s="174" t="s">
        <v>2038</v>
      </c>
      <c r="S566" s="175" t="s">
        <v>2043</v>
      </c>
      <c r="T566" s="174" t="s">
        <v>678</v>
      </c>
    </row>
    <row r="567" spans="1:20" ht="51" customHeight="1">
      <c r="A567" s="159" t="s">
        <v>668</v>
      </c>
      <c r="B567" s="184" t="s">
        <v>669</v>
      </c>
      <c r="C567" s="154" t="s">
        <v>670</v>
      </c>
      <c r="D567" s="161" t="s">
        <v>2245</v>
      </c>
      <c r="E567" s="161" t="s">
        <v>2246</v>
      </c>
      <c r="F567" s="161" t="s">
        <v>1322</v>
      </c>
      <c r="G567" s="161" t="s">
        <v>2247</v>
      </c>
      <c r="H567" s="161" t="s">
        <v>747</v>
      </c>
      <c r="I567" s="160">
        <v>15.8</v>
      </c>
      <c r="J567" s="154" t="s">
        <v>574</v>
      </c>
      <c r="K567" s="185"/>
      <c r="L567" s="163" t="s">
        <v>748</v>
      </c>
      <c r="M567" s="164" t="s">
        <v>649</v>
      </c>
      <c r="N567" s="165" t="s">
        <v>2001</v>
      </c>
      <c r="O567" s="165" t="s">
        <v>734</v>
      </c>
      <c r="P567" s="165" t="s">
        <v>735</v>
      </c>
      <c r="Q567" s="188">
        <v>44925</v>
      </c>
      <c r="R567" s="165" t="s">
        <v>2038</v>
      </c>
      <c r="S567" s="166" t="s">
        <v>2248</v>
      </c>
      <c r="T567" s="165" t="s">
        <v>678</v>
      </c>
    </row>
    <row r="568" spans="1:20" ht="51" customHeight="1">
      <c r="A568" s="169" t="s">
        <v>668</v>
      </c>
      <c r="B568" s="186" t="s">
        <v>669</v>
      </c>
      <c r="C568" s="156" t="s">
        <v>670</v>
      </c>
      <c r="D568" s="171" t="s">
        <v>2249</v>
      </c>
      <c r="E568" s="171" t="s">
        <v>2250</v>
      </c>
      <c r="F568" s="171" t="s">
        <v>1322</v>
      </c>
      <c r="G568" s="171" t="s">
        <v>2251</v>
      </c>
      <c r="H568" s="171" t="s">
        <v>747</v>
      </c>
      <c r="I568" s="170">
        <v>18.5</v>
      </c>
      <c r="J568" s="156" t="s">
        <v>574</v>
      </c>
      <c r="K568" s="187"/>
      <c r="L568" s="172" t="s">
        <v>748</v>
      </c>
      <c r="M568" s="173" t="s">
        <v>649</v>
      </c>
      <c r="N568" s="174" t="s">
        <v>2001</v>
      </c>
      <c r="O568" s="174" t="s">
        <v>734</v>
      </c>
      <c r="P568" s="174" t="s">
        <v>735</v>
      </c>
      <c r="Q568" s="183">
        <v>44925</v>
      </c>
      <c r="R568" s="174" t="s">
        <v>2038</v>
      </c>
      <c r="S568" s="175" t="s">
        <v>2072</v>
      </c>
      <c r="T568" s="174" t="s">
        <v>678</v>
      </c>
    </row>
    <row r="569" spans="1:20" ht="51" customHeight="1">
      <c r="A569" s="159" t="s">
        <v>668</v>
      </c>
      <c r="B569" s="184" t="s">
        <v>669</v>
      </c>
      <c r="C569" s="154" t="s">
        <v>670</v>
      </c>
      <c r="D569" s="161" t="s">
        <v>2252</v>
      </c>
      <c r="E569" s="161" t="s">
        <v>2253</v>
      </c>
      <c r="F569" s="161" t="s">
        <v>1322</v>
      </c>
      <c r="G569" s="161" t="s">
        <v>2254</v>
      </c>
      <c r="H569" s="161" t="s">
        <v>747</v>
      </c>
      <c r="I569" s="160">
        <v>23</v>
      </c>
      <c r="J569" s="154" t="s">
        <v>574</v>
      </c>
      <c r="K569" s="185"/>
      <c r="L569" s="163" t="s">
        <v>748</v>
      </c>
      <c r="M569" s="164" t="s">
        <v>649</v>
      </c>
      <c r="N569" s="165" t="s">
        <v>2001</v>
      </c>
      <c r="O569" s="165" t="s">
        <v>734</v>
      </c>
      <c r="P569" s="165" t="s">
        <v>735</v>
      </c>
      <c r="Q569" s="188">
        <v>44925</v>
      </c>
      <c r="R569" s="165" t="s">
        <v>2038</v>
      </c>
      <c r="S569" s="166" t="s">
        <v>737</v>
      </c>
      <c r="T569" s="165" t="s">
        <v>678</v>
      </c>
    </row>
    <row r="570" spans="1:20" ht="51" customHeight="1">
      <c r="A570" s="169" t="s">
        <v>668</v>
      </c>
      <c r="B570" s="186" t="s">
        <v>669</v>
      </c>
      <c r="C570" s="156" t="s">
        <v>670</v>
      </c>
      <c r="D570" s="171" t="s">
        <v>2255</v>
      </c>
      <c r="E570" s="171" t="s">
        <v>2256</v>
      </c>
      <c r="F570" s="171" t="s">
        <v>1322</v>
      </c>
      <c r="G570" s="171" t="s">
        <v>2257</v>
      </c>
      <c r="H570" s="171" t="s">
        <v>732</v>
      </c>
      <c r="I570" s="170">
        <v>21.4</v>
      </c>
      <c r="J570" s="156" t="s">
        <v>574</v>
      </c>
      <c r="K570" s="187"/>
      <c r="L570" s="172" t="s">
        <v>748</v>
      </c>
      <c r="M570" s="173" t="s">
        <v>649</v>
      </c>
      <c r="N570" s="174" t="s">
        <v>2001</v>
      </c>
      <c r="O570" s="174" t="s">
        <v>734</v>
      </c>
      <c r="P570" s="174" t="s">
        <v>735</v>
      </c>
      <c r="Q570" s="183">
        <v>44925</v>
      </c>
      <c r="R570" s="174" t="s">
        <v>2038</v>
      </c>
      <c r="S570" s="175" t="s">
        <v>1965</v>
      </c>
      <c r="T570" s="174" t="s">
        <v>678</v>
      </c>
    </row>
    <row r="571" spans="1:20" ht="51" customHeight="1">
      <c r="A571" s="159" t="s">
        <v>668</v>
      </c>
      <c r="B571" s="184" t="s">
        <v>669</v>
      </c>
      <c r="C571" s="154" t="s">
        <v>670</v>
      </c>
      <c r="D571" s="161" t="s">
        <v>2258</v>
      </c>
      <c r="E571" s="161" t="s">
        <v>2259</v>
      </c>
      <c r="F571" s="161" t="s">
        <v>1322</v>
      </c>
      <c r="G571" s="161" t="s">
        <v>2176</v>
      </c>
      <c r="H571" s="161" t="s">
        <v>675</v>
      </c>
      <c r="I571" s="160">
        <v>22.2</v>
      </c>
      <c r="J571" s="154" t="s">
        <v>574</v>
      </c>
      <c r="K571" s="185"/>
      <c r="L571" s="163" t="s">
        <v>748</v>
      </c>
      <c r="M571" s="164" t="s">
        <v>649</v>
      </c>
      <c r="N571" s="165" t="s">
        <v>2001</v>
      </c>
      <c r="O571" s="165" t="s">
        <v>734</v>
      </c>
      <c r="P571" s="165" t="s">
        <v>735</v>
      </c>
      <c r="Q571" s="188">
        <v>44925</v>
      </c>
      <c r="R571" s="165" t="s">
        <v>2038</v>
      </c>
      <c r="S571" s="166" t="s">
        <v>1936</v>
      </c>
      <c r="T571" s="165" t="s">
        <v>678</v>
      </c>
    </row>
    <row r="572" spans="1:20" ht="51" customHeight="1">
      <c r="A572" s="169" t="s">
        <v>668</v>
      </c>
      <c r="B572" s="186" t="s">
        <v>669</v>
      </c>
      <c r="C572" s="156" t="s">
        <v>670</v>
      </c>
      <c r="D572" s="171" t="s">
        <v>2260</v>
      </c>
      <c r="E572" s="171" t="s">
        <v>2261</v>
      </c>
      <c r="F572" s="171" t="s">
        <v>1322</v>
      </c>
      <c r="G572" s="171" t="s">
        <v>2262</v>
      </c>
      <c r="H572" s="171" t="s">
        <v>675</v>
      </c>
      <c r="I572" s="170">
        <v>24</v>
      </c>
      <c r="J572" s="156" t="s">
        <v>574</v>
      </c>
      <c r="K572" s="187"/>
      <c r="L572" s="172" t="s">
        <v>748</v>
      </c>
      <c r="M572" s="173" t="s">
        <v>649</v>
      </c>
      <c r="N572" s="174" t="s">
        <v>2001</v>
      </c>
      <c r="O572" s="174" t="s">
        <v>734</v>
      </c>
      <c r="P572" s="174" t="s">
        <v>735</v>
      </c>
      <c r="Q572" s="183">
        <v>44925</v>
      </c>
      <c r="R572" s="174" t="s">
        <v>2038</v>
      </c>
      <c r="S572" s="175" t="s">
        <v>1334</v>
      </c>
      <c r="T572" s="174" t="s">
        <v>678</v>
      </c>
    </row>
    <row r="573" spans="1:20" ht="51" customHeight="1">
      <c r="A573" s="159" t="s">
        <v>668</v>
      </c>
      <c r="B573" s="184" t="s">
        <v>669</v>
      </c>
      <c r="C573" s="154" t="s">
        <v>670</v>
      </c>
      <c r="D573" s="161" t="s">
        <v>2263</v>
      </c>
      <c r="E573" s="161" t="s">
        <v>2264</v>
      </c>
      <c r="F573" s="161" t="s">
        <v>1322</v>
      </c>
      <c r="G573" s="161" t="s">
        <v>2265</v>
      </c>
      <c r="H573" s="161" t="s">
        <v>675</v>
      </c>
      <c r="I573" s="160">
        <v>21.6</v>
      </c>
      <c r="J573" s="154" t="s">
        <v>574</v>
      </c>
      <c r="K573" s="185"/>
      <c r="L573" s="163" t="s">
        <v>748</v>
      </c>
      <c r="M573" s="164" t="s">
        <v>649</v>
      </c>
      <c r="N573" s="165" t="s">
        <v>2001</v>
      </c>
      <c r="O573" s="165" t="s">
        <v>734</v>
      </c>
      <c r="P573" s="165" t="s">
        <v>735</v>
      </c>
      <c r="Q573" s="188">
        <v>44925</v>
      </c>
      <c r="R573" s="165" t="s">
        <v>2038</v>
      </c>
      <c r="S573" s="166" t="s">
        <v>2039</v>
      </c>
      <c r="T573" s="165" t="s">
        <v>678</v>
      </c>
    </row>
    <row r="574" spans="1:20" ht="51" customHeight="1">
      <c r="A574" s="169" t="s">
        <v>668</v>
      </c>
      <c r="B574" s="186" t="s">
        <v>669</v>
      </c>
      <c r="C574" s="156" t="s">
        <v>670</v>
      </c>
      <c r="D574" s="171" t="s">
        <v>2266</v>
      </c>
      <c r="E574" s="171" t="s">
        <v>2267</v>
      </c>
      <c r="F574" s="171" t="s">
        <v>1322</v>
      </c>
      <c r="G574" s="171" t="s">
        <v>1396</v>
      </c>
      <c r="H574" s="171" t="s">
        <v>727</v>
      </c>
      <c r="I574" s="170">
        <v>24.7</v>
      </c>
      <c r="J574" s="156" t="s">
        <v>574</v>
      </c>
      <c r="K574" s="187"/>
      <c r="L574" s="172" t="s">
        <v>748</v>
      </c>
      <c r="M574" s="173" t="s">
        <v>649</v>
      </c>
      <c r="N574" s="174" t="s">
        <v>2001</v>
      </c>
      <c r="O574" s="174" t="s">
        <v>734</v>
      </c>
      <c r="P574" s="174" t="s">
        <v>735</v>
      </c>
      <c r="Q574" s="183">
        <v>44925</v>
      </c>
      <c r="R574" s="174" t="s">
        <v>2038</v>
      </c>
      <c r="S574" s="175" t="s">
        <v>2268</v>
      </c>
      <c r="T574" s="174" t="s">
        <v>678</v>
      </c>
    </row>
    <row r="575" spans="1:20" ht="51" customHeight="1">
      <c r="A575" s="159" t="s">
        <v>668</v>
      </c>
      <c r="B575" s="184" t="s">
        <v>669</v>
      </c>
      <c r="C575" s="154" t="s">
        <v>670</v>
      </c>
      <c r="D575" s="161" t="s">
        <v>2269</v>
      </c>
      <c r="E575" s="161" t="s">
        <v>2270</v>
      </c>
      <c r="F575" s="161" t="s">
        <v>1322</v>
      </c>
      <c r="G575" s="161" t="s">
        <v>2271</v>
      </c>
      <c r="H575" s="161" t="s">
        <v>727</v>
      </c>
      <c r="I575" s="160">
        <v>23.3</v>
      </c>
      <c r="J575" s="154" t="s">
        <v>574</v>
      </c>
      <c r="K575" s="185"/>
      <c r="L575" s="163" t="s">
        <v>748</v>
      </c>
      <c r="M575" s="164" t="s">
        <v>649</v>
      </c>
      <c r="N575" s="165" t="s">
        <v>2001</v>
      </c>
      <c r="O575" s="165" t="s">
        <v>734</v>
      </c>
      <c r="P575" s="165" t="s">
        <v>735</v>
      </c>
      <c r="Q575" s="188">
        <v>44925</v>
      </c>
      <c r="R575" s="165" t="s">
        <v>2038</v>
      </c>
      <c r="S575" s="166" t="s">
        <v>1987</v>
      </c>
      <c r="T575" s="165" t="s">
        <v>678</v>
      </c>
    </row>
    <row r="576" spans="1:20" ht="51" customHeight="1">
      <c r="A576" s="169" t="s">
        <v>668</v>
      </c>
      <c r="B576" s="186" t="s">
        <v>669</v>
      </c>
      <c r="C576" s="156" t="s">
        <v>670</v>
      </c>
      <c r="D576" s="171" t="s">
        <v>2272</v>
      </c>
      <c r="E576" s="171" t="s">
        <v>2273</v>
      </c>
      <c r="F576" s="171" t="s">
        <v>1322</v>
      </c>
      <c r="G576" s="171" t="s">
        <v>2274</v>
      </c>
      <c r="H576" s="171" t="s">
        <v>747</v>
      </c>
      <c r="I576" s="170">
        <v>19.600000000000001</v>
      </c>
      <c r="J576" s="156" t="s">
        <v>574</v>
      </c>
      <c r="K576" s="187"/>
      <c r="L576" s="172" t="s">
        <v>748</v>
      </c>
      <c r="M576" s="173" t="s">
        <v>649</v>
      </c>
      <c r="N576" s="174" t="s">
        <v>2001</v>
      </c>
      <c r="O576" s="174" t="s">
        <v>734</v>
      </c>
      <c r="P576" s="174" t="s">
        <v>735</v>
      </c>
      <c r="Q576" s="183">
        <v>44925</v>
      </c>
      <c r="R576" s="174" t="s">
        <v>2038</v>
      </c>
      <c r="S576" s="175" t="s">
        <v>2275</v>
      </c>
      <c r="T576" s="174" t="s">
        <v>678</v>
      </c>
    </row>
    <row r="577" spans="1:20" ht="51" customHeight="1">
      <c r="A577" s="159" t="s">
        <v>668</v>
      </c>
      <c r="B577" s="184" t="s">
        <v>669</v>
      </c>
      <c r="C577" s="154" t="s">
        <v>670</v>
      </c>
      <c r="D577" s="161" t="s">
        <v>2276</v>
      </c>
      <c r="E577" s="161" t="s">
        <v>2277</v>
      </c>
      <c r="F577" s="161" t="s">
        <v>1322</v>
      </c>
      <c r="G577" s="161" t="s">
        <v>2278</v>
      </c>
      <c r="H577" s="161" t="s">
        <v>675</v>
      </c>
      <c r="I577" s="160">
        <v>24.8</v>
      </c>
      <c r="J577" s="154" t="s">
        <v>574</v>
      </c>
      <c r="K577" s="185"/>
      <c r="L577" s="163" t="s">
        <v>748</v>
      </c>
      <c r="M577" s="164" t="s">
        <v>649</v>
      </c>
      <c r="N577" s="165" t="s">
        <v>2001</v>
      </c>
      <c r="O577" s="165" t="s">
        <v>734</v>
      </c>
      <c r="P577" s="165" t="s">
        <v>735</v>
      </c>
      <c r="Q577" s="188">
        <v>44925</v>
      </c>
      <c r="R577" s="165" t="s">
        <v>2038</v>
      </c>
      <c r="S577" s="166" t="s">
        <v>1997</v>
      </c>
      <c r="T577" s="165" t="s">
        <v>678</v>
      </c>
    </row>
    <row r="578" spans="1:20" ht="51" customHeight="1">
      <c r="A578" s="169" t="s">
        <v>668</v>
      </c>
      <c r="B578" s="186" t="s">
        <v>669</v>
      </c>
      <c r="C578" s="156" t="s">
        <v>670</v>
      </c>
      <c r="D578" s="171" t="s">
        <v>2279</v>
      </c>
      <c r="E578" s="171" t="s">
        <v>2280</v>
      </c>
      <c r="F578" s="171" t="s">
        <v>1322</v>
      </c>
      <c r="G578" s="171" t="s">
        <v>2281</v>
      </c>
      <c r="H578" s="171" t="s">
        <v>675</v>
      </c>
      <c r="I578" s="170">
        <v>20.9</v>
      </c>
      <c r="J578" s="156" t="s">
        <v>574</v>
      </c>
      <c r="K578" s="187"/>
      <c r="L578" s="172" t="s">
        <v>748</v>
      </c>
      <c r="M578" s="173" t="s">
        <v>649</v>
      </c>
      <c r="N578" s="174" t="s">
        <v>2001</v>
      </c>
      <c r="O578" s="174" t="s">
        <v>734</v>
      </c>
      <c r="P578" s="174" t="s">
        <v>735</v>
      </c>
      <c r="Q578" s="183">
        <v>44925</v>
      </c>
      <c r="R578" s="174" t="s">
        <v>2038</v>
      </c>
      <c r="S578" s="175" t="s">
        <v>2078</v>
      </c>
      <c r="T578" s="174" t="s">
        <v>678</v>
      </c>
    </row>
    <row r="579" spans="1:20" ht="51" customHeight="1">
      <c r="A579" s="159" t="s">
        <v>668</v>
      </c>
      <c r="B579" s="184" t="s">
        <v>669</v>
      </c>
      <c r="C579" s="154" t="s">
        <v>670</v>
      </c>
      <c r="D579" s="161" t="s">
        <v>2282</v>
      </c>
      <c r="E579" s="161" t="s">
        <v>2283</v>
      </c>
      <c r="F579" s="161" t="s">
        <v>1322</v>
      </c>
      <c r="G579" s="161" t="s">
        <v>2210</v>
      </c>
      <c r="H579" s="161" t="s">
        <v>675</v>
      </c>
      <c r="I579" s="160">
        <v>20.5</v>
      </c>
      <c r="J579" s="154" t="s">
        <v>574</v>
      </c>
      <c r="K579" s="185"/>
      <c r="L579" s="163" t="s">
        <v>748</v>
      </c>
      <c r="M579" s="164" t="s">
        <v>649</v>
      </c>
      <c r="N579" s="165" t="s">
        <v>2001</v>
      </c>
      <c r="O579" s="165" t="s">
        <v>734</v>
      </c>
      <c r="P579" s="165" t="s">
        <v>735</v>
      </c>
      <c r="Q579" s="188">
        <v>44925</v>
      </c>
      <c r="R579" s="165" t="s">
        <v>2038</v>
      </c>
      <c r="S579" s="166" t="s">
        <v>2284</v>
      </c>
      <c r="T579" s="165" t="s">
        <v>678</v>
      </c>
    </row>
    <row r="580" spans="1:20" ht="51" customHeight="1">
      <c r="A580" s="169" t="s">
        <v>668</v>
      </c>
      <c r="B580" s="186" t="s">
        <v>669</v>
      </c>
      <c r="C580" s="156" t="s">
        <v>670</v>
      </c>
      <c r="D580" s="171" t="s">
        <v>2285</v>
      </c>
      <c r="E580" s="171" t="s">
        <v>2286</v>
      </c>
      <c r="F580" s="171" t="s">
        <v>1322</v>
      </c>
      <c r="G580" s="171" t="s">
        <v>2287</v>
      </c>
      <c r="H580" s="171" t="s">
        <v>747</v>
      </c>
      <c r="I580" s="170">
        <v>23.8</v>
      </c>
      <c r="J580" s="156" t="s">
        <v>574</v>
      </c>
      <c r="K580" s="187"/>
      <c r="L580" s="172" t="s">
        <v>748</v>
      </c>
      <c r="M580" s="173" t="s">
        <v>649</v>
      </c>
      <c r="N580" s="174" t="s">
        <v>2001</v>
      </c>
      <c r="O580" s="174" t="s">
        <v>734</v>
      </c>
      <c r="P580" s="174" t="s">
        <v>735</v>
      </c>
      <c r="Q580" s="183">
        <v>44925</v>
      </c>
      <c r="R580" s="174" t="s">
        <v>2038</v>
      </c>
      <c r="S580" s="175" t="s">
        <v>2057</v>
      </c>
      <c r="T580" s="174" t="s">
        <v>678</v>
      </c>
    </row>
    <row r="581" spans="1:20" ht="51" customHeight="1">
      <c r="A581" s="159" t="s">
        <v>668</v>
      </c>
      <c r="B581" s="184" t="s">
        <v>669</v>
      </c>
      <c r="C581" s="154" t="s">
        <v>670</v>
      </c>
      <c r="D581" s="161" t="s">
        <v>2288</v>
      </c>
      <c r="E581" s="161" t="s">
        <v>2289</v>
      </c>
      <c r="F581" s="161" t="s">
        <v>1322</v>
      </c>
      <c r="G581" s="161" t="s">
        <v>2290</v>
      </c>
      <c r="H581" s="161" t="s">
        <v>732</v>
      </c>
      <c r="I581" s="160">
        <v>15.7</v>
      </c>
      <c r="J581" s="154" t="s">
        <v>574</v>
      </c>
      <c r="K581" s="185"/>
      <c r="L581" s="163" t="s">
        <v>748</v>
      </c>
      <c r="M581" s="164" t="s">
        <v>649</v>
      </c>
      <c r="N581" s="165" t="s">
        <v>2001</v>
      </c>
      <c r="O581" s="165" t="s">
        <v>734</v>
      </c>
      <c r="P581" s="165" t="s">
        <v>735</v>
      </c>
      <c r="Q581" s="188">
        <v>44925</v>
      </c>
      <c r="R581" s="165" t="s">
        <v>2038</v>
      </c>
      <c r="S581" s="166" t="s">
        <v>2291</v>
      </c>
      <c r="T581" s="165" t="s">
        <v>678</v>
      </c>
    </row>
    <row r="582" spans="1:20" ht="51" customHeight="1">
      <c r="A582" s="169" t="s">
        <v>668</v>
      </c>
      <c r="B582" s="186" t="s">
        <v>669</v>
      </c>
      <c r="C582" s="156" t="s">
        <v>670</v>
      </c>
      <c r="D582" s="171" t="s">
        <v>2292</v>
      </c>
      <c r="E582" s="171" t="s">
        <v>2293</v>
      </c>
      <c r="F582" s="171" t="s">
        <v>1322</v>
      </c>
      <c r="G582" s="171" t="s">
        <v>2294</v>
      </c>
      <c r="H582" s="171" t="s">
        <v>732</v>
      </c>
      <c r="I582" s="170">
        <v>23.6</v>
      </c>
      <c r="J582" s="156" t="s">
        <v>574</v>
      </c>
      <c r="K582" s="187"/>
      <c r="L582" s="172" t="s">
        <v>748</v>
      </c>
      <c r="M582" s="173" t="s">
        <v>649</v>
      </c>
      <c r="N582" s="174" t="s">
        <v>2001</v>
      </c>
      <c r="O582" s="174" t="s">
        <v>734</v>
      </c>
      <c r="P582" s="174" t="s">
        <v>735</v>
      </c>
      <c r="Q582" s="183">
        <v>44925</v>
      </c>
      <c r="R582" s="174" t="s">
        <v>2038</v>
      </c>
      <c r="S582" s="175" t="s">
        <v>1922</v>
      </c>
      <c r="T582" s="174" t="s">
        <v>678</v>
      </c>
    </row>
    <row r="583" spans="1:20" ht="76.5" customHeight="1">
      <c r="A583" s="169" t="s">
        <v>668</v>
      </c>
      <c r="B583" s="186" t="s">
        <v>669</v>
      </c>
      <c r="C583" s="156" t="s">
        <v>670</v>
      </c>
      <c r="D583" s="171" t="s">
        <v>2295</v>
      </c>
      <c r="E583" s="171" t="s">
        <v>2296</v>
      </c>
      <c r="F583" s="171" t="s">
        <v>673</v>
      </c>
      <c r="G583" s="171" t="s">
        <v>2297</v>
      </c>
      <c r="H583" s="171" t="s">
        <v>747</v>
      </c>
      <c r="I583" s="170">
        <v>34</v>
      </c>
      <c r="J583" s="156" t="s">
        <v>574</v>
      </c>
      <c r="K583" s="187"/>
      <c r="L583" s="172" t="s">
        <v>2298</v>
      </c>
      <c r="M583" s="173" t="s">
        <v>651</v>
      </c>
      <c r="N583" s="174" t="s">
        <v>733</v>
      </c>
      <c r="O583" s="174"/>
      <c r="P583" s="174"/>
      <c r="Q583" s="174"/>
      <c r="R583" s="174" t="s">
        <v>736</v>
      </c>
      <c r="S583" s="175" t="s">
        <v>2299</v>
      </c>
      <c r="T583" s="174" t="s">
        <v>678</v>
      </c>
    </row>
    <row r="584" spans="1:20" ht="76.5" customHeight="1">
      <c r="A584" s="159" t="s">
        <v>668</v>
      </c>
      <c r="B584" s="184" t="s">
        <v>669</v>
      </c>
      <c r="C584" s="154" t="s">
        <v>670</v>
      </c>
      <c r="D584" s="161" t="s">
        <v>2300</v>
      </c>
      <c r="E584" s="161" t="s">
        <v>2301</v>
      </c>
      <c r="F584" s="161" t="s">
        <v>673</v>
      </c>
      <c r="G584" s="161" t="s">
        <v>2302</v>
      </c>
      <c r="H584" s="161" t="s">
        <v>311</v>
      </c>
      <c r="I584" s="160">
        <v>2.5</v>
      </c>
      <c r="J584" s="154" t="s">
        <v>574</v>
      </c>
      <c r="K584" s="185"/>
      <c r="L584" s="163" t="s">
        <v>2298</v>
      </c>
      <c r="M584" s="164" t="s">
        <v>651</v>
      </c>
      <c r="N584" s="165" t="s">
        <v>733</v>
      </c>
      <c r="O584" s="165"/>
      <c r="P584" s="165"/>
      <c r="Q584" s="165"/>
      <c r="R584" s="165" t="s">
        <v>736</v>
      </c>
      <c r="S584" s="166" t="s">
        <v>2303</v>
      </c>
      <c r="T584" s="165" t="s">
        <v>678</v>
      </c>
    </row>
    <row r="585" spans="1:20" ht="76.5" customHeight="1">
      <c r="A585" s="169" t="s">
        <v>668</v>
      </c>
      <c r="B585" s="186" t="s">
        <v>669</v>
      </c>
      <c r="C585" s="156" t="s">
        <v>670</v>
      </c>
      <c r="D585" s="171" t="s">
        <v>2304</v>
      </c>
      <c r="E585" s="171" t="s">
        <v>2305</v>
      </c>
      <c r="F585" s="171" t="s">
        <v>673</v>
      </c>
      <c r="G585" s="171" t="s">
        <v>876</v>
      </c>
      <c r="H585" s="171" t="s">
        <v>311</v>
      </c>
      <c r="I585" s="170">
        <v>440</v>
      </c>
      <c r="J585" s="156" t="s">
        <v>574</v>
      </c>
      <c r="K585" s="187"/>
      <c r="L585" s="172" t="s">
        <v>2298</v>
      </c>
      <c r="M585" s="173" t="s">
        <v>651</v>
      </c>
      <c r="N585" s="174" t="s">
        <v>733</v>
      </c>
      <c r="O585" s="174"/>
      <c r="P585" s="174"/>
      <c r="Q585" s="174"/>
      <c r="R585" s="174" t="s">
        <v>736</v>
      </c>
      <c r="S585" s="175" t="s">
        <v>2306</v>
      </c>
      <c r="T585" s="174" t="s">
        <v>678</v>
      </c>
    </row>
    <row r="586" spans="1:20" ht="76.5" customHeight="1">
      <c r="A586" s="159" t="s">
        <v>668</v>
      </c>
      <c r="B586" s="184" t="s">
        <v>669</v>
      </c>
      <c r="C586" s="154" t="s">
        <v>670</v>
      </c>
      <c r="D586" s="161" t="s">
        <v>2307</v>
      </c>
      <c r="E586" s="161" t="s">
        <v>2308</v>
      </c>
      <c r="F586" s="161" t="s">
        <v>673</v>
      </c>
      <c r="G586" s="161"/>
      <c r="H586" s="161" t="s">
        <v>311</v>
      </c>
      <c r="I586" s="160">
        <v>50</v>
      </c>
      <c r="J586" s="154" t="s">
        <v>574</v>
      </c>
      <c r="K586" s="185"/>
      <c r="L586" s="163" t="s">
        <v>2298</v>
      </c>
      <c r="M586" s="164" t="s">
        <v>651</v>
      </c>
      <c r="N586" s="165" t="s">
        <v>733</v>
      </c>
      <c r="O586" s="165"/>
      <c r="P586" s="165"/>
      <c r="Q586" s="165"/>
      <c r="R586" s="165" t="s">
        <v>736</v>
      </c>
      <c r="S586" s="166" t="s">
        <v>1864</v>
      </c>
      <c r="T586" s="165" t="s">
        <v>678</v>
      </c>
    </row>
    <row r="587" spans="1:20" ht="76.5" customHeight="1">
      <c r="A587" s="169" t="s">
        <v>668</v>
      </c>
      <c r="B587" s="186" t="s">
        <v>669</v>
      </c>
      <c r="C587" s="156" t="s">
        <v>670</v>
      </c>
      <c r="D587" s="171" t="s">
        <v>2309</v>
      </c>
      <c r="E587" s="171" t="s">
        <v>2310</v>
      </c>
      <c r="F587" s="171" t="s">
        <v>673</v>
      </c>
      <c r="G587" s="171" t="s">
        <v>876</v>
      </c>
      <c r="H587" s="171" t="s">
        <v>311</v>
      </c>
      <c r="I587" s="170">
        <v>420</v>
      </c>
      <c r="J587" s="156" t="s">
        <v>574</v>
      </c>
      <c r="K587" s="187"/>
      <c r="L587" s="172" t="s">
        <v>2298</v>
      </c>
      <c r="M587" s="173" t="s">
        <v>651</v>
      </c>
      <c r="N587" s="174" t="s">
        <v>733</v>
      </c>
      <c r="O587" s="174"/>
      <c r="P587" s="174"/>
      <c r="Q587" s="174"/>
      <c r="R587" s="174" t="s">
        <v>736</v>
      </c>
      <c r="S587" s="175" t="s">
        <v>702</v>
      </c>
      <c r="T587" s="174" t="s">
        <v>678</v>
      </c>
    </row>
    <row r="588" spans="1:20" ht="76.5" customHeight="1">
      <c r="A588" s="159" t="s">
        <v>668</v>
      </c>
      <c r="B588" s="184" t="s">
        <v>669</v>
      </c>
      <c r="C588" s="154" t="s">
        <v>670</v>
      </c>
      <c r="D588" s="161" t="s">
        <v>2311</v>
      </c>
      <c r="E588" s="161" t="s">
        <v>2312</v>
      </c>
      <c r="F588" s="161" t="s">
        <v>673</v>
      </c>
      <c r="G588" s="161" t="s">
        <v>2313</v>
      </c>
      <c r="H588" s="161" t="s">
        <v>2314</v>
      </c>
      <c r="I588" s="160">
        <v>47</v>
      </c>
      <c r="J588" s="154" t="s">
        <v>574</v>
      </c>
      <c r="K588" s="185"/>
      <c r="L588" s="163" t="s">
        <v>2298</v>
      </c>
      <c r="M588" s="164" t="s">
        <v>651</v>
      </c>
      <c r="N588" s="165" t="s">
        <v>733</v>
      </c>
      <c r="O588" s="165"/>
      <c r="P588" s="165"/>
      <c r="Q588" s="165"/>
      <c r="R588" s="165" t="s">
        <v>736</v>
      </c>
      <c r="S588" s="166" t="s">
        <v>2315</v>
      </c>
      <c r="T588" s="165" t="s">
        <v>678</v>
      </c>
    </row>
    <row r="589" spans="1:20" ht="76.5" customHeight="1">
      <c r="A589" s="169" t="s">
        <v>668</v>
      </c>
      <c r="B589" s="186" t="s">
        <v>669</v>
      </c>
      <c r="C589" s="156" t="s">
        <v>670</v>
      </c>
      <c r="D589" s="171" t="s">
        <v>2316</v>
      </c>
      <c r="E589" s="171" t="s">
        <v>2317</v>
      </c>
      <c r="F589" s="171" t="s">
        <v>673</v>
      </c>
      <c r="G589" s="171" t="s">
        <v>966</v>
      </c>
      <c r="H589" s="171" t="s">
        <v>2314</v>
      </c>
      <c r="I589" s="170">
        <v>4</v>
      </c>
      <c r="J589" s="156" t="s">
        <v>574</v>
      </c>
      <c r="K589" s="187"/>
      <c r="L589" s="172" t="s">
        <v>2298</v>
      </c>
      <c r="M589" s="173" t="s">
        <v>651</v>
      </c>
      <c r="N589" s="174" t="s">
        <v>733</v>
      </c>
      <c r="O589" s="174"/>
      <c r="P589" s="174"/>
      <c r="Q589" s="174"/>
      <c r="R589" s="174" t="s">
        <v>736</v>
      </c>
      <c r="S589" s="175" t="s">
        <v>2318</v>
      </c>
      <c r="T589" s="174" t="s">
        <v>678</v>
      </c>
    </row>
    <row r="590" spans="1:20" ht="76.5" customHeight="1">
      <c r="A590" s="159" t="s">
        <v>668</v>
      </c>
      <c r="B590" s="184" t="s">
        <v>669</v>
      </c>
      <c r="C590" s="154" t="s">
        <v>670</v>
      </c>
      <c r="D590" s="161" t="s">
        <v>2319</v>
      </c>
      <c r="E590" s="161" t="s">
        <v>2320</v>
      </c>
      <c r="F590" s="161" t="s">
        <v>673</v>
      </c>
      <c r="G590" s="161" t="s">
        <v>883</v>
      </c>
      <c r="H590" s="161" t="s">
        <v>675</v>
      </c>
      <c r="I590" s="160">
        <v>380</v>
      </c>
      <c r="J590" s="154" t="s">
        <v>574</v>
      </c>
      <c r="K590" s="185"/>
      <c r="L590" s="163" t="s">
        <v>2298</v>
      </c>
      <c r="M590" s="164" t="s">
        <v>651</v>
      </c>
      <c r="N590" s="165" t="s">
        <v>733</v>
      </c>
      <c r="O590" s="165"/>
      <c r="P590" s="165"/>
      <c r="Q590" s="165"/>
      <c r="R590" s="165" t="s">
        <v>736</v>
      </c>
      <c r="S590" s="166" t="s">
        <v>2321</v>
      </c>
      <c r="T590" s="165" t="s">
        <v>678</v>
      </c>
    </row>
    <row r="591" spans="1:20" ht="76.5" customHeight="1">
      <c r="A591" s="169" t="s">
        <v>668</v>
      </c>
      <c r="B591" s="186" t="s">
        <v>669</v>
      </c>
      <c r="C591" s="156" t="s">
        <v>670</v>
      </c>
      <c r="D591" s="171" t="s">
        <v>2322</v>
      </c>
      <c r="E591" s="171" t="s">
        <v>2323</v>
      </c>
      <c r="F591" s="171" t="s">
        <v>673</v>
      </c>
      <c r="G591" s="171" t="s">
        <v>883</v>
      </c>
      <c r="H591" s="171" t="s">
        <v>675</v>
      </c>
      <c r="I591" s="170">
        <v>410</v>
      </c>
      <c r="J591" s="156" t="s">
        <v>574</v>
      </c>
      <c r="K591" s="187"/>
      <c r="L591" s="172" t="s">
        <v>2298</v>
      </c>
      <c r="M591" s="173" t="s">
        <v>651</v>
      </c>
      <c r="N591" s="174" t="s">
        <v>733</v>
      </c>
      <c r="O591" s="174"/>
      <c r="P591" s="174"/>
      <c r="Q591" s="174"/>
      <c r="R591" s="174" t="s">
        <v>736</v>
      </c>
      <c r="S591" s="175" t="s">
        <v>2324</v>
      </c>
      <c r="T591" s="174" t="s">
        <v>678</v>
      </c>
    </row>
    <row r="592" spans="1:20" ht="76.5" customHeight="1">
      <c r="A592" s="159" t="s">
        <v>668</v>
      </c>
      <c r="B592" s="184" t="s">
        <v>669</v>
      </c>
      <c r="C592" s="154" t="s">
        <v>670</v>
      </c>
      <c r="D592" s="161" t="s">
        <v>2325</v>
      </c>
      <c r="E592" s="161" t="s">
        <v>2326</v>
      </c>
      <c r="F592" s="161" t="s">
        <v>673</v>
      </c>
      <c r="G592" s="161" t="s">
        <v>889</v>
      </c>
      <c r="H592" s="161" t="s">
        <v>675</v>
      </c>
      <c r="I592" s="160">
        <v>3.8</v>
      </c>
      <c r="J592" s="154" t="s">
        <v>574</v>
      </c>
      <c r="K592" s="185"/>
      <c r="L592" s="163" t="s">
        <v>2298</v>
      </c>
      <c r="M592" s="164" t="s">
        <v>651</v>
      </c>
      <c r="N592" s="165" t="s">
        <v>733</v>
      </c>
      <c r="O592" s="165"/>
      <c r="P592" s="165"/>
      <c r="Q592" s="165"/>
      <c r="R592" s="165" t="s">
        <v>736</v>
      </c>
      <c r="S592" s="166" t="s">
        <v>2327</v>
      </c>
      <c r="T592" s="165" t="s">
        <v>678</v>
      </c>
    </row>
    <row r="593" spans="1:20" ht="76.5" customHeight="1">
      <c r="A593" s="169" t="s">
        <v>668</v>
      </c>
      <c r="B593" s="186" t="s">
        <v>669</v>
      </c>
      <c r="C593" s="156" t="s">
        <v>670</v>
      </c>
      <c r="D593" s="171" t="s">
        <v>2328</v>
      </c>
      <c r="E593" s="171" t="s">
        <v>2329</v>
      </c>
      <c r="F593" s="171" t="s">
        <v>673</v>
      </c>
      <c r="G593" s="171" t="s">
        <v>2330</v>
      </c>
      <c r="H593" s="171" t="s">
        <v>732</v>
      </c>
      <c r="I593" s="170">
        <v>400</v>
      </c>
      <c r="J593" s="156" t="s">
        <v>574</v>
      </c>
      <c r="K593" s="187"/>
      <c r="L593" s="172" t="s">
        <v>2298</v>
      </c>
      <c r="M593" s="173" t="s">
        <v>651</v>
      </c>
      <c r="N593" s="174" t="s">
        <v>733</v>
      </c>
      <c r="O593" s="174"/>
      <c r="P593" s="174"/>
      <c r="Q593" s="174"/>
      <c r="R593" s="174" t="s">
        <v>736</v>
      </c>
      <c r="S593" s="175" t="s">
        <v>2331</v>
      </c>
      <c r="T593" s="174" t="s">
        <v>678</v>
      </c>
    </row>
    <row r="594" spans="1:20" ht="76.5" customHeight="1">
      <c r="A594" s="159" t="s">
        <v>668</v>
      </c>
      <c r="B594" s="184" t="s">
        <v>669</v>
      </c>
      <c r="C594" s="154" t="s">
        <v>670</v>
      </c>
      <c r="D594" s="161" t="s">
        <v>2332</v>
      </c>
      <c r="E594" s="161" t="s">
        <v>2333</v>
      </c>
      <c r="F594" s="161" t="s">
        <v>673</v>
      </c>
      <c r="G594" s="161" t="s">
        <v>1580</v>
      </c>
      <c r="H594" s="161" t="s">
        <v>1162</v>
      </c>
      <c r="I594" s="160">
        <v>48</v>
      </c>
      <c r="J594" s="154" t="s">
        <v>574</v>
      </c>
      <c r="K594" s="185"/>
      <c r="L594" s="163" t="s">
        <v>2298</v>
      </c>
      <c r="M594" s="164" t="s">
        <v>651</v>
      </c>
      <c r="N594" s="165" t="s">
        <v>733</v>
      </c>
      <c r="O594" s="165"/>
      <c r="P594" s="165"/>
      <c r="Q594" s="165"/>
      <c r="R594" s="165" t="s">
        <v>736</v>
      </c>
      <c r="S594" s="166" t="s">
        <v>2334</v>
      </c>
      <c r="T594" s="165" t="s">
        <v>678</v>
      </c>
    </row>
    <row r="595" spans="1:20" ht="76.5" customHeight="1">
      <c r="A595" s="169" t="s">
        <v>668</v>
      </c>
      <c r="B595" s="186" t="s">
        <v>669</v>
      </c>
      <c r="C595" s="156" t="s">
        <v>670</v>
      </c>
      <c r="D595" s="171" t="s">
        <v>2335</v>
      </c>
      <c r="E595" s="171" t="s">
        <v>2336</v>
      </c>
      <c r="F595" s="171" t="s">
        <v>673</v>
      </c>
      <c r="G595" s="171" t="s">
        <v>1366</v>
      </c>
      <c r="H595" s="171" t="s">
        <v>1162</v>
      </c>
      <c r="I595" s="170">
        <v>3.9</v>
      </c>
      <c r="J595" s="156" t="s">
        <v>574</v>
      </c>
      <c r="K595" s="187"/>
      <c r="L595" s="172" t="s">
        <v>2298</v>
      </c>
      <c r="M595" s="173" t="s">
        <v>651</v>
      </c>
      <c r="N595" s="174" t="s">
        <v>733</v>
      </c>
      <c r="O595" s="174"/>
      <c r="P595" s="174"/>
      <c r="Q595" s="174"/>
      <c r="R595" s="174" t="s">
        <v>736</v>
      </c>
      <c r="S595" s="175" t="s">
        <v>2337</v>
      </c>
      <c r="T595" s="174" t="s">
        <v>678</v>
      </c>
    </row>
    <row r="596" spans="1:20" ht="76.5" customHeight="1">
      <c r="A596" s="159" t="s">
        <v>668</v>
      </c>
      <c r="B596" s="184" t="s">
        <v>669</v>
      </c>
      <c r="C596" s="154" t="s">
        <v>670</v>
      </c>
      <c r="D596" s="161" t="s">
        <v>2338</v>
      </c>
      <c r="E596" s="161" t="s">
        <v>2339</v>
      </c>
      <c r="F596" s="161" t="s">
        <v>673</v>
      </c>
      <c r="G596" s="161"/>
      <c r="H596" s="161" t="s">
        <v>1162</v>
      </c>
      <c r="I596" s="160">
        <v>470</v>
      </c>
      <c r="J596" s="154" t="s">
        <v>574</v>
      </c>
      <c r="K596" s="185"/>
      <c r="L596" s="163" t="s">
        <v>2298</v>
      </c>
      <c r="M596" s="164" t="s">
        <v>651</v>
      </c>
      <c r="N596" s="165" t="s">
        <v>733</v>
      </c>
      <c r="O596" s="165"/>
      <c r="P596" s="165"/>
      <c r="Q596" s="165"/>
      <c r="R596" s="165" t="s">
        <v>736</v>
      </c>
      <c r="S596" s="166" t="s">
        <v>2340</v>
      </c>
      <c r="T596" s="165" t="s">
        <v>678</v>
      </c>
    </row>
    <row r="597" spans="1:20" ht="76.5" customHeight="1">
      <c r="A597" s="169" t="s">
        <v>668</v>
      </c>
      <c r="B597" s="186" t="s">
        <v>669</v>
      </c>
      <c r="C597" s="156" t="s">
        <v>670</v>
      </c>
      <c r="D597" s="171" t="s">
        <v>2341</v>
      </c>
      <c r="E597" s="171" t="s">
        <v>2342</v>
      </c>
      <c r="F597" s="171" t="s">
        <v>673</v>
      </c>
      <c r="G597" s="171" t="s">
        <v>2343</v>
      </c>
      <c r="H597" s="171" t="s">
        <v>1162</v>
      </c>
      <c r="I597" s="170">
        <v>39</v>
      </c>
      <c r="J597" s="156" t="s">
        <v>574</v>
      </c>
      <c r="K597" s="187"/>
      <c r="L597" s="172" t="s">
        <v>2298</v>
      </c>
      <c r="M597" s="173" t="s">
        <v>651</v>
      </c>
      <c r="N597" s="174" t="s">
        <v>733</v>
      </c>
      <c r="O597" s="174"/>
      <c r="P597" s="174"/>
      <c r="Q597" s="174"/>
      <c r="R597" s="174" t="s">
        <v>736</v>
      </c>
      <c r="S597" s="175" t="s">
        <v>2344</v>
      </c>
      <c r="T597" s="174" t="s">
        <v>678</v>
      </c>
    </row>
    <row r="598" spans="1:20" ht="76.5" customHeight="1">
      <c r="A598" s="159" t="s">
        <v>668</v>
      </c>
      <c r="B598" s="184" t="s">
        <v>669</v>
      </c>
      <c r="C598" s="154" t="s">
        <v>670</v>
      </c>
      <c r="D598" s="161" t="s">
        <v>2345</v>
      </c>
      <c r="E598" s="161" t="s">
        <v>2346</v>
      </c>
      <c r="F598" s="161" t="s">
        <v>706</v>
      </c>
      <c r="G598" s="161" t="s">
        <v>2347</v>
      </c>
      <c r="H598" s="161" t="s">
        <v>1162</v>
      </c>
      <c r="I598" s="160">
        <v>410</v>
      </c>
      <c r="J598" s="154" t="s">
        <v>574</v>
      </c>
      <c r="K598" s="185"/>
      <c r="L598" s="163" t="s">
        <v>2298</v>
      </c>
      <c r="M598" s="164" t="s">
        <v>651</v>
      </c>
      <c r="N598" s="165" t="s">
        <v>733</v>
      </c>
      <c r="O598" s="165"/>
      <c r="P598" s="165"/>
      <c r="Q598" s="165"/>
      <c r="R598" s="165" t="s">
        <v>736</v>
      </c>
      <c r="S598" s="166" t="s">
        <v>2324</v>
      </c>
      <c r="T598" s="165" t="s">
        <v>678</v>
      </c>
    </row>
    <row r="599" spans="1:20" ht="76.5" customHeight="1">
      <c r="A599" s="169" t="s">
        <v>668</v>
      </c>
      <c r="B599" s="186" t="s">
        <v>669</v>
      </c>
      <c r="C599" s="156" t="s">
        <v>670</v>
      </c>
      <c r="D599" s="171" t="s">
        <v>2348</v>
      </c>
      <c r="E599" s="171" t="s">
        <v>2349</v>
      </c>
      <c r="F599" s="171" t="s">
        <v>673</v>
      </c>
      <c r="G599" s="171" t="s">
        <v>876</v>
      </c>
      <c r="H599" s="171" t="s">
        <v>1162</v>
      </c>
      <c r="I599" s="170">
        <v>41</v>
      </c>
      <c r="J599" s="156" t="s">
        <v>574</v>
      </c>
      <c r="K599" s="187"/>
      <c r="L599" s="172" t="s">
        <v>2298</v>
      </c>
      <c r="M599" s="173" t="s">
        <v>651</v>
      </c>
      <c r="N599" s="174" t="s">
        <v>733</v>
      </c>
      <c r="O599" s="174"/>
      <c r="P599" s="174"/>
      <c r="Q599" s="174"/>
      <c r="R599" s="174" t="s">
        <v>736</v>
      </c>
      <c r="S599" s="175" t="s">
        <v>2350</v>
      </c>
      <c r="T599" s="174" t="s">
        <v>678</v>
      </c>
    </row>
    <row r="600" spans="1:20" ht="76.5" customHeight="1">
      <c r="A600" s="159" t="s">
        <v>668</v>
      </c>
      <c r="B600" s="184" t="s">
        <v>669</v>
      </c>
      <c r="C600" s="154" t="s">
        <v>670</v>
      </c>
      <c r="D600" s="161" t="s">
        <v>2351</v>
      </c>
      <c r="E600" s="161" t="s">
        <v>2352</v>
      </c>
      <c r="F600" s="161" t="s">
        <v>673</v>
      </c>
      <c r="G600" s="161" t="s">
        <v>876</v>
      </c>
      <c r="H600" s="161" t="s">
        <v>1162</v>
      </c>
      <c r="I600" s="160">
        <v>490</v>
      </c>
      <c r="J600" s="154" t="s">
        <v>574</v>
      </c>
      <c r="K600" s="185"/>
      <c r="L600" s="163" t="s">
        <v>2298</v>
      </c>
      <c r="M600" s="164" t="s">
        <v>651</v>
      </c>
      <c r="N600" s="165" t="s">
        <v>733</v>
      </c>
      <c r="O600" s="165"/>
      <c r="P600" s="165"/>
      <c r="Q600" s="165"/>
      <c r="R600" s="165" t="s">
        <v>736</v>
      </c>
      <c r="S600" s="166" t="s">
        <v>2353</v>
      </c>
      <c r="T600" s="165" t="s">
        <v>678</v>
      </c>
    </row>
    <row r="601" spans="1:20" ht="76.5" customHeight="1">
      <c r="A601" s="169" t="s">
        <v>668</v>
      </c>
      <c r="B601" s="186" t="s">
        <v>669</v>
      </c>
      <c r="C601" s="156" t="s">
        <v>670</v>
      </c>
      <c r="D601" s="171" t="s">
        <v>2354</v>
      </c>
      <c r="E601" s="171" t="s">
        <v>2355</v>
      </c>
      <c r="F601" s="171" t="s">
        <v>673</v>
      </c>
      <c r="G601" s="171" t="s">
        <v>2356</v>
      </c>
      <c r="H601" s="171" t="s">
        <v>727</v>
      </c>
      <c r="I601" s="170">
        <v>50</v>
      </c>
      <c r="J601" s="156" t="s">
        <v>574</v>
      </c>
      <c r="K601" s="187"/>
      <c r="L601" s="172" t="s">
        <v>2298</v>
      </c>
      <c r="M601" s="173" t="s">
        <v>651</v>
      </c>
      <c r="N601" s="174" t="s">
        <v>733</v>
      </c>
      <c r="O601" s="174"/>
      <c r="P601" s="174"/>
      <c r="Q601" s="174"/>
      <c r="R601" s="174" t="s">
        <v>736</v>
      </c>
      <c r="S601" s="175" t="s">
        <v>1864</v>
      </c>
      <c r="T601" s="174" t="s">
        <v>678</v>
      </c>
    </row>
    <row r="602" spans="1:20" ht="76.5" customHeight="1">
      <c r="A602" s="159" t="s">
        <v>668</v>
      </c>
      <c r="B602" s="184" t="s">
        <v>669</v>
      </c>
      <c r="C602" s="154" t="s">
        <v>670</v>
      </c>
      <c r="D602" s="161" t="s">
        <v>2357</v>
      </c>
      <c r="E602" s="161" t="s">
        <v>2358</v>
      </c>
      <c r="F602" s="161" t="s">
        <v>673</v>
      </c>
      <c r="G602" s="161" t="s">
        <v>2359</v>
      </c>
      <c r="H602" s="161" t="s">
        <v>727</v>
      </c>
      <c r="I602" s="160">
        <v>31</v>
      </c>
      <c r="J602" s="154" t="s">
        <v>574</v>
      </c>
      <c r="K602" s="185"/>
      <c r="L602" s="163" t="s">
        <v>2298</v>
      </c>
      <c r="M602" s="164" t="s">
        <v>651</v>
      </c>
      <c r="N602" s="165" t="s">
        <v>733</v>
      </c>
      <c r="O602" s="165"/>
      <c r="P602" s="165"/>
      <c r="Q602" s="165"/>
      <c r="R602" s="165" t="s">
        <v>736</v>
      </c>
      <c r="S602" s="166" t="s">
        <v>2360</v>
      </c>
      <c r="T602" s="165" t="s">
        <v>678</v>
      </c>
    </row>
    <row r="603" spans="1:20" ht="76.5" customHeight="1">
      <c r="A603" s="169" t="s">
        <v>668</v>
      </c>
      <c r="B603" s="186" t="s">
        <v>669</v>
      </c>
      <c r="C603" s="156" t="s">
        <v>670</v>
      </c>
      <c r="D603" s="171" t="s">
        <v>2361</v>
      </c>
      <c r="E603" s="171" t="s">
        <v>2362</v>
      </c>
      <c r="F603" s="171" t="s">
        <v>673</v>
      </c>
      <c r="G603" s="171" t="s">
        <v>727</v>
      </c>
      <c r="H603" s="171" t="s">
        <v>727</v>
      </c>
      <c r="I603" s="170">
        <v>4.7</v>
      </c>
      <c r="J603" s="156" t="s">
        <v>574</v>
      </c>
      <c r="K603" s="187"/>
      <c r="L603" s="172" t="s">
        <v>2298</v>
      </c>
      <c r="M603" s="173" t="s">
        <v>651</v>
      </c>
      <c r="N603" s="174" t="s">
        <v>733</v>
      </c>
      <c r="O603" s="174"/>
      <c r="P603" s="174"/>
      <c r="Q603" s="174"/>
      <c r="R603" s="174" t="s">
        <v>736</v>
      </c>
      <c r="S603" s="175" t="s">
        <v>1416</v>
      </c>
      <c r="T603" s="174" t="s">
        <v>678</v>
      </c>
    </row>
    <row r="604" spans="1:20" ht="76.5" customHeight="1">
      <c r="A604" s="159" t="s">
        <v>668</v>
      </c>
      <c r="B604" s="184" t="s">
        <v>669</v>
      </c>
      <c r="C604" s="154" t="s">
        <v>670</v>
      </c>
      <c r="D604" s="161" t="s">
        <v>2363</v>
      </c>
      <c r="E604" s="161" t="s">
        <v>2364</v>
      </c>
      <c r="F604" s="161" t="s">
        <v>706</v>
      </c>
      <c r="G604" s="161" t="s">
        <v>2365</v>
      </c>
      <c r="H604" s="161" t="s">
        <v>2365</v>
      </c>
      <c r="I604" s="160">
        <v>4</v>
      </c>
      <c r="J604" s="154" t="s">
        <v>574</v>
      </c>
      <c r="K604" s="185"/>
      <c r="L604" s="163" t="s">
        <v>2298</v>
      </c>
      <c r="M604" s="164" t="s">
        <v>651</v>
      </c>
      <c r="N604" s="165" t="s">
        <v>733</v>
      </c>
      <c r="O604" s="165"/>
      <c r="P604" s="165"/>
      <c r="Q604" s="165"/>
      <c r="R604" s="165" t="s">
        <v>736</v>
      </c>
      <c r="S604" s="166" t="s">
        <v>2366</v>
      </c>
      <c r="T604" s="165" t="s">
        <v>678</v>
      </c>
    </row>
    <row r="605" spans="1:20" ht="76.5" customHeight="1">
      <c r="A605" s="169" t="s">
        <v>668</v>
      </c>
      <c r="B605" s="186" t="s">
        <v>669</v>
      </c>
      <c r="C605" s="156" t="s">
        <v>670</v>
      </c>
      <c r="D605" s="171" t="s">
        <v>2367</v>
      </c>
      <c r="E605" s="171" t="s">
        <v>2368</v>
      </c>
      <c r="F605" s="171" t="s">
        <v>673</v>
      </c>
      <c r="G605" s="171" t="s">
        <v>2365</v>
      </c>
      <c r="H605" s="171" t="s">
        <v>2365</v>
      </c>
      <c r="I605" s="170">
        <v>470</v>
      </c>
      <c r="J605" s="156" t="s">
        <v>574</v>
      </c>
      <c r="K605" s="187"/>
      <c r="L605" s="172" t="s">
        <v>2298</v>
      </c>
      <c r="M605" s="173" t="s">
        <v>651</v>
      </c>
      <c r="N605" s="174" t="s">
        <v>733</v>
      </c>
      <c r="O605" s="174"/>
      <c r="P605" s="174"/>
      <c r="Q605" s="174"/>
      <c r="R605" s="174" t="s">
        <v>736</v>
      </c>
      <c r="S605" s="175" t="s">
        <v>2340</v>
      </c>
      <c r="T605" s="174" t="s">
        <v>678</v>
      </c>
    </row>
    <row r="606" spans="1:20" ht="76.5" customHeight="1">
      <c r="A606" s="159" t="s">
        <v>668</v>
      </c>
      <c r="B606" s="184" t="s">
        <v>669</v>
      </c>
      <c r="C606" s="154" t="s">
        <v>670</v>
      </c>
      <c r="D606" s="161" t="s">
        <v>2369</v>
      </c>
      <c r="E606" s="161" t="s">
        <v>2370</v>
      </c>
      <c r="F606" s="161" t="s">
        <v>673</v>
      </c>
      <c r="G606" s="161" t="s">
        <v>2365</v>
      </c>
      <c r="H606" s="161" t="s">
        <v>2365</v>
      </c>
      <c r="I606" s="160">
        <v>3.7</v>
      </c>
      <c r="J606" s="154" t="s">
        <v>574</v>
      </c>
      <c r="K606" s="185"/>
      <c r="L606" s="163" t="s">
        <v>2298</v>
      </c>
      <c r="M606" s="164" t="s">
        <v>651</v>
      </c>
      <c r="N606" s="165" t="s">
        <v>733</v>
      </c>
      <c r="O606" s="165"/>
      <c r="P606" s="165"/>
      <c r="Q606" s="165"/>
      <c r="R606" s="165" t="s">
        <v>736</v>
      </c>
      <c r="S606" s="166" t="s">
        <v>2371</v>
      </c>
      <c r="T606" s="165" t="s">
        <v>678</v>
      </c>
    </row>
    <row r="607" spans="1:20" ht="76.5" customHeight="1">
      <c r="A607" s="169" t="s">
        <v>668</v>
      </c>
      <c r="B607" s="186" t="s">
        <v>669</v>
      </c>
      <c r="C607" s="156" t="s">
        <v>670</v>
      </c>
      <c r="D607" s="171" t="s">
        <v>2372</v>
      </c>
      <c r="E607" s="171" t="s">
        <v>2373</v>
      </c>
      <c r="F607" s="171" t="s">
        <v>673</v>
      </c>
      <c r="G607" s="171" t="s">
        <v>2365</v>
      </c>
      <c r="H607" s="171" t="s">
        <v>2365</v>
      </c>
      <c r="I607" s="170">
        <v>450</v>
      </c>
      <c r="J607" s="156" t="s">
        <v>574</v>
      </c>
      <c r="K607" s="187"/>
      <c r="L607" s="172" t="s">
        <v>2298</v>
      </c>
      <c r="M607" s="173" t="s">
        <v>651</v>
      </c>
      <c r="N607" s="174" t="s">
        <v>733</v>
      </c>
      <c r="O607" s="174"/>
      <c r="P607" s="174"/>
      <c r="Q607" s="174"/>
      <c r="R607" s="174" t="s">
        <v>736</v>
      </c>
      <c r="S607" s="175" t="s">
        <v>2374</v>
      </c>
      <c r="T607" s="174" t="s">
        <v>678</v>
      </c>
    </row>
    <row r="608" spans="1:20" ht="76.5" customHeight="1">
      <c r="A608" s="159" t="s">
        <v>668</v>
      </c>
      <c r="B608" s="184" t="s">
        <v>669</v>
      </c>
      <c r="C608" s="154" t="s">
        <v>670</v>
      </c>
      <c r="D608" s="161" t="s">
        <v>2375</v>
      </c>
      <c r="E608" s="161" t="s">
        <v>2376</v>
      </c>
      <c r="F608" s="161" t="s">
        <v>673</v>
      </c>
      <c r="G608" s="161" t="s">
        <v>2377</v>
      </c>
      <c r="H608" s="161" t="s">
        <v>2378</v>
      </c>
      <c r="I608" s="160">
        <v>3.8</v>
      </c>
      <c r="J608" s="154" t="s">
        <v>574</v>
      </c>
      <c r="K608" s="185"/>
      <c r="L608" s="163" t="s">
        <v>2298</v>
      </c>
      <c r="M608" s="164" t="s">
        <v>651</v>
      </c>
      <c r="N608" s="165" t="s">
        <v>733</v>
      </c>
      <c r="O608" s="165"/>
      <c r="P608" s="165"/>
      <c r="Q608" s="165"/>
      <c r="R608" s="165" t="s">
        <v>736</v>
      </c>
      <c r="S608" s="166" t="s">
        <v>2327</v>
      </c>
      <c r="T608" s="165" t="s">
        <v>678</v>
      </c>
    </row>
    <row r="609" spans="1:20" ht="76.5" customHeight="1">
      <c r="A609" s="169" t="s">
        <v>668</v>
      </c>
      <c r="B609" s="186" t="s">
        <v>669</v>
      </c>
      <c r="C609" s="156" t="s">
        <v>670</v>
      </c>
      <c r="D609" s="171" t="s">
        <v>2379</v>
      </c>
      <c r="E609" s="171" t="s">
        <v>2380</v>
      </c>
      <c r="F609" s="171" t="s">
        <v>673</v>
      </c>
      <c r="G609" s="171" t="s">
        <v>876</v>
      </c>
      <c r="H609" s="171" t="s">
        <v>1722</v>
      </c>
      <c r="I609" s="170">
        <v>34</v>
      </c>
      <c r="J609" s="156" t="s">
        <v>574</v>
      </c>
      <c r="K609" s="187"/>
      <c r="L609" s="172" t="s">
        <v>2298</v>
      </c>
      <c r="M609" s="173" t="s">
        <v>651</v>
      </c>
      <c r="N609" s="174" t="s">
        <v>733</v>
      </c>
      <c r="O609" s="174"/>
      <c r="P609" s="174"/>
      <c r="Q609" s="174"/>
      <c r="R609" s="174" t="s">
        <v>736</v>
      </c>
      <c r="S609" s="175" t="s">
        <v>2299</v>
      </c>
      <c r="T609" s="174" t="s">
        <v>678</v>
      </c>
    </row>
    <row r="610" spans="1:20" ht="76.5" customHeight="1">
      <c r="A610" s="159" t="s">
        <v>668</v>
      </c>
      <c r="B610" s="184" t="s">
        <v>669</v>
      </c>
      <c r="C610" s="154" t="s">
        <v>670</v>
      </c>
      <c r="D610" s="161" t="s">
        <v>2381</v>
      </c>
      <c r="E610" s="161" t="s">
        <v>2382</v>
      </c>
      <c r="F610" s="161" t="s">
        <v>673</v>
      </c>
      <c r="G610" s="161" t="s">
        <v>876</v>
      </c>
      <c r="H610" s="161" t="s">
        <v>1722</v>
      </c>
      <c r="I610" s="160">
        <v>39</v>
      </c>
      <c r="J610" s="154" t="s">
        <v>574</v>
      </c>
      <c r="K610" s="185"/>
      <c r="L610" s="163" t="s">
        <v>2298</v>
      </c>
      <c r="M610" s="164" t="s">
        <v>651</v>
      </c>
      <c r="N610" s="165" t="s">
        <v>733</v>
      </c>
      <c r="O610" s="165"/>
      <c r="P610" s="165"/>
      <c r="Q610" s="165"/>
      <c r="R610" s="165" t="s">
        <v>736</v>
      </c>
      <c r="S610" s="166" t="s">
        <v>2344</v>
      </c>
      <c r="T610" s="165" t="s">
        <v>678</v>
      </c>
    </row>
    <row r="611" spans="1:20" ht="76.5" customHeight="1">
      <c r="A611" s="169" t="s">
        <v>668</v>
      </c>
      <c r="B611" s="186" t="s">
        <v>669</v>
      </c>
      <c r="C611" s="156" t="s">
        <v>670</v>
      </c>
      <c r="D611" s="171" t="s">
        <v>2383</v>
      </c>
      <c r="E611" s="171" t="s">
        <v>2384</v>
      </c>
      <c r="F611" s="171" t="s">
        <v>673</v>
      </c>
      <c r="G611" s="171" t="s">
        <v>2385</v>
      </c>
      <c r="H611" s="171" t="s">
        <v>2386</v>
      </c>
      <c r="I611" s="170">
        <v>34</v>
      </c>
      <c r="J611" s="156" t="s">
        <v>574</v>
      </c>
      <c r="K611" s="187"/>
      <c r="L611" s="172" t="s">
        <v>2298</v>
      </c>
      <c r="M611" s="173" t="s">
        <v>651</v>
      </c>
      <c r="N611" s="174" t="s">
        <v>733</v>
      </c>
      <c r="O611" s="174"/>
      <c r="P611" s="174"/>
      <c r="Q611" s="174"/>
      <c r="R611" s="174" t="s">
        <v>736</v>
      </c>
      <c r="S611" s="175" t="s">
        <v>2299</v>
      </c>
      <c r="T611" s="174" t="s">
        <v>678</v>
      </c>
    </row>
    <row r="612" spans="1:20" ht="76.5" customHeight="1">
      <c r="A612" s="159" t="s">
        <v>668</v>
      </c>
      <c r="B612" s="184" t="s">
        <v>669</v>
      </c>
      <c r="C612" s="154" t="s">
        <v>670</v>
      </c>
      <c r="D612" s="161" t="s">
        <v>2387</v>
      </c>
      <c r="E612" s="161" t="s">
        <v>2388</v>
      </c>
      <c r="F612" s="161" t="s">
        <v>673</v>
      </c>
      <c r="G612" s="161" t="s">
        <v>876</v>
      </c>
      <c r="H612" s="161" t="s">
        <v>2386</v>
      </c>
      <c r="I612" s="160">
        <v>43</v>
      </c>
      <c r="J612" s="154" t="s">
        <v>574</v>
      </c>
      <c r="K612" s="185"/>
      <c r="L612" s="163" t="s">
        <v>2298</v>
      </c>
      <c r="M612" s="164" t="s">
        <v>651</v>
      </c>
      <c r="N612" s="165" t="s">
        <v>733</v>
      </c>
      <c r="O612" s="165"/>
      <c r="P612" s="165"/>
      <c r="Q612" s="165"/>
      <c r="R612" s="165" t="s">
        <v>736</v>
      </c>
      <c r="S612" s="166" t="s">
        <v>2389</v>
      </c>
      <c r="T612" s="165" t="s">
        <v>678</v>
      </c>
    </row>
    <row r="613" spans="1:20" ht="76.5" customHeight="1">
      <c r="A613" s="169" t="s">
        <v>668</v>
      </c>
      <c r="B613" s="186" t="s">
        <v>669</v>
      </c>
      <c r="C613" s="156" t="s">
        <v>670</v>
      </c>
      <c r="D613" s="171" t="s">
        <v>2390</v>
      </c>
      <c r="E613" s="171" t="s">
        <v>2391</v>
      </c>
      <c r="F613" s="171" t="s">
        <v>673</v>
      </c>
      <c r="G613" s="171"/>
      <c r="H613" s="171" t="s">
        <v>2386</v>
      </c>
      <c r="I613" s="170">
        <v>400</v>
      </c>
      <c r="J613" s="156" t="s">
        <v>574</v>
      </c>
      <c r="K613" s="187"/>
      <c r="L613" s="172" t="s">
        <v>2298</v>
      </c>
      <c r="M613" s="173" t="s">
        <v>651</v>
      </c>
      <c r="N613" s="174" t="s">
        <v>733</v>
      </c>
      <c r="O613" s="174"/>
      <c r="P613" s="174"/>
      <c r="Q613" s="174"/>
      <c r="R613" s="174" t="s">
        <v>736</v>
      </c>
      <c r="S613" s="175" t="s">
        <v>2331</v>
      </c>
      <c r="T613" s="174" t="s">
        <v>678</v>
      </c>
    </row>
    <row r="614" spans="1:20" ht="76.5" customHeight="1">
      <c r="A614" s="159" t="s">
        <v>668</v>
      </c>
      <c r="B614" s="184" t="s">
        <v>669</v>
      </c>
      <c r="C614" s="154" t="s">
        <v>670</v>
      </c>
      <c r="D614" s="161" t="s">
        <v>2392</v>
      </c>
      <c r="E614" s="161" t="s">
        <v>2393</v>
      </c>
      <c r="F614" s="161" t="s">
        <v>706</v>
      </c>
      <c r="G614" s="161" t="s">
        <v>2394</v>
      </c>
      <c r="H614" s="161" t="s">
        <v>311</v>
      </c>
      <c r="I614" s="160">
        <v>50</v>
      </c>
      <c r="J614" s="154" t="s">
        <v>574</v>
      </c>
      <c r="K614" s="185"/>
      <c r="L614" s="163" t="s">
        <v>2298</v>
      </c>
      <c r="M614" s="164" t="s">
        <v>651</v>
      </c>
      <c r="N614" s="165" t="s">
        <v>733</v>
      </c>
      <c r="O614" s="165"/>
      <c r="P614" s="165"/>
      <c r="Q614" s="165"/>
      <c r="R614" s="165" t="s">
        <v>736</v>
      </c>
      <c r="S614" s="166" t="s">
        <v>1864</v>
      </c>
      <c r="T614" s="165" t="s">
        <v>678</v>
      </c>
    </row>
    <row r="615" spans="1:20" ht="76.5" customHeight="1">
      <c r="A615" s="169" t="s">
        <v>668</v>
      </c>
      <c r="B615" s="186" t="s">
        <v>669</v>
      </c>
      <c r="C615" s="156" t="s">
        <v>670</v>
      </c>
      <c r="D615" s="171" t="s">
        <v>2395</v>
      </c>
      <c r="E615" s="171" t="s">
        <v>2396</v>
      </c>
      <c r="F615" s="171" t="s">
        <v>706</v>
      </c>
      <c r="G615" s="171" t="s">
        <v>2397</v>
      </c>
      <c r="H615" s="171" t="s">
        <v>2314</v>
      </c>
      <c r="I615" s="170">
        <v>50</v>
      </c>
      <c r="J615" s="156" t="s">
        <v>574</v>
      </c>
      <c r="K615" s="187"/>
      <c r="L615" s="172" t="s">
        <v>2298</v>
      </c>
      <c r="M615" s="173" t="s">
        <v>651</v>
      </c>
      <c r="N615" s="174" t="s">
        <v>733</v>
      </c>
      <c r="O615" s="174"/>
      <c r="P615" s="174"/>
      <c r="Q615" s="174"/>
      <c r="R615" s="174" t="s">
        <v>736</v>
      </c>
      <c r="S615" s="175" t="s">
        <v>1864</v>
      </c>
      <c r="T615" s="174" t="s">
        <v>678</v>
      </c>
    </row>
    <row r="616" spans="1:20" ht="76.5" customHeight="1">
      <c r="A616" s="159" t="s">
        <v>668</v>
      </c>
      <c r="B616" s="184" t="s">
        <v>669</v>
      </c>
      <c r="C616" s="154" t="s">
        <v>670</v>
      </c>
      <c r="D616" s="161" t="s">
        <v>2398</v>
      </c>
      <c r="E616" s="161" t="s">
        <v>2399</v>
      </c>
      <c r="F616" s="161" t="s">
        <v>1343</v>
      </c>
      <c r="G616" s="161" t="s">
        <v>1568</v>
      </c>
      <c r="H616" s="161" t="s">
        <v>1162</v>
      </c>
      <c r="I616" s="160">
        <v>46</v>
      </c>
      <c r="J616" s="154" t="s">
        <v>574</v>
      </c>
      <c r="K616" s="185"/>
      <c r="L616" s="163" t="s">
        <v>2298</v>
      </c>
      <c r="M616" s="164" t="s">
        <v>651</v>
      </c>
      <c r="N616" s="165" t="s">
        <v>733</v>
      </c>
      <c r="O616" s="165"/>
      <c r="P616" s="165"/>
      <c r="Q616" s="165"/>
      <c r="R616" s="165" t="s">
        <v>736</v>
      </c>
      <c r="S616" s="166" t="s">
        <v>2400</v>
      </c>
      <c r="T616" s="165" t="s">
        <v>678</v>
      </c>
    </row>
    <row r="617" spans="1:20" ht="76.5" customHeight="1">
      <c r="A617" s="169" t="s">
        <v>668</v>
      </c>
      <c r="B617" s="186" t="s">
        <v>669</v>
      </c>
      <c r="C617" s="156" t="s">
        <v>670</v>
      </c>
      <c r="D617" s="171" t="s">
        <v>2401</v>
      </c>
      <c r="E617" s="171" t="s">
        <v>2402</v>
      </c>
      <c r="F617" s="171" t="s">
        <v>1465</v>
      </c>
      <c r="G617" s="171" t="s">
        <v>2330</v>
      </c>
      <c r="H617" s="171" t="s">
        <v>732</v>
      </c>
      <c r="I617" s="170">
        <v>45</v>
      </c>
      <c r="J617" s="156" t="s">
        <v>574</v>
      </c>
      <c r="K617" s="187"/>
      <c r="L617" s="172" t="s">
        <v>2298</v>
      </c>
      <c r="M617" s="173" t="s">
        <v>651</v>
      </c>
      <c r="N617" s="174" t="s">
        <v>733</v>
      </c>
      <c r="O617" s="174"/>
      <c r="P617" s="174"/>
      <c r="Q617" s="174"/>
      <c r="R617" s="174" t="s">
        <v>736</v>
      </c>
      <c r="S617" s="175" t="s">
        <v>2403</v>
      </c>
      <c r="T617" s="174" t="s">
        <v>678</v>
      </c>
    </row>
    <row r="618" spans="1:20" ht="76.5" customHeight="1">
      <c r="A618" s="159" t="s">
        <v>668</v>
      </c>
      <c r="B618" s="184" t="s">
        <v>669</v>
      </c>
      <c r="C618" s="154" t="s">
        <v>670</v>
      </c>
      <c r="D618" s="161" t="s">
        <v>2404</v>
      </c>
      <c r="E618" s="161" t="s">
        <v>2405</v>
      </c>
      <c r="F618" s="161" t="s">
        <v>706</v>
      </c>
      <c r="G618" s="161" t="s">
        <v>889</v>
      </c>
      <c r="H618" s="161" t="s">
        <v>675</v>
      </c>
      <c r="I618" s="160">
        <v>46</v>
      </c>
      <c r="J618" s="154" t="s">
        <v>574</v>
      </c>
      <c r="K618" s="185"/>
      <c r="L618" s="163" t="s">
        <v>2298</v>
      </c>
      <c r="M618" s="164" t="s">
        <v>651</v>
      </c>
      <c r="N618" s="165" t="s">
        <v>733</v>
      </c>
      <c r="O618" s="165"/>
      <c r="P618" s="165"/>
      <c r="Q618" s="165"/>
      <c r="R618" s="165" t="s">
        <v>736</v>
      </c>
      <c r="S618" s="166" t="s">
        <v>2400</v>
      </c>
      <c r="T618" s="165" t="s">
        <v>678</v>
      </c>
    </row>
    <row r="619" spans="1:20" ht="76.5" customHeight="1">
      <c r="A619" s="169" t="s">
        <v>668</v>
      </c>
      <c r="B619" s="186" t="s">
        <v>669</v>
      </c>
      <c r="C619" s="156" t="s">
        <v>670</v>
      </c>
      <c r="D619" s="171" t="s">
        <v>2406</v>
      </c>
      <c r="E619" s="171" t="s">
        <v>2407</v>
      </c>
      <c r="F619" s="171" t="s">
        <v>706</v>
      </c>
      <c r="G619" s="171" t="s">
        <v>2365</v>
      </c>
      <c r="H619" s="171" t="s">
        <v>2365</v>
      </c>
      <c r="I619" s="170">
        <v>4.5</v>
      </c>
      <c r="J619" s="156" t="s">
        <v>574</v>
      </c>
      <c r="K619" s="187"/>
      <c r="L619" s="172" t="s">
        <v>2298</v>
      </c>
      <c r="M619" s="173" t="s">
        <v>651</v>
      </c>
      <c r="N619" s="174" t="s">
        <v>733</v>
      </c>
      <c r="O619" s="174"/>
      <c r="P619" s="174"/>
      <c r="Q619" s="174"/>
      <c r="R619" s="174" t="s">
        <v>736</v>
      </c>
      <c r="S619" s="175" t="s">
        <v>2408</v>
      </c>
      <c r="T619" s="174" t="s">
        <v>678</v>
      </c>
    </row>
    <row r="620" spans="1:20" ht="76.5" customHeight="1">
      <c r="A620" s="159" t="s">
        <v>668</v>
      </c>
      <c r="B620" s="184" t="s">
        <v>669</v>
      </c>
      <c r="C620" s="154" t="s">
        <v>670</v>
      </c>
      <c r="D620" s="161" t="s">
        <v>2409</v>
      </c>
      <c r="E620" s="161" t="s">
        <v>2410</v>
      </c>
      <c r="F620" s="161" t="s">
        <v>706</v>
      </c>
      <c r="G620" s="161" t="s">
        <v>697</v>
      </c>
      <c r="H620" s="161" t="s">
        <v>747</v>
      </c>
      <c r="I620" s="160">
        <v>27</v>
      </c>
      <c r="J620" s="154" t="s">
        <v>574</v>
      </c>
      <c r="K620" s="185"/>
      <c r="L620" s="163" t="s">
        <v>2298</v>
      </c>
      <c r="M620" s="164" t="s">
        <v>651</v>
      </c>
      <c r="N620" s="165" t="s">
        <v>733</v>
      </c>
      <c r="O620" s="165"/>
      <c r="P620" s="165"/>
      <c r="Q620" s="165"/>
      <c r="R620" s="165" t="s">
        <v>736</v>
      </c>
      <c r="S620" s="166" t="s">
        <v>2411</v>
      </c>
      <c r="T620" s="165" t="s">
        <v>678</v>
      </c>
    </row>
    <row r="621" spans="1:20" ht="76.5" customHeight="1">
      <c r="A621" s="169" t="s">
        <v>668</v>
      </c>
      <c r="B621" s="186" t="s">
        <v>669</v>
      </c>
      <c r="C621" s="156" t="s">
        <v>670</v>
      </c>
      <c r="D621" s="171" t="s">
        <v>2412</v>
      </c>
      <c r="E621" s="171" t="s">
        <v>2413</v>
      </c>
      <c r="F621" s="171" t="s">
        <v>706</v>
      </c>
      <c r="G621" s="171" t="s">
        <v>752</v>
      </c>
      <c r="H621" s="171" t="s">
        <v>747</v>
      </c>
      <c r="I621" s="170">
        <v>44</v>
      </c>
      <c r="J621" s="156" t="s">
        <v>574</v>
      </c>
      <c r="K621" s="187"/>
      <c r="L621" s="172" t="s">
        <v>2298</v>
      </c>
      <c r="M621" s="173" t="s">
        <v>651</v>
      </c>
      <c r="N621" s="174" t="s">
        <v>733</v>
      </c>
      <c r="O621" s="174"/>
      <c r="P621" s="174"/>
      <c r="Q621" s="174"/>
      <c r="R621" s="174" t="s">
        <v>736</v>
      </c>
      <c r="S621" s="175" t="s">
        <v>2414</v>
      </c>
      <c r="T621" s="174" t="s">
        <v>678</v>
      </c>
    </row>
    <row r="622" spans="1:20" ht="58.35" customHeight="1"/>
  </sheetData>
  <sheetProtection sheet="1" objects="1" scenarios="1" formatCells="0" formatColumns="0" formatRows="0"/>
  <hyperlinks>
    <hyperlink ref="A14" r:id="rId1" xr:uid="{6EBC5D56-F09E-4656-8DA0-4079BD0BCD4F}"/>
    <hyperlink ref="A15" r:id="rId2" xr:uid="{C4A63C1F-AC5F-45DC-8EFE-C135D2A1C4F9}"/>
    <hyperlink ref="A16" r:id="rId3" xr:uid="{1AC652AD-F3A0-451F-8DB6-0F763B0FBD7D}"/>
    <hyperlink ref="A17" r:id="rId4" xr:uid="{7BB53C40-4EBB-470F-8FC1-E9BDAE8E1F99}"/>
    <hyperlink ref="A18" r:id="rId5" xr:uid="{BC8859F8-0B89-4E2E-8B76-6E6E9B3A6D87}"/>
    <hyperlink ref="A19" r:id="rId6" xr:uid="{17133DBE-418E-4249-8B2C-5C23B2717268}"/>
    <hyperlink ref="A20" r:id="rId7" xr:uid="{81C19FE4-493E-4B8F-804B-F43AE9E5BB7A}"/>
    <hyperlink ref="A21" r:id="rId8" xr:uid="{BF9A84FC-8E28-4887-A799-10E90D88D3FA}"/>
    <hyperlink ref="A22" r:id="rId9" xr:uid="{5747F711-CF45-4D0E-84F3-EAF4754294C9}"/>
    <hyperlink ref="A23" r:id="rId10" xr:uid="{F410A00B-0302-44D7-8025-CF53CE1E94F5}"/>
    <hyperlink ref="A24" r:id="rId11" xr:uid="{32FC55FF-16A3-46E5-85BE-3319643FA054}"/>
    <hyperlink ref="A25" r:id="rId12" xr:uid="{884C9427-06AF-430E-AA11-6419D8AF366F}"/>
    <hyperlink ref="A26" r:id="rId13" xr:uid="{B45F236C-104F-4AC1-BD76-34421DA758C4}"/>
    <hyperlink ref="A27" r:id="rId14" xr:uid="{7E7E0305-7070-450C-ACB6-2140EDB67187}"/>
    <hyperlink ref="A28" r:id="rId15" xr:uid="{C0DB7210-FDA1-4F53-BA60-9131AC63F3C1}"/>
    <hyperlink ref="A29" r:id="rId16" xr:uid="{8D2949CE-0187-4CBA-ABF0-85CA82EC9FB4}"/>
    <hyperlink ref="A30" r:id="rId17" xr:uid="{54DF4EC5-C71C-4E15-A14F-09E28BBCA1FD}"/>
    <hyperlink ref="A31" r:id="rId18" xr:uid="{EB270123-010B-4900-B4FB-3B4C3BB155CF}"/>
    <hyperlink ref="A32" r:id="rId19" xr:uid="{8E9CB818-D11C-4823-A6FD-9D4301540680}"/>
    <hyperlink ref="A33" r:id="rId20" xr:uid="{5AF0D739-4111-4769-A4B5-C99EBFF5E861}"/>
    <hyperlink ref="A34" r:id="rId21" xr:uid="{244E501E-4C88-4BFE-8BC9-F2E8A469C3B7}"/>
    <hyperlink ref="A35" r:id="rId22" xr:uid="{4DB910B0-A923-4631-ACCC-1891D94F561E}"/>
    <hyperlink ref="A36" r:id="rId23" xr:uid="{BF82E7E5-F1F1-4F0D-80FA-5238ECDACB26}"/>
    <hyperlink ref="A37" r:id="rId24" xr:uid="{B1CBB2B6-9218-4984-B3AE-BC884952BE15}"/>
    <hyperlink ref="A38" r:id="rId25" xr:uid="{EEBACAEB-A6AE-4FC2-BFA7-BA1886144CBC}"/>
    <hyperlink ref="A39" r:id="rId26" xr:uid="{8309488E-9FCA-4269-A94E-4F62914CFDE3}"/>
    <hyperlink ref="A40" r:id="rId27" xr:uid="{8A0BC3CB-17A9-46AB-9B59-EC385FC143F3}"/>
    <hyperlink ref="A41" r:id="rId28" xr:uid="{4707695D-8DCB-4859-BFCA-6EEAB8843583}"/>
    <hyperlink ref="A42" r:id="rId29" xr:uid="{87057FEC-1DE0-490D-B984-6174B0BCF629}"/>
    <hyperlink ref="A43" r:id="rId30" xr:uid="{B07F7FB4-1213-4062-B711-566D635D3133}"/>
    <hyperlink ref="A44" r:id="rId31" xr:uid="{BDB9B502-2C6B-45A2-867E-ABCEED5E92C3}"/>
    <hyperlink ref="A45" r:id="rId32" xr:uid="{9C949AB4-E09D-4EB3-A7EE-140CE975CE40}"/>
    <hyperlink ref="A46" r:id="rId33" xr:uid="{DF5FEE33-ACE5-4E7E-A5E1-D1442A6F3EA9}"/>
    <hyperlink ref="A47" r:id="rId34" xr:uid="{7B943ED0-3C75-4E9D-8848-0C9CE9520A6D}"/>
    <hyperlink ref="A48" r:id="rId35" xr:uid="{5F1E25B7-D1C4-4C3C-88A3-E52281E996C8}"/>
    <hyperlink ref="A49" r:id="rId36" xr:uid="{1A64677D-51BB-49B9-A346-7675B8F52101}"/>
    <hyperlink ref="A50" r:id="rId37" xr:uid="{7F4DFBB5-C86A-4EC6-8D06-5446151004BF}"/>
    <hyperlink ref="A51" r:id="rId38" xr:uid="{9CF016CB-1BA8-4D35-81E5-CC114A918CED}"/>
    <hyperlink ref="A52" r:id="rId39" xr:uid="{E77D198F-1DE7-41A7-80E4-5AECCAAE34B7}"/>
    <hyperlink ref="A53" r:id="rId40" xr:uid="{23FF806B-3AA6-45B8-89A8-18331C88D35A}"/>
    <hyperlink ref="A54" r:id="rId41" xr:uid="{86197640-B8E2-4C94-AD58-D4EE6AC2529C}"/>
    <hyperlink ref="A55" r:id="rId42" xr:uid="{D75F2B53-9920-4095-920E-DEB1DE245799}"/>
    <hyperlink ref="A56" r:id="rId43" xr:uid="{E89CF6C4-FDC9-4C23-A1A0-7066FBFF7780}"/>
    <hyperlink ref="A57" r:id="rId44" xr:uid="{62BBD878-BEC9-405D-9517-C810B58387A8}"/>
    <hyperlink ref="A58" r:id="rId45" xr:uid="{328E9D54-27C7-41BC-8A64-336B13B848CA}"/>
    <hyperlink ref="A59" r:id="rId46" xr:uid="{A4765053-B2A0-405F-869A-58032C992C61}"/>
    <hyperlink ref="A60" r:id="rId47" xr:uid="{BD6C6BE6-7975-4FF0-BB31-E06CD9C668ED}"/>
    <hyperlink ref="A61" r:id="rId48" xr:uid="{FEB67621-7644-494C-84D6-69DB25B7A517}"/>
    <hyperlink ref="A62" r:id="rId49" xr:uid="{7E3F7759-149A-4A00-AC52-137516BD2ECE}"/>
    <hyperlink ref="A63" r:id="rId50" xr:uid="{C7B72F10-54BB-4911-8F17-B4F055BDE6FC}"/>
    <hyperlink ref="A64" r:id="rId51" xr:uid="{D1EFFA57-EAB2-4101-BEC1-42B66C3EF181}"/>
    <hyperlink ref="A65" r:id="rId52" xr:uid="{5E5407AB-A577-4F92-83C0-2B4C76B0A313}"/>
    <hyperlink ref="A66" r:id="rId53" xr:uid="{DABB1C48-C55C-416F-9B60-97F973C23381}"/>
    <hyperlink ref="A67" r:id="rId54" xr:uid="{6CA7D1EB-A80E-4145-9157-A1B458E7254E}"/>
    <hyperlink ref="A68" r:id="rId55" xr:uid="{1A744B25-6A68-4F3C-A9FC-5C6D86FA6D87}"/>
    <hyperlink ref="A69" r:id="rId56" xr:uid="{95E93899-EF85-48EC-9D82-CB18AFA24894}"/>
    <hyperlink ref="A70" r:id="rId57" xr:uid="{F32B4176-4366-4D78-9F31-4DC17247B4B6}"/>
    <hyperlink ref="A71" r:id="rId58" xr:uid="{00986AE8-59E4-4AB9-ABCD-23224D6333F0}"/>
    <hyperlink ref="A72" r:id="rId59" xr:uid="{D0C25B7A-7ED1-4B07-9064-A65D5F621ECC}"/>
    <hyperlink ref="A73" r:id="rId60" xr:uid="{27DEE7CA-19B3-4D42-BDEC-45FCD33279C4}"/>
    <hyperlink ref="A74" r:id="rId61" xr:uid="{6FCFB58F-5EF0-4E8B-9B24-94530A77F5D8}"/>
    <hyperlink ref="A75" r:id="rId62" xr:uid="{ED9C6029-E09E-4A97-882B-A1A71A778CA9}"/>
    <hyperlink ref="A76" r:id="rId63" xr:uid="{5E6A79D5-BBA5-48C3-A0FA-BF50432238CF}"/>
    <hyperlink ref="A77" r:id="rId64" xr:uid="{AD7CDCB7-75CC-4DA0-B931-14B105E127B1}"/>
    <hyperlink ref="A78" r:id="rId65" xr:uid="{4858766D-A160-4DE2-8DF7-153A9F2B6866}"/>
    <hyperlink ref="A79" r:id="rId66" xr:uid="{2EA93383-8E1D-4B6A-AB92-B3A9E97E2C55}"/>
    <hyperlink ref="A80" r:id="rId67" xr:uid="{3F04298B-2F4C-455B-9768-0551DBB0AEEF}"/>
    <hyperlink ref="A81" r:id="rId68" xr:uid="{9494011C-299E-42CB-B8D7-347CD97EAD1A}"/>
    <hyperlink ref="A82" r:id="rId69" xr:uid="{46AACA45-3796-457F-A537-F699058BFB7B}"/>
    <hyperlink ref="A83" r:id="rId70" xr:uid="{CDA0598A-BDAB-4355-A62B-6506ED479D65}"/>
    <hyperlink ref="A84" r:id="rId71" xr:uid="{12CC730F-4630-4691-B9C6-6743DA665A15}"/>
    <hyperlink ref="A85" r:id="rId72" xr:uid="{ED24F377-DF8D-4912-8271-EFD7D7EF9019}"/>
    <hyperlink ref="A86" r:id="rId73" xr:uid="{2294CB88-3BB6-4B2B-88BD-7686E5E390F4}"/>
    <hyperlink ref="A87" r:id="rId74" xr:uid="{59AE1C4D-9499-4E08-A735-76772F853EB0}"/>
    <hyperlink ref="A88" r:id="rId75" xr:uid="{A140697D-4F11-45ED-BFF4-76484D7E9A49}"/>
    <hyperlink ref="A89" r:id="rId76" xr:uid="{EAD0F4C8-B268-4CCD-81D0-232E84674B97}"/>
    <hyperlink ref="A90" r:id="rId77" xr:uid="{2870622C-C4FB-4F6F-9447-1E2425F0E4C6}"/>
    <hyperlink ref="A91" r:id="rId78" xr:uid="{D6847CB9-D42F-45DA-B120-FC4152727217}"/>
    <hyperlink ref="A92" r:id="rId79" xr:uid="{8F7EEAB5-7EEF-4328-A92B-CE571D3B1207}"/>
    <hyperlink ref="A93" r:id="rId80" xr:uid="{3B639435-8B25-4373-9A7D-FE85EB384543}"/>
    <hyperlink ref="A94" r:id="rId81" xr:uid="{799ADB60-5B4D-4527-8441-DE598C2BA7FB}"/>
    <hyperlink ref="A95" r:id="rId82" xr:uid="{FD8F109C-232A-4225-A6DD-793916A41C38}"/>
    <hyperlink ref="A96" r:id="rId83" xr:uid="{FCC9E56A-7E42-43B5-844C-0E6280D554C5}"/>
    <hyperlink ref="A97" r:id="rId84" xr:uid="{97D7BE96-B2C4-444E-999B-AF5633013711}"/>
    <hyperlink ref="A98" r:id="rId85" xr:uid="{5AD753DE-5A91-4BC8-9D8A-BF0FE20025EA}"/>
    <hyperlink ref="A99" r:id="rId86" xr:uid="{6BACA731-BF5D-4375-BBF4-ACF396CB5F1E}"/>
    <hyperlink ref="A100" r:id="rId87" xr:uid="{B0D3514B-4795-455E-B105-CE81D5DC77DC}"/>
    <hyperlink ref="A101" r:id="rId88" xr:uid="{64F30EFC-A904-4E4D-BFBB-3EA39405A6A2}"/>
    <hyperlink ref="A102" r:id="rId89" xr:uid="{F686046A-AF39-4FD3-BCBD-33BAE1450659}"/>
    <hyperlink ref="A103" r:id="rId90" xr:uid="{FD45FA51-7CF8-4DE0-8C75-09A5F1FDCD97}"/>
    <hyperlink ref="A104" r:id="rId91" xr:uid="{8148070F-F98B-4E98-A542-4178CFF01FFA}"/>
    <hyperlink ref="A105" r:id="rId92" xr:uid="{2D2EA4D9-78DB-4567-A6C0-58EC848A593D}"/>
    <hyperlink ref="A106" r:id="rId93" xr:uid="{BD4D1B58-C663-4281-ACFB-9FE65DA5827E}"/>
    <hyperlink ref="A107" r:id="rId94" xr:uid="{4B9EBB69-F239-4138-B782-681E7341BBBB}"/>
    <hyperlink ref="A108" r:id="rId95" xr:uid="{2594B9F0-05DB-4798-B9A1-50165928B1CC}"/>
    <hyperlink ref="A109" r:id="rId96" xr:uid="{C0C63AE3-788E-4EFC-A953-9AB6424DB5C0}"/>
    <hyperlink ref="A110" r:id="rId97" xr:uid="{6D15B4DF-D2EA-4355-9170-A42AFC72E6D8}"/>
    <hyperlink ref="A111" r:id="rId98" xr:uid="{9293D738-322E-4A15-BEE4-5A4A7D636425}"/>
    <hyperlink ref="A112" r:id="rId99" xr:uid="{45A0224E-EF3D-4116-9108-4E0897D6CE41}"/>
    <hyperlink ref="A113" r:id="rId100" xr:uid="{FF296D18-E119-4861-8279-6AE384F3EBAE}"/>
    <hyperlink ref="A114" r:id="rId101" xr:uid="{C1361427-43C4-4AB0-BD85-D2DB0B3192B4}"/>
    <hyperlink ref="A115" r:id="rId102" xr:uid="{9015B45D-5D39-4ECC-861A-546265F4A991}"/>
    <hyperlink ref="A116" r:id="rId103" xr:uid="{36A58647-32BE-4A63-A223-AD40BDB322E8}"/>
    <hyperlink ref="A117" r:id="rId104" xr:uid="{EA4FD914-41C3-49F0-918D-4569E43DB687}"/>
    <hyperlink ref="A118" r:id="rId105" xr:uid="{30C150EA-C757-484C-929B-674A9A61EF67}"/>
    <hyperlink ref="A119" r:id="rId106" xr:uid="{13CA2E75-114C-49C9-804A-6C1213B8F080}"/>
    <hyperlink ref="A120" r:id="rId107" xr:uid="{CB294346-2E44-43A6-81FB-6BAD17CBB4AE}"/>
    <hyperlink ref="A121" r:id="rId108" xr:uid="{D005DBA2-02AD-40A5-B93F-1F30451A7AA8}"/>
    <hyperlink ref="A122" r:id="rId109" xr:uid="{994CBA00-B4E0-4DC8-91D0-9B67E671F328}"/>
    <hyperlink ref="A123" r:id="rId110" xr:uid="{CB0B10B7-22AD-48D1-B344-98486C3C040A}"/>
    <hyperlink ref="A124" r:id="rId111" xr:uid="{D3663BF4-8172-4A85-88E5-16899AF0F94B}"/>
    <hyperlink ref="A125" r:id="rId112" xr:uid="{EAC39011-49B0-4D98-8AEF-89C59BE26CE6}"/>
    <hyperlink ref="A126" r:id="rId113" xr:uid="{0C8A40DF-BA55-41E6-B17C-0A167EA5B2C7}"/>
    <hyperlink ref="A127" r:id="rId114" xr:uid="{5360751D-8432-467B-B47A-8C2308194436}"/>
    <hyperlink ref="A128" r:id="rId115" xr:uid="{43D94D95-A3D8-4DFA-9FF5-6B759520D28E}"/>
    <hyperlink ref="A129" r:id="rId116" xr:uid="{5EC5A2E0-8A14-4707-908C-CDF9214CC363}"/>
    <hyperlink ref="A130" r:id="rId117" xr:uid="{ED85C168-544F-44DA-9BFF-59B49E6BFC8C}"/>
    <hyperlink ref="A131" r:id="rId118" xr:uid="{417668E0-B77F-4292-95E5-21A6DB3796F0}"/>
    <hyperlink ref="A132" r:id="rId119" xr:uid="{71AA1B4A-AE21-460F-A028-0634808968D0}"/>
    <hyperlink ref="A133" r:id="rId120" xr:uid="{92DB8271-ACE3-45A0-81C4-3CB902096751}"/>
    <hyperlink ref="A134" r:id="rId121" xr:uid="{A286A82E-6318-4489-AF72-1F92C2C3A613}"/>
    <hyperlink ref="A135" r:id="rId122" xr:uid="{03B5F171-002F-4786-B24A-B4BC24E91B66}"/>
    <hyperlink ref="A136" r:id="rId123" xr:uid="{D228FA61-1140-4E0A-A610-4BD81D90EDF7}"/>
    <hyperlink ref="A137" r:id="rId124" xr:uid="{6D6BF4B0-CEA0-4714-AE1A-D55DE9DE064F}"/>
    <hyperlink ref="A138" r:id="rId125" xr:uid="{26E804CB-8913-4A96-B880-C4C2CB7335A8}"/>
    <hyperlink ref="A139" r:id="rId126" xr:uid="{C6E56A9E-EA12-46CA-88F9-21A5F7E32D85}"/>
    <hyperlink ref="A140" r:id="rId127" xr:uid="{4B7BC2FB-2865-449F-B0F5-7DA92BCFA6CB}"/>
    <hyperlink ref="A141" r:id="rId128" xr:uid="{63B647E9-10BE-419F-BDCD-C1EAA5BF8AB8}"/>
    <hyperlink ref="A142" r:id="rId129" xr:uid="{7496D1AC-A4CA-4994-8C1D-AE7DA1F4C266}"/>
    <hyperlink ref="A143" r:id="rId130" xr:uid="{530459EA-6818-41E6-930D-1542CA5ACEEB}"/>
    <hyperlink ref="A144" r:id="rId131" xr:uid="{FAA6E314-7761-4CF1-B567-AD8A3BF1105C}"/>
    <hyperlink ref="A145" r:id="rId132" xr:uid="{26F3C456-1805-44C8-801C-73DBFC156F46}"/>
    <hyperlink ref="A146" r:id="rId133" xr:uid="{040A8BCA-7EF3-44E3-ADD0-21AD3BFA5721}"/>
    <hyperlink ref="A147" r:id="rId134" xr:uid="{DF5BE75C-C167-4475-9B96-A9D6D1FE05BE}"/>
    <hyperlink ref="A148" r:id="rId135" xr:uid="{39144777-5095-45F1-83D1-1DA9CA7FC9FA}"/>
    <hyperlink ref="A149" r:id="rId136" xr:uid="{2FE70366-907C-4DA9-98BA-D9A47246A06A}"/>
    <hyperlink ref="A150" r:id="rId137" xr:uid="{8EF22E5B-D66E-429D-BA24-8D222152E650}"/>
    <hyperlink ref="A151" r:id="rId138" xr:uid="{014500B0-A1BA-4279-9FC9-B8DEDCFF932F}"/>
    <hyperlink ref="A152" r:id="rId139" xr:uid="{6E6059ED-6F83-4139-A6BB-2935C880EA35}"/>
    <hyperlink ref="A153" r:id="rId140" xr:uid="{E73B0603-325A-41C2-8360-B1FA596F98AB}"/>
    <hyperlink ref="A154" r:id="rId141" xr:uid="{C2E9019C-3FE8-4FA3-9E4C-D9BF84BB9A8B}"/>
    <hyperlink ref="A155" r:id="rId142" xr:uid="{6160DCB7-F933-46BF-911E-1DDCF0886393}"/>
    <hyperlink ref="A156" r:id="rId143" xr:uid="{F6CF3BE5-BA57-4215-B431-8694A814208A}"/>
    <hyperlink ref="A157" r:id="rId144" xr:uid="{128B65ED-31EA-4EB3-BF5A-13B2568A4026}"/>
    <hyperlink ref="A158" r:id="rId145" xr:uid="{11F79D28-BDFE-4F23-A195-F206EFA8C0BF}"/>
    <hyperlink ref="A159" r:id="rId146" xr:uid="{98B2460F-F2BC-4413-9370-C892B5905B45}"/>
    <hyperlink ref="A160" r:id="rId147" xr:uid="{3D58B908-2D23-4A16-98D6-CB368AE8B5D7}"/>
    <hyperlink ref="A161" r:id="rId148" xr:uid="{8DB6C509-A162-4C1F-962A-3D65BD125074}"/>
    <hyperlink ref="A162" r:id="rId149" xr:uid="{FF7E7DD8-4C2A-4961-A170-14D14F785DD8}"/>
    <hyperlink ref="A163" r:id="rId150" xr:uid="{6953A44E-032B-4605-87B8-59B6E2559D5E}"/>
    <hyperlink ref="A164" r:id="rId151" xr:uid="{55E95127-D931-4A6A-BC43-97AE6255F76A}"/>
    <hyperlink ref="A165" r:id="rId152" xr:uid="{09D10246-5309-4D78-A682-517CADDAE873}"/>
    <hyperlink ref="A166" r:id="rId153" xr:uid="{C93F8DBD-ADF6-4074-B6DF-930D4A1C3AFA}"/>
    <hyperlink ref="A167" r:id="rId154" xr:uid="{9F6B8FE7-1612-41BD-A834-26BD4B8DBD9C}"/>
    <hyperlink ref="A168" r:id="rId155" xr:uid="{81549B26-E160-40E6-A72A-AC1613394CEB}"/>
    <hyperlink ref="A169" r:id="rId156" xr:uid="{55ADDA50-D8B9-4AB8-BBE5-15B9DAB6DC27}"/>
    <hyperlink ref="A170" r:id="rId157" xr:uid="{12749617-9BCD-4A9C-9410-3666EA0E6294}"/>
    <hyperlink ref="A171" r:id="rId158" xr:uid="{EE4A05BA-A2B9-405A-84CE-C681A1C33BBC}"/>
    <hyperlink ref="A172" r:id="rId159" xr:uid="{DBBB46B9-89BD-439F-A899-6DDB990B8831}"/>
    <hyperlink ref="A173" r:id="rId160" xr:uid="{846F5D6E-650A-4703-9620-B86F49D7395F}"/>
    <hyperlink ref="A174" r:id="rId161" xr:uid="{A10BF064-567D-48ED-8770-5432609E2BAB}"/>
    <hyperlink ref="A175" r:id="rId162" xr:uid="{7D982439-F9B3-4437-88BC-669064EE4855}"/>
    <hyperlink ref="A176" r:id="rId163" xr:uid="{53355A03-A996-4D45-B6B7-3E14C208A7FE}"/>
    <hyperlink ref="A177" r:id="rId164" xr:uid="{2117171D-8C07-45AB-8DD3-86F6A3CA2E4F}"/>
    <hyperlink ref="A178" r:id="rId165" xr:uid="{67F40945-804E-47AF-BE71-5B8E70F74B38}"/>
    <hyperlink ref="A179" r:id="rId166" xr:uid="{D26C8C42-6CBE-4D0D-8F61-8A56DC882B58}"/>
    <hyperlink ref="A180" r:id="rId167" xr:uid="{02827EE0-FA5E-48DC-B33E-9AEA0F12B769}"/>
    <hyperlink ref="A181" r:id="rId168" xr:uid="{74A0AC61-50F6-4D3E-B1BD-61B170B62649}"/>
    <hyperlink ref="A182" r:id="rId169" xr:uid="{4AF19F62-8C2B-4F2C-9019-9609014F3532}"/>
    <hyperlink ref="A183" r:id="rId170" xr:uid="{35CD0198-02D2-4E6E-83DB-74CCE79C6E9D}"/>
    <hyperlink ref="A184" r:id="rId171" xr:uid="{A1045557-DAA4-4B6D-B651-FD1028349E33}"/>
    <hyperlink ref="A185" r:id="rId172" xr:uid="{C4D4AD7A-1D1F-4060-83AB-07D030982FEB}"/>
    <hyperlink ref="A186" r:id="rId173" xr:uid="{D37B1FD9-4D51-426A-A71A-C33D23B65D5B}"/>
    <hyperlink ref="A187" r:id="rId174" xr:uid="{E48C13DA-BDD9-4FB9-9E80-CE87A084C33F}"/>
    <hyperlink ref="A188" r:id="rId175" xr:uid="{60A4E6CC-81E9-4286-A494-78D588827E5E}"/>
    <hyperlink ref="A189" r:id="rId176" xr:uid="{70F2B764-67A9-43DE-8416-D838E8D0938D}"/>
    <hyperlink ref="A190" r:id="rId177" xr:uid="{2B44E26B-9169-411E-B06B-B1FCFAC24FE1}"/>
    <hyperlink ref="A191" r:id="rId178" xr:uid="{4169AB52-2850-43C3-939F-9D2DA9B9CDF3}"/>
    <hyperlink ref="A192" r:id="rId179" xr:uid="{8D6AC6BF-9B2D-41D4-A76F-E894217CB7CE}"/>
    <hyperlink ref="A193" r:id="rId180" xr:uid="{D21F780D-01D9-4F73-96BC-927994A2C22B}"/>
    <hyperlink ref="A194" r:id="rId181" xr:uid="{2FA305EC-8126-492B-AA29-ABD11225136E}"/>
    <hyperlink ref="A195" r:id="rId182" xr:uid="{68966881-B42F-4167-BFE7-112855EF76B3}"/>
    <hyperlink ref="A196" r:id="rId183" xr:uid="{FE2439F0-BC86-4334-9CC7-0E1D320296B4}"/>
    <hyperlink ref="A197" r:id="rId184" xr:uid="{B2B27B59-32AD-46B8-A3A3-30052B946CCF}"/>
    <hyperlink ref="A198" r:id="rId185" xr:uid="{9958DCBD-C23E-4FFF-9EE7-A14EC2C5D2B2}"/>
    <hyperlink ref="A199" r:id="rId186" xr:uid="{17D4EBF0-C098-41B4-A704-9D5AE06450FB}"/>
    <hyperlink ref="A200" r:id="rId187" xr:uid="{06D5F9DE-DF07-4C94-A405-567EB38480D8}"/>
    <hyperlink ref="A201" r:id="rId188" xr:uid="{314377A0-344B-4633-8BEA-BEA367B43CA4}"/>
    <hyperlink ref="A202" r:id="rId189" xr:uid="{AF719B9D-EF60-4720-90B8-12A6D4FB5061}"/>
    <hyperlink ref="A203" r:id="rId190" xr:uid="{A33199FE-D38A-42B6-BE39-88290BEF2C44}"/>
    <hyperlink ref="A204" r:id="rId191" xr:uid="{96B80945-6E21-4E67-8B19-7F34DF2E10C6}"/>
    <hyperlink ref="A205" r:id="rId192" xr:uid="{7F5B1120-F625-46E2-80DE-7747AE9E11D8}"/>
    <hyperlink ref="A206" r:id="rId193" xr:uid="{97ADD7C7-6299-4014-9D7E-55FF027EC07D}"/>
    <hyperlink ref="A207" r:id="rId194" xr:uid="{CF1A77A9-65F6-41BA-BCAE-07BD7018017C}"/>
    <hyperlink ref="A208" r:id="rId195" xr:uid="{61028B9E-FC43-4DCE-8F00-823382CE9159}"/>
    <hyperlink ref="A209" r:id="rId196" xr:uid="{56B884D5-850C-46C4-B6A5-42EE787D7EDA}"/>
    <hyperlink ref="A210" r:id="rId197" xr:uid="{58E558CA-6B59-4B27-81DF-70972422C1EB}"/>
    <hyperlink ref="A211" r:id="rId198" xr:uid="{27A5793F-7418-44EC-A3DD-7F4BED242B5C}"/>
    <hyperlink ref="A212" r:id="rId199" xr:uid="{0D5A74C5-B37D-4EEA-9EE5-44D52EBF776A}"/>
    <hyperlink ref="A213" r:id="rId200" xr:uid="{C41D4BDD-59E1-4C92-8F6C-A2354A6F0AAE}"/>
    <hyperlink ref="A214" r:id="rId201" xr:uid="{E79AA35C-ABBF-4790-B98A-1950E50AD4B8}"/>
    <hyperlink ref="A215" r:id="rId202" xr:uid="{8DC8DEC0-B312-453C-8672-E83381D18043}"/>
    <hyperlink ref="A216" r:id="rId203" xr:uid="{2CA2EB76-AE87-4A67-B8FF-B8EABB6B52B9}"/>
    <hyperlink ref="A217" r:id="rId204" xr:uid="{A7D7512B-2437-4DF1-BD61-14D9E59F73F4}"/>
    <hyperlink ref="A218" r:id="rId205" xr:uid="{7F2A2204-6F1F-4F09-B898-22F1203F15E4}"/>
    <hyperlink ref="A219" r:id="rId206" xr:uid="{FCA47C35-B27C-494E-BA70-63ED5ECE3C44}"/>
    <hyperlink ref="A220" r:id="rId207" xr:uid="{883950AC-9CF8-4FD4-B3D7-B8F91583AF77}"/>
    <hyperlink ref="A221" r:id="rId208" xr:uid="{EB39A1A6-102E-4A39-8F5A-2684EC43B1A4}"/>
    <hyperlink ref="A222" r:id="rId209" xr:uid="{C34FACD9-3510-41BC-A0AC-247DB156F2BC}"/>
    <hyperlink ref="A223" r:id="rId210" xr:uid="{E795B75F-75BA-4C30-A2B6-CF98C58A8545}"/>
    <hyperlink ref="A224" r:id="rId211" xr:uid="{AC644647-0DBB-4A60-989A-4ACADA033EEF}"/>
    <hyperlink ref="A225" r:id="rId212" xr:uid="{EC503159-B904-4773-8F0E-C917B9176050}"/>
    <hyperlink ref="A226" r:id="rId213" xr:uid="{00BA9557-F464-4869-A2F1-4A1E26B6F8F3}"/>
    <hyperlink ref="A227" r:id="rId214" xr:uid="{E5E16982-7317-4FC4-8C06-2C04A9684570}"/>
    <hyperlink ref="A228" r:id="rId215" xr:uid="{7E6F4C2E-DCD6-475C-A929-F4F514E698AF}"/>
    <hyperlink ref="A229" r:id="rId216" xr:uid="{2E21A9BC-8A9C-4E45-8714-8DA88788F3A9}"/>
    <hyperlink ref="A230" r:id="rId217" xr:uid="{B2DEF703-14ED-4284-9643-49CF7F5EA427}"/>
    <hyperlink ref="A231" r:id="rId218" xr:uid="{B7CE0ECD-AA51-45F2-ABA3-AF79826CCC5A}"/>
    <hyperlink ref="A232" r:id="rId219" xr:uid="{510F08AB-16F3-4E39-BE1A-416A0098E3A2}"/>
    <hyperlink ref="A233" r:id="rId220" xr:uid="{984F3CE2-5268-4204-9C41-ED09C936BBD4}"/>
    <hyperlink ref="A234" r:id="rId221" xr:uid="{BDD30C88-A8A4-4DD0-B2AF-AF0E029EF7AF}"/>
    <hyperlink ref="A235" r:id="rId222" xr:uid="{8BA2B7B1-732C-49ED-A6C5-DDB50F7DF766}"/>
    <hyperlink ref="A236" r:id="rId223" xr:uid="{D4506F18-C723-47E8-898D-DFE2FDE7AC44}"/>
    <hyperlink ref="A237" r:id="rId224" xr:uid="{59DF1951-43FB-444A-9087-9AB1F49A62DB}"/>
    <hyperlink ref="A238" r:id="rId225" xr:uid="{979BE577-267C-4821-BC3B-37314B5BE155}"/>
    <hyperlink ref="A239" r:id="rId226" xr:uid="{6B57A067-CD3F-4DDF-A327-0858C1538735}"/>
    <hyperlink ref="A240" r:id="rId227" xr:uid="{C785C64A-1CCC-4439-A478-155BFC14F160}"/>
    <hyperlink ref="A241" r:id="rId228" xr:uid="{3339482F-A2BE-4443-9758-F55DFD9F4516}"/>
    <hyperlink ref="A242" r:id="rId229" xr:uid="{D41EBAFF-2B31-4CD0-8A33-495EAE0F5243}"/>
    <hyperlink ref="A243" r:id="rId230" xr:uid="{4B78C244-5C25-40CC-9C5D-DFE86C98D93F}"/>
    <hyperlink ref="A244" r:id="rId231" xr:uid="{88455792-DDFB-49D4-9A85-807D041AB661}"/>
    <hyperlink ref="A245" r:id="rId232" xr:uid="{6EE0D49B-A4A8-46A8-92F1-1F89DCD4B1FA}"/>
    <hyperlink ref="A246" r:id="rId233" xr:uid="{DF753ADF-15B4-4DF1-B864-7B729DB85C2C}"/>
    <hyperlink ref="A247" r:id="rId234" xr:uid="{122558F2-5D20-40A2-990F-924E06950936}"/>
    <hyperlink ref="A248" r:id="rId235" xr:uid="{92E8BCCD-08F2-412D-91FC-8527C39B0F07}"/>
    <hyperlink ref="A249" r:id="rId236" xr:uid="{F25AA83D-F88C-4881-A24A-8789B590FB75}"/>
    <hyperlink ref="A250" r:id="rId237" xr:uid="{99010ADA-0A43-4D33-A75A-FC1E70D6E5B0}"/>
    <hyperlink ref="A251" r:id="rId238" xr:uid="{C40B35FB-DBE4-4901-8C27-C610C931D17B}"/>
    <hyperlink ref="A252" r:id="rId239" xr:uid="{7D5ADF87-A54F-488D-8A93-06CD7B3216AE}"/>
    <hyperlink ref="A253" r:id="rId240" xr:uid="{54E3D941-09F0-45E6-9592-4B3EF50BC0C8}"/>
    <hyperlink ref="A254" r:id="rId241" xr:uid="{583B8641-17C8-4D20-87AB-9256938CCDA1}"/>
    <hyperlink ref="A255" r:id="rId242" xr:uid="{66A04ADD-522C-4004-8FB1-A20898922D71}"/>
    <hyperlink ref="A256" r:id="rId243" xr:uid="{2613C123-EE75-4B74-8127-44FAD7CD0DED}"/>
    <hyperlink ref="A257" r:id="rId244" xr:uid="{8E201873-A352-43E0-855F-518B72DB48D8}"/>
    <hyperlink ref="A258" r:id="rId245" xr:uid="{A5417832-1EDE-449A-926A-A2EF3EE14259}"/>
    <hyperlink ref="A259" r:id="rId246" xr:uid="{B4A5E376-02F9-4ACA-A999-B6EE327FDED3}"/>
    <hyperlink ref="A260" r:id="rId247" xr:uid="{442AED78-D4E2-4523-A279-B06428210E62}"/>
    <hyperlink ref="A261" r:id="rId248" xr:uid="{0C2B66CB-4636-4FA2-A429-E040E446554C}"/>
    <hyperlink ref="A262" r:id="rId249" xr:uid="{B169D827-6482-4641-8261-C57BAF593398}"/>
    <hyperlink ref="A263" r:id="rId250" xr:uid="{58CB63CC-FE96-486B-BA89-509173E28771}"/>
    <hyperlink ref="A264" r:id="rId251" xr:uid="{C2FA60C8-EE72-4E80-AB49-31B9E77B6F38}"/>
    <hyperlink ref="A265" r:id="rId252" xr:uid="{E5ABA27F-011D-48E1-BDEE-3E66F00AA42F}"/>
    <hyperlink ref="A266" r:id="rId253" xr:uid="{EFA9FECC-A729-4076-BE46-ABAA58AE4F24}"/>
    <hyperlink ref="A267" r:id="rId254" xr:uid="{A79CA471-8267-40FA-BCB9-1B1CA70CC295}"/>
    <hyperlink ref="A268" r:id="rId255" xr:uid="{EBE59388-0D7C-4003-95C8-F92A9942DDDA}"/>
    <hyperlink ref="A269" r:id="rId256" xr:uid="{80D8F55C-7BCA-4FB3-9EFF-FD4967F4D6C5}"/>
    <hyperlink ref="A270" r:id="rId257" xr:uid="{F9FBB8C2-54E6-4B78-A9FC-0DDC5C7D9637}"/>
    <hyperlink ref="A271" r:id="rId258" xr:uid="{5BB542DF-96AC-4CEE-BFAA-F485776A88BC}"/>
    <hyperlink ref="A272" r:id="rId259" xr:uid="{05A9C8AE-70A7-4A5A-9D0D-F6ED8B01B9C0}"/>
    <hyperlink ref="A273" r:id="rId260" xr:uid="{890E7492-16D8-4348-A09E-78207F271D7D}"/>
    <hyperlink ref="A274" r:id="rId261" xr:uid="{B726C0D9-E849-4509-B91D-7E5E941588BB}"/>
    <hyperlink ref="A275" r:id="rId262" xr:uid="{36985E2A-E922-4857-874D-16E4310485EB}"/>
    <hyperlink ref="A276" r:id="rId263" xr:uid="{DBA88A82-B610-450C-992A-F325C317309E}"/>
    <hyperlink ref="A277" r:id="rId264" xr:uid="{6F2BAFAD-8256-4D4A-9BAE-AA4BDE07989A}"/>
    <hyperlink ref="A278" r:id="rId265" xr:uid="{1AC185DC-44DB-48B6-9CE6-4039E321DD61}"/>
    <hyperlink ref="A279" r:id="rId266" xr:uid="{7EA71761-6AC9-4ED4-8EE0-979F03E48C51}"/>
    <hyperlink ref="A280" r:id="rId267" xr:uid="{F1AFF51F-9B01-4CCE-BAE7-6532983ABFAA}"/>
    <hyperlink ref="A281" r:id="rId268" xr:uid="{A3311E61-86E4-4567-97D1-71F380BF6600}"/>
    <hyperlink ref="A282" r:id="rId269" xr:uid="{0802A705-D72D-4B4B-A35F-D40293811EBF}"/>
    <hyperlink ref="A283" r:id="rId270" xr:uid="{F44853BA-B1FF-47AD-966E-F8CB3B01A7A0}"/>
    <hyperlink ref="A284" r:id="rId271" xr:uid="{0009B8E3-0BF7-4546-9FAE-4EB453744049}"/>
    <hyperlink ref="A285" r:id="rId272" xr:uid="{BAC3D369-08F3-4514-BFBD-90C5D5C97FD5}"/>
    <hyperlink ref="A286" r:id="rId273" xr:uid="{AFA3380E-3CBF-4ADC-BA24-2A2B42425C53}"/>
    <hyperlink ref="A287" r:id="rId274" xr:uid="{F73FE189-5A05-49E9-9E01-C831597617A1}"/>
    <hyperlink ref="A288" r:id="rId275" xr:uid="{795C961E-13E5-48B2-94FB-CF276879297D}"/>
    <hyperlink ref="A289" r:id="rId276" xr:uid="{F526A135-1A6D-46A2-86A8-1E0D78A24165}"/>
    <hyperlink ref="A290" r:id="rId277" xr:uid="{4A6EA105-0ED9-4218-A68D-BDCB3D11474C}"/>
    <hyperlink ref="A291" r:id="rId278" xr:uid="{1C4E613D-E981-4C00-BBE5-2EED3CC0F6EC}"/>
    <hyperlink ref="A292" r:id="rId279" xr:uid="{AFF38F6C-9D0E-4651-8E7E-C3CDFE104D32}"/>
    <hyperlink ref="A293" r:id="rId280" xr:uid="{F10E618B-99A1-41B3-933C-3700D8BF4C8B}"/>
    <hyperlink ref="A294" r:id="rId281" xr:uid="{27370C9E-A958-42F5-8493-90D030E5077E}"/>
    <hyperlink ref="A295" r:id="rId282" xr:uid="{E6E37DEA-A7A5-46C1-BC9C-CBEB2828217A}"/>
    <hyperlink ref="A296" r:id="rId283" xr:uid="{00E7CB5F-F846-4EA2-AA1C-8952C86EF915}"/>
    <hyperlink ref="A297" r:id="rId284" xr:uid="{7FF0B485-554F-4DFB-89B3-5D591C9CE252}"/>
    <hyperlink ref="A298" r:id="rId285" xr:uid="{F2AA26C8-09EF-443B-8F2C-4B5C0A5C047A}"/>
    <hyperlink ref="A299" r:id="rId286" xr:uid="{1025C03B-303C-4EB6-B938-7D02FFC15894}"/>
    <hyperlink ref="A300" r:id="rId287" xr:uid="{D6ECD07A-2557-4E00-951D-8C7FB76D33D8}"/>
    <hyperlink ref="A301" r:id="rId288" xr:uid="{84EAEEC5-9873-4C9A-B746-CE56D497B126}"/>
    <hyperlink ref="A302" r:id="rId289" xr:uid="{02B55F7B-7917-425A-A397-B8D66FFD9E49}"/>
    <hyperlink ref="A303" r:id="rId290" xr:uid="{7C60B8CD-F78F-4F87-9F0A-6B5B2C98ADBF}"/>
    <hyperlink ref="A304" r:id="rId291" xr:uid="{AC6829F3-2AA0-4691-80C0-75889D02D940}"/>
    <hyperlink ref="A305" r:id="rId292" xr:uid="{4794207A-61FC-4908-9939-A9FADD22BD3C}"/>
    <hyperlink ref="A306" r:id="rId293" xr:uid="{773022E7-6CD0-48DD-A898-10D5D51EB951}"/>
    <hyperlink ref="A307" r:id="rId294" xr:uid="{45EAA7A0-FA82-4DF5-B0E5-2F06A2AFD412}"/>
    <hyperlink ref="A308" r:id="rId295" xr:uid="{9931DAA2-BE6B-4944-A96E-BFAAA592E3B9}"/>
    <hyperlink ref="A309" r:id="rId296" xr:uid="{9C1A3736-7DBE-402E-9064-B2117834B50D}"/>
    <hyperlink ref="A310" r:id="rId297" xr:uid="{9D75C58E-EC63-428C-BA65-22F5DE5DC703}"/>
    <hyperlink ref="A311" r:id="rId298" xr:uid="{30E2B1CE-84BF-42FC-92E4-D88392A1337F}"/>
    <hyperlink ref="A312" r:id="rId299" xr:uid="{ED66107D-7F71-49CD-8F83-33EC39341B1D}"/>
    <hyperlink ref="A313" r:id="rId300" xr:uid="{62C81486-2D69-41B3-BE2B-19C3A3757D08}"/>
    <hyperlink ref="A314" r:id="rId301" xr:uid="{4688CEF8-C650-4C31-AE4A-8ADC200130E4}"/>
    <hyperlink ref="A315" r:id="rId302" xr:uid="{B5D8717A-47D1-432D-A8A6-30BC21343017}"/>
    <hyperlink ref="A316" r:id="rId303" xr:uid="{36DAECBD-6AD3-47F4-8C41-4028AB1AD7DE}"/>
    <hyperlink ref="A317" r:id="rId304" xr:uid="{A9733A57-2ED9-4DE1-96EE-F48123568B2E}"/>
    <hyperlink ref="A318" r:id="rId305" xr:uid="{22AD1860-11C7-449D-9DD0-F38818059E32}"/>
    <hyperlink ref="A319" r:id="rId306" xr:uid="{714A509C-6B2E-468C-8611-A4F34B35BD6E}"/>
    <hyperlink ref="A320" r:id="rId307" xr:uid="{8FBD3F22-4C9F-4BB1-9B77-B7DEF846E1B8}"/>
    <hyperlink ref="A321" r:id="rId308" xr:uid="{E83585EF-A881-43EB-847E-4A97B8DF1640}"/>
    <hyperlink ref="A322" r:id="rId309" xr:uid="{955C9DD5-4A90-4354-B613-1E3976C5603D}"/>
    <hyperlink ref="A323" r:id="rId310" xr:uid="{5DC409F4-D8C6-4195-945A-18E99979F2FA}"/>
    <hyperlink ref="A324" r:id="rId311" xr:uid="{9BF01105-F464-4AFE-88CF-DEE83A80EBD2}"/>
    <hyperlink ref="A325" r:id="rId312" xr:uid="{615CD75A-0E71-4A40-80ED-FD1269979CAA}"/>
    <hyperlink ref="A326" r:id="rId313" xr:uid="{C2B4AF7E-07B1-45F9-995B-9FC89A96AAF8}"/>
    <hyperlink ref="A327" r:id="rId314" xr:uid="{A0713842-9611-4239-B457-CD208B78BC69}"/>
    <hyperlink ref="A328" r:id="rId315" xr:uid="{46486DA7-24EC-4922-93A3-B2394BDA7574}"/>
    <hyperlink ref="A329" r:id="rId316" xr:uid="{A2333422-AB15-4E5B-8071-C3809C67D4A0}"/>
    <hyperlink ref="A330" r:id="rId317" xr:uid="{70CDE1DF-B8F3-4E07-8AA8-C63287F6A1F4}"/>
    <hyperlink ref="A331" r:id="rId318" xr:uid="{B98220CA-BF60-4E4B-A3B9-DC7D79D3E8D2}"/>
    <hyperlink ref="A332" r:id="rId319" xr:uid="{093C291E-B09A-436B-BC00-0CA6332A2626}"/>
    <hyperlink ref="A333" r:id="rId320" xr:uid="{C8D05BA2-FD59-4A4E-8250-3B62A2AEBD4E}"/>
    <hyperlink ref="A334" r:id="rId321" xr:uid="{319619D0-07AA-486D-9E54-0101DDFA0B8A}"/>
    <hyperlink ref="A335" r:id="rId322" xr:uid="{0B151A55-608F-4FE6-A77F-D09391DB2FEF}"/>
    <hyperlink ref="A336" r:id="rId323" xr:uid="{6837D80F-2384-4BCC-8181-9EBA632A973F}"/>
    <hyperlink ref="A337" r:id="rId324" xr:uid="{D0BC3ABA-DBE4-4F7D-BAEC-2A9EDA24C69B}"/>
    <hyperlink ref="A338" r:id="rId325" xr:uid="{35A06934-6050-4D76-9B75-47DCAC33A4DD}"/>
    <hyperlink ref="A339" r:id="rId326" xr:uid="{A95378C0-6071-4979-93F4-C467BB625AF4}"/>
    <hyperlink ref="A340" r:id="rId327" xr:uid="{38F09B11-E3D6-4DAF-A77B-1303962F9A46}"/>
    <hyperlink ref="A341" r:id="rId328" xr:uid="{D925A475-B0D0-463B-9C47-C01F9958C869}"/>
    <hyperlink ref="A342" r:id="rId329" xr:uid="{1AEB5E7A-A33E-401A-B3DC-8A3CA44DCB83}"/>
    <hyperlink ref="A343" r:id="rId330" xr:uid="{30D6322A-F8D2-4906-AB5F-7E58B739655D}"/>
    <hyperlink ref="A344" r:id="rId331" xr:uid="{7148B783-A26D-4166-8B1E-8B88886E4D70}"/>
    <hyperlink ref="A345" r:id="rId332" xr:uid="{812BB2F3-0E56-4B08-AD40-FA69626733E7}"/>
    <hyperlink ref="A346" r:id="rId333" xr:uid="{4E475271-0749-48D4-9B5F-22B0294432DE}"/>
    <hyperlink ref="A347" r:id="rId334" xr:uid="{B6160875-7CE4-47E3-8F7C-2CFA02709EC4}"/>
    <hyperlink ref="A348" r:id="rId335" xr:uid="{48F9FFB8-F42D-4049-B970-0845044815C1}"/>
    <hyperlink ref="A349" r:id="rId336" xr:uid="{E277CD12-4D20-44FD-81E6-B0EA6FEB8ED6}"/>
    <hyperlink ref="A350" r:id="rId337" xr:uid="{526B9FD2-F324-4B18-A228-677A00D55544}"/>
    <hyperlink ref="A351" r:id="rId338" xr:uid="{5053DADB-D419-4837-82E8-E49BB87C1BDD}"/>
    <hyperlink ref="A352" r:id="rId339" xr:uid="{C711DFCF-59EF-4FB5-A4E0-984114578DFF}"/>
    <hyperlink ref="A353" r:id="rId340" xr:uid="{FFB2920A-694C-45D7-8576-F60BB551BB50}"/>
    <hyperlink ref="A354" r:id="rId341" xr:uid="{C9713059-066C-4F22-BAEC-61C05892783B}"/>
    <hyperlink ref="A355" r:id="rId342" xr:uid="{C042627D-610A-432C-AAFB-A276B5D57C55}"/>
    <hyperlink ref="A356" r:id="rId343" xr:uid="{2199FED4-EEDE-4AD1-A197-AF58F14788D3}"/>
    <hyperlink ref="A357" r:id="rId344" xr:uid="{F2EDE74B-71C8-43DC-A1D0-D797677B48B9}"/>
    <hyperlink ref="A358" r:id="rId345" xr:uid="{37D07EF2-ACAF-4481-A1B6-1620293F83C4}"/>
    <hyperlink ref="A359" r:id="rId346" xr:uid="{2D98FC7A-C30E-48BD-948D-BF205BF3C8A4}"/>
    <hyperlink ref="A360" r:id="rId347" xr:uid="{C21CD1E0-02BD-447D-A0B0-704645B918EF}"/>
    <hyperlink ref="A361" r:id="rId348" xr:uid="{F8AC893C-0C1D-4433-A728-8CDDA51983B7}"/>
    <hyperlink ref="A362" r:id="rId349" xr:uid="{683865C1-3F3D-4E68-97A0-0D3937FBF523}"/>
    <hyperlink ref="A363" r:id="rId350" xr:uid="{79706C0B-F832-4E82-AA32-E044121A7F3D}"/>
    <hyperlink ref="A364" r:id="rId351" xr:uid="{F7F72694-3D47-4936-AF80-2E1B93BDDA13}"/>
    <hyperlink ref="A365" r:id="rId352" xr:uid="{C799C6AA-8462-45F1-9440-13A1390C2804}"/>
    <hyperlink ref="A366" r:id="rId353" xr:uid="{568ADA24-0856-4B8D-AB00-9983C1F82734}"/>
    <hyperlink ref="A367" r:id="rId354" xr:uid="{58C3ABD3-0C9F-41EB-8088-2646B892F1C3}"/>
    <hyperlink ref="A368" r:id="rId355" xr:uid="{3DBE5676-9477-4D6A-B035-1C7D1D0D7CEE}"/>
    <hyperlink ref="A369" r:id="rId356" xr:uid="{F2AAE65B-CC1C-47DE-826A-D79FABF15B91}"/>
    <hyperlink ref="A370" r:id="rId357" xr:uid="{AA338F35-E697-4CAE-A38C-9C2213A5E68F}"/>
    <hyperlink ref="A371" r:id="rId358" xr:uid="{97723AA6-4A0D-4B9F-AE60-07E0514F76C1}"/>
    <hyperlink ref="A372" r:id="rId359" xr:uid="{5809F6C9-E8FE-4B4C-B025-37B46FD720C3}"/>
    <hyperlink ref="A373" r:id="rId360" xr:uid="{0A05CABF-C604-45E0-A8B7-13742307A61A}"/>
    <hyperlink ref="A374" r:id="rId361" xr:uid="{94655FEF-7B20-4FB2-B48A-6BB80D30612A}"/>
    <hyperlink ref="A375" r:id="rId362" xr:uid="{1F66EEC8-140C-4FCA-9E38-49747BBD4D9E}"/>
    <hyperlink ref="A376" r:id="rId363" xr:uid="{67B2C5D9-9E19-4953-8C6D-55DA76CE9641}"/>
    <hyperlink ref="A377" r:id="rId364" xr:uid="{DEC499DF-090D-4B4F-AF23-57C64A2C6265}"/>
    <hyperlink ref="A378" r:id="rId365" xr:uid="{2D06EFE7-388A-4091-934E-76FDCFC58CE7}"/>
    <hyperlink ref="A379" r:id="rId366" xr:uid="{3FF95A07-4B31-4AC9-B106-A5B66EF2EE1F}"/>
    <hyperlink ref="A380" r:id="rId367" xr:uid="{0341ABDD-861E-4FE3-8FB4-12BBEF383C3A}"/>
    <hyperlink ref="A381" r:id="rId368" xr:uid="{CBBE1B7B-FE7F-47EB-90D4-74B3FCBA07C5}"/>
    <hyperlink ref="A382" r:id="rId369" xr:uid="{F2FE62EE-5D36-4FFC-8034-FECE78A3072E}"/>
    <hyperlink ref="A383" r:id="rId370" xr:uid="{BE2E4326-5C52-4CE1-94A9-692AD9668247}"/>
    <hyperlink ref="A384" r:id="rId371" xr:uid="{A5ACC26E-299F-47F0-B211-C614511EE695}"/>
    <hyperlink ref="A385" r:id="rId372" xr:uid="{3C7C7572-4DFB-41F1-8EFB-7E7EA100A464}"/>
    <hyperlink ref="A386" r:id="rId373" xr:uid="{3E56325B-5CB9-4ADA-A1E5-5B87825F759A}"/>
    <hyperlink ref="A387" r:id="rId374" xr:uid="{B7F1184F-CB15-40A8-A947-DA5613F39D8C}"/>
    <hyperlink ref="A388" r:id="rId375" xr:uid="{B31635EF-1549-4D9F-9313-2C2302AE9843}"/>
    <hyperlink ref="A389" r:id="rId376" xr:uid="{95D34DE8-86EA-43E4-A121-64B0230BCA4F}"/>
    <hyperlink ref="A390" r:id="rId377" xr:uid="{D41BCFC3-B352-404E-B143-8CEFB19CCF87}"/>
    <hyperlink ref="A391" r:id="rId378" xr:uid="{52BB9597-9ED2-4D89-8E4C-8EBC2C20F12E}"/>
    <hyperlink ref="A392" r:id="rId379" xr:uid="{8D0F6CC0-3C65-479D-AC03-5989264AF269}"/>
    <hyperlink ref="A393" r:id="rId380" xr:uid="{5B7D824F-57D5-45C8-959D-4D3B283775F9}"/>
    <hyperlink ref="A394" r:id="rId381" xr:uid="{16402E4F-B695-4B52-B9F2-A2BDC596BD13}"/>
    <hyperlink ref="A395" r:id="rId382" xr:uid="{D18F6C25-3E77-46AF-B364-FA8BA4BE0E23}"/>
    <hyperlink ref="A396" r:id="rId383" xr:uid="{9BC9EC2C-1AA3-46D0-8ABE-A3C41C8F5D30}"/>
    <hyperlink ref="A397" r:id="rId384" xr:uid="{58356D90-8B1F-4991-B2E5-C9A9745A763A}"/>
    <hyperlink ref="A398" r:id="rId385" xr:uid="{0A94D1EF-C569-4CA1-AEDC-F1D7D937B50E}"/>
    <hyperlink ref="A399" r:id="rId386" xr:uid="{BE689195-03EF-4509-891B-0D22A7A3E7EF}"/>
    <hyperlink ref="A400" r:id="rId387" xr:uid="{AA4B3EAD-BE9E-4FA8-86E1-C2A3C86DD22D}"/>
    <hyperlink ref="A401" r:id="rId388" xr:uid="{C398E7AE-FFF8-497C-AB6E-43083DAEAD27}"/>
    <hyperlink ref="A402" r:id="rId389" xr:uid="{76E145B5-4FCE-41C4-8BCD-51510F4FD6A6}"/>
    <hyperlink ref="A403" r:id="rId390" xr:uid="{C494BCEB-15EC-4F2D-BF47-1C4F8A43CF21}"/>
    <hyperlink ref="A404" r:id="rId391" xr:uid="{5EE8FE5E-5A0B-40ED-A9D9-F5FA7518B89A}"/>
    <hyperlink ref="A405" r:id="rId392" xr:uid="{50EF25E8-BE1A-4AD7-BC09-F6542909C28A}"/>
    <hyperlink ref="A406" r:id="rId393" xr:uid="{9F7716AD-723C-4ABC-B9A7-4D34B1DFB0DB}"/>
    <hyperlink ref="A407" r:id="rId394" xr:uid="{6F179AF1-134B-4711-BFC4-5E59A9851BE9}"/>
    <hyperlink ref="A408" r:id="rId395" xr:uid="{81D9CBA3-B530-4D5A-95E2-C37360FBD72E}"/>
    <hyperlink ref="A409" r:id="rId396" xr:uid="{813BA730-B3CD-4A2A-B26F-511BBA07EA2D}"/>
    <hyperlink ref="A410" r:id="rId397" xr:uid="{715B8858-A351-495D-9387-9158CED3A6B0}"/>
    <hyperlink ref="A411" r:id="rId398" xr:uid="{0E426E5D-9220-45E0-9849-23ADC5B25475}"/>
    <hyperlink ref="A412" r:id="rId399" xr:uid="{6CE0352D-9381-4B23-B469-B14A8B279E07}"/>
    <hyperlink ref="A413" r:id="rId400" xr:uid="{086CCB50-C2E7-4F2D-A902-C3272FF5B730}"/>
    <hyperlink ref="A414" r:id="rId401" xr:uid="{5B4A2ED9-A66E-42CD-81E4-3F1A7D97CA25}"/>
    <hyperlink ref="A415" r:id="rId402" xr:uid="{17CF30E9-7C3A-430C-B1A0-7B6CA834289C}"/>
    <hyperlink ref="A416" r:id="rId403" xr:uid="{C9A07630-1F03-49A5-8C8B-F9B096C96577}"/>
    <hyperlink ref="A417" r:id="rId404" xr:uid="{BCC3FF2A-62D8-434D-8F36-404E6ECED350}"/>
    <hyperlink ref="A418" r:id="rId405" xr:uid="{2DE14A50-6B5B-40F3-AE3E-9C9725D6D6AB}"/>
    <hyperlink ref="A419" r:id="rId406" xr:uid="{EEC260A2-44E1-498A-B7BF-E40D0CB63DED}"/>
    <hyperlink ref="A420" r:id="rId407" xr:uid="{4ADFE4EA-F720-4E39-81A9-41F0BF953E3E}"/>
    <hyperlink ref="A421" r:id="rId408" xr:uid="{5507B867-BD54-424C-8463-0D4E288DDA0A}"/>
    <hyperlink ref="A422" r:id="rId409" xr:uid="{7B3F979C-6583-4071-B5D2-BD06359A7105}"/>
    <hyperlink ref="A423" r:id="rId410" xr:uid="{BC97E570-8C10-41E5-BD89-D2C67A086F09}"/>
    <hyperlink ref="A424" r:id="rId411" xr:uid="{47097E80-CBB3-48CD-A119-7FD931CD6254}"/>
    <hyperlink ref="A425" r:id="rId412" xr:uid="{83BE1A53-5D41-4632-8B51-D44D94FB9A8E}"/>
    <hyperlink ref="A426" r:id="rId413" xr:uid="{9621E118-E8EA-4099-8BA8-9ED35D251CF2}"/>
    <hyperlink ref="A427" r:id="rId414" xr:uid="{708E2453-F433-4402-9B31-A69094280D14}"/>
    <hyperlink ref="A428" r:id="rId415" xr:uid="{0356E852-4EC5-467D-A41D-D99FE076ACDF}"/>
    <hyperlink ref="A429" r:id="rId416" xr:uid="{B7434532-BC93-4E2C-9021-B2957295528D}"/>
    <hyperlink ref="A430" r:id="rId417" xr:uid="{71F8297E-80DB-4955-8E75-2D6D1588976C}"/>
    <hyperlink ref="A431" r:id="rId418" xr:uid="{F5F7A095-48C8-45DC-90B2-6B2FEBE1C79A}"/>
    <hyperlink ref="A432" r:id="rId419" xr:uid="{F207DFF0-8056-4677-AAA9-08E06284703E}"/>
    <hyperlink ref="A433" r:id="rId420" xr:uid="{756B4310-20FD-48BD-B652-4A7E50650159}"/>
    <hyperlink ref="A434" r:id="rId421" xr:uid="{1B841728-369B-4B82-81DB-8FD41203FECA}"/>
    <hyperlink ref="A435" r:id="rId422" xr:uid="{2496FD26-4D10-4DAB-B771-76178B41193E}"/>
    <hyperlink ref="A436" r:id="rId423" xr:uid="{C3392231-404E-4FFD-9B54-780C033B1BB4}"/>
    <hyperlink ref="A437" r:id="rId424" xr:uid="{4D74E0AC-F462-44D2-8065-81B9D762B9DE}"/>
    <hyperlink ref="A438" r:id="rId425" xr:uid="{2C6E0A9F-2F00-4FD4-80A4-A5A68E1D7E1C}"/>
    <hyperlink ref="A439" r:id="rId426" xr:uid="{9DD15505-67C0-4D12-954A-D8FD0AF856B6}"/>
    <hyperlink ref="A440" r:id="rId427" xr:uid="{57172EE0-5377-4A42-86B9-988B5F055B31}"/>
    <hyperlink ref="A441" r:id="rId428" xr:uid="{6478592A-76AF-47AF-ACE0-89581D559420}"/>
    <hyperlink ref="A442" r:id="rId429" xr:uid="{54F13253-EC30-4D9D-956F-706E6E3CD2A6}"/>
    <hyperlink ref="A443" r:id="rId430" xr:uid="{F2FD1508-9EDA-4BFF-9C12-5A2B38FC893C}"/>
    <hyperlink ref="A444" r:id="rId431" xr:uid="{6245AC58-D8D6-4892-BCCE-E213C4071D2E}"/>
    <hyperlink ref="A445" r:id="rId432" xr:uid="{91BC7354-F2EE-48F8-9A36-AC558C30C4FB}"/>
    <hyperlink ref="A446" r:id="rId433" xr:uid="{22FA764B-57CE-403D-9F0D-ED0A9DE9BBC1}"/>
    <hyperlink ref="A447" r:id="rId434" xr:uid="{D9A6907F-3DA5-4941-8776-32CE9C40B233}"/>
    <hyperlink ref="A448" r:id="rId435" xr:uid="{69B4A8A6-9104-474F-8EC7-954A831455F9}"/>
    <hyperlink ref="A449" r:id="rId436" xr:uid="{C3584E63-3C00-4741-801A-7E2918D43158}"/>
    <hyperlink ref="A450" r:id="rId437" xr:uid="{2DA33AC4-834C-4DB8-B95C-9BEA5BDB5D23}"/>
    <hyperlink ref="A451" r:id="rId438" xr:uid="{C01E70A0-F066-4AB5-945A-A12A1BAA2F02}"/>
    <hyperlink ref="A452" r:id="rId439" xr:uid="{7BD102AB-A52A-4967-81E3-4AD8A3EA25D5}"/>
    <hyperlink ref="A453" r:id="rId440" xr:uid="{9A8EF616-6E72-4351-9FAC-CE643368DFC9}"/>
    <hyperlink ref="A454" r:id="rId441" xr:uid="{D4C1C38E-AA52-4E3E-B9C6-77B3C34F5CB9}"/>
    <hyperlink ref="A455" r:id="rId442" xr:uid="{D257822F-7B68-4F1F-ADD4-FBA6397B5834}"/>
    <hyperlink ref="A456" r:id="rId443" xr:uid="{ACEEF7D3-9333-407C-A908-5934444F93BC}"/>
    <hyperlink ref="A457" r:id="rId444" xr:uid="{C42697B8-5806-49A1-BB72-BB27479F04A0}"/>
    <hyperlink ref="A458" r:id="rId445" xr:uid="{5C5D565C-EEBD-49C8-87D7-49CD5C3403D6}"/>
    <hyperlink ref="A459" r:id="rId446" xr:uid="{1ABF5FEF-B854-4D50-BD70-0BCC2B9C7E55}"/>
    <hyperlink ref="A460" r:id="rId447" xr:uid="{3DE35279-8A1D-40E0-8533-5C5E32FBBB28}"/>
    <hyperlink ref="A461" r:id="rId448" xr:uid="{473DA535-60B5-4D18-A421-36D6CFB03300}"/>
    <hyperlink ref="A462" r:id="rId449" xr:uid="{9F0A36FC-8440-49EA-87B3-0555FA74F0EB}"/>
    <hyperlink ref="A463" r:id="rId450" xr:uid="{90ED249F-CA10-47E0-A864-381B9855F49B}"/>
    <hyperlink ref="A464" r:id="rId451" xr:uid="{B2768622-9509-48AF-94A8-E97414E0B12D}"/>
    <hyperlink ref="A465" r:id="rId452" xr:uid="{7536C7D0-0A6B-43CC-BEB0-F1D6B23A78BA}"/>
    <hyperlink ref="A466" r:id="rId453" xr:uid="{A07B209B-0AC0-44EC-8118-9F0B493F34B8}"/>
    <hyperlink ref="A467" r:id="rId454" xr:uid="{504084BC-C8E2-46D4-A672-1FA49FD1380D}"/>
    <hyperlink ref="A468" r:id="rId455" xr:uid="{1E6DBF35-8958-4F0C-A900-D931DB22BB6E}"/>
    <hyperlink ref="A469" r:id="rId456" xr:uid="{DE164177-32B1-4929-B4AC-13111FCBCD76}"/>
    <hyperlink ref="A470" r:id="rId457" xr:uid="{997F849E-1AFC-4182-97A2-EB7453BD4492}"/>
    <hyperlink ref="A471" r:id="rId458" xr:uid="{29B6DF26-0CD7-4B8E-9872-60044EFDDC04}"/>
    <hyperlink ref="A472" r:id="rId459" xr:uid="{34A799EB-82F0-498A-8C28-5862B1238435}"/>
    <hyperlink ref="A473" r:id="rId460" xr:uid="{92590263-D50B-40CC-9A6E-AB5AB15425E8}"/>
    <hyperlink ref="A474" r:id="rId461" xr:uid="{9D2C1E0F-6934-43E2-970B-2263EC867C71}"/>
    <hyperlink ref="A475" r:id="rId462" xr:uid="{62D52904-5240-4DE6-8A07-3BE9D470E487}"/>
    <hyperlink ref="A476" r:id="rId463" xr:uid="{AFA6C918-1D65-4C4D-A646-C5D224BA52B3}"/>
    <hyperlink ref="A477" r:id="rId464" xr:uid="{BA2B29AC-30A2-4B89-AB79-FAD2AE7FAAB0}"/>
    <hyperlink ref="A478" r:id="rId465" xr:uid="{AC6C5928-0FBE-47C2-B151-85AE76A2DD64}"/>
    <hyperlink ref="A479" r:id="rId466" xr:uid="{953B411C-3B07-4FB8-A5D3-0D5D07BB153D}"/>
    <hyperlink ref="A480" r:id="rId467" xr:uid="{E83B38FE-287A-4AFD-ABCB-5DE10A92235A}"/>
    <hyperlink ref="A481" r:id="rId468" xr:uid="{EAA6218A-36BB-4AB7-93AE-F4C4C2D0A172}"/>
    <hyperlink ref="A482" r:id="rId469" xr:uid="{408D0CAD-0B56-4F20-ACD1-1834041D80C9}"/>
    <hyperlink ref="A483" r:id="rId470" xr:uid="{76AB2C2D-7291-41CA-BFB9-84898B502647}"/>
    <hyperlink ref="A484" r:id="rId471" xr:uid="{83CFA325-1E3F-4648-A4FB-3D0648EB5FD8}"/>
    <hyperlink ref="A485" r:id="rId472" xr:uid="{B3C55C12-8F55-46B4-AE00-F993254A8585}"/>
    <hyperlink ref="A486" r:id="rId473" xr:uid="{0C886FAC-118F-405C-B260-22EB49641F2E}"/>
    <hyperlink ref="A487" r:id="rId474" xr:uid="{32267F9E-C3CE-4B2E-91BC-09DFFA05D675}"/>
    <hyperlink ref="A488" r:id="rId475" xr:uid="{1DB902D9-60CB-4671-B46B-AB6B07839656}"/>
    <hyperlink ref="A489" r:id="rId476" xr:uid="{CBB78963-E5AD-4211-BAD5-E1A8A5C382BF}"/>
    <hyperlink ref="A490" r:id="rId477" xr:uid="{92716871-6733-4473-B117-68E898B19123}"/>
    <hyperlink ref="A491" r:id="rId478" xr:uid="{AA6C5FAC-E7F0-482D-B4FA-7537E937D5B8}"/>
    <hyperlink ref="A492" r:id="rId479" xr:uid="{8EE161D0-CC77-40D6-BE88-14877DA89EDD}"/>
    <hyperlink ref="A493" r:id="rId480" xr:uid="{239EFF4C-63EF-4E96-8D6E-F50C0BB4B668}"/>
    <hyperlink ref="A494" r:id="rId481" xr:uid="{071BD7A9-5C4A-4C28-9FC6-AED07E57DB42}"/>
    <hyperlink ref="A495" r:id="rId482" xr:uid="{33CE3B68-B9D6-46E1-A9A8-242A2242BCAD}"/>
    <hyperlink ref="A496" r:id="rId483" xr:uid="{2EF153DB-B93B-4A75-8E69-E1D1513706E2}"/>
    <hyperlink ref="A497" r:id="rId484" xr:uid="{08B8E376-ED6B-4534-A209-FBB76F65F98D}"/>
    <hyperlink ref="A498" r:id="rId485" xr:uid="{B9A9ACEE-01DE-4F79-8DD9-EA351C55AD52}"/>
    <hyperlink ref="A499" r:id="rId486" xr:uid="{C32C2CFF-D547-4FF8-85B3-DD95AB0C1CA8}"/>
    <hyperlink ref="A500" r:id="rId487" xr:uid="{01E6DA9D-FD19-4EA7-8E25-37495C53158F}"/>
    <hyperlink ref="A501" r:id="rId488" xr:uid="{60B3E12A-918F-4ECC-9E59-D3FD597475E5}"/>
    <hyperlink ref="A502" r:id="rId489" xr:uid="{DF98CF7D-36BF-4919-96AF-2090A54F5078}"/>
    <hyperlink ref="A503" r:id="rId490" xr:uid="{E5B747DE-4AEA-456E-8E3C-2DF2772D2B5B}"/>
    <hyperlink ref="A504" r:id="rId491" xr:uid="{B1641CC7-56FB-4514-AFB5-5A646758B103}"/>
    <hyperlink ref="A505" r:id="rId492" xr:uid="{69DECD74-5DCC-478D-88E2-16ED2C95F9A6}"/>
    <hyperlink ref="A506" r:id="rId493" xr:uid="{614B9CD9-A012-48D5-80D4-E2DE1A2D4E35}"/>
    <hyperlink ref="A507" r:id="rId494" xr:uid="{2A6EE44D-DC36-45B6-8A1A-C8A1566DFAF0}"/>
    <hyperlink ref="A508" r:id="rId495" xr:uid="{DC2BE1BD-2E07-4D93-BDFD-C5670326ACD4}"/>
    <hyperlink ref="A509" r:id="rId496" xr:uid="{BA8AFAB8-1EA6-47BD-BAE2-26F7BEFE5BE3}"/>
    <hyperlink ref="A510" r:id="rId497" xr:uid="{8C331BDA-43F2-4BD0-BF53-CA51DF30FE2E}"/>
    <hyperlink ref="A511" r:id="rId498" xr:uid="{2B49247B-7157-46D6-BE73-A6689E99AFA1}"/>
    <hyperlink ref="A512" r:id="rId499" xr:uid="{3A32C2EB-F633-466B-AE95-6C7B71289B98}"/>
    <hyperlink ref="A513" r:id="rId500" xr:uid="{EC4AF093-1595-4B80-A760-E3A6D2295296}"/>
    <hyperlink ref="A514" r:id="rId501" xr:uid="{4387D45B-8458-4743-8DB4-9EA285DAF16A}"/>
    <hyperlink ref="A515" r:id="rId502" xr:uid="{858302BE-C4D8-4FEA-8F8D-1437518279A4}"/>
    <hyperlink ref="A516" r:id="rId503" xr:uid="{24478ABC-93F0-49EC-863F-404D6FDA10B9}"/>
    <hyperlink ref="A517" r:id="rId504" xr:uid="{15E25AF2-277F-4B96-B03C-F55A50A2EA09}"/>
    <hyperlink ref="A518" r:id="rId505" xr:uid="{76E17D1E-28EB-4628-8DE8-36D5930DFC47}"/>
    <hyperlink ref="A519" r:id="rId506" xr:uid="{3C361A14-E6BC-4421-B5CA-A2B692E708C8}"/>
    <hyperlink ref="A520" r:id="rId507" xr:uid="{86401B09-C619-4A19-9E75-71530E1F544B}"/>
    <hyperlink ref="A521" r:id="rId508" xr:uid="{FF2D2B89-FE7F-4A93-A19C-10EF7028387D}"/>
    <hyperlink ref="A522" r:id="rId509" xr:uid="{DDFAE3F7-B8F9-4069-80FD-9FA2CB772157}"/>
    <hyperlink ref="A523" r:id="rId510" xr:uid="{716A79B8-A44D-4048-8333-5AA91196008B}"/>
    <hyperlink ref="A524" r:id="rId511" xr:uid="{917686F8-592B-4A29-A7AC-BFA90A9926F3}"/>
    <hyperlink ref="A525" r:id="rId512" xr:uid="{6BC266FA-4DDD-4445-86E2-8A18CF7E62A5}"/>
    <hyperlink ref="A526" r:id="rId513" xr:uid="{809CE4C8-7D40-4E9A-8A7E-9808104E5166}"/>
    <hyperlink ref="A527" r:id="rId514" xr:uid="{932ED9AB-2463-4C2E-83CD-97E4A0FE76B3}"/>
    <hyperlink ref="A528" r:id="rId515" xr:uid="{8349BA97-59F2-454E-8EF1-C33D053A0D26}"/>
    <hyperlink ref="A529" r:id="rId516" xr:uid="{ED5B829E-D7A4-4ADF-9B9A-9720745AE6D5}"/>
    <hyperlink ref="A530" r:id="rId517" xr:uid="{C48A2573-10FE-43EB-AB49-707A4E0F4F97}"/>
    <hyperlink ref="A531" r:id="rId518" xr:uid="{C5FD9CC3-C892-4B37-BD85-4430A2BAEF56}"/>
    <hyperlink ref="A532" r:id="rId519" xr:uid="{27F60821-B4B9-43BB-BC2D-85B57007665D}"/>
    <hyperlink ref="A533" r:id="rId520" xr:uid="{AA7DC274-4326-40B2-B40B-00B6CDABFABB}"/>
    <hyperlink ref="A534" r:id="rId521" xr:uid="{E336A005-359C-44D9-BD52-7E1907754B8F}"/>
    <hyperlink ref="A535" r:id="rId522" xr:uid="{F033A52A-A6B4-4E12-BE70-6E01C4C97DB7}"/>
    <hyperlink ref="A536" r:id="rId523" xr:uid="{261676BC-2B1E-43FC-8492-235558ABE958}"/>
    <hyperlink ref="A537" r:id="rId524" xr:uid="{7CD96201-127F-4BA7-8F3B-CEE87FBD51F6}"/>
    <hyperlink ref="A538" r:id="rId525" xr:uid="{FC43484C-41C0-4AED-B698-F49C3AC8D11B}"/>
    <hyperlink ref="A539" r:id="rId526" xr:uid="{9ECD1812-BC6F-4931-BD28-4DEB2A013DFB}"/>
    <hyperlink ref="A540" r:id="rId527" xr:uid="{FCBC7E97-B945-4203-B8FF-B5EA4E4AE4BC}"/>
    <hyperlink ref="A541" r:id="rId528" xr:uid="{895CD106-7D37-4840-8BDC-C5FFF609FD28}"/>
    <hyperlink ref="A542" r:id="rId529" xr:uid="{083C6E57-A6A7-438E-AC5B-4F280838DA9D}"/>
    <hyperlink ref="A543" r:id="rId530" xr:uid="{D181E58C-E7EB-473D-A0E3-9DA2BC73A94F}"/>
    <hyperlink ref="A544" r:id="rId531" xr:uid="{00A182C0-4387-4136-8C66-076F5329853F}"/>
    <hyperlink ref="A545" r:id="rId532" xr:uid="{9C3A14AD-549F-4C98-9257-29185776C2CD}"/>
    <hyperlink ref="A546" r:id="rId533" xr:uid="{8740EEB8-E96A-406D-B660-4247F207BCAD}"/>
    <hyperlink ref="A547" r:id="rId534" xr:uid="{691B4271-3E13-4549-B537-FF5FEFDD9011}"/>
    <hyperlink ref="A548" r:id="rId535" xr:uid="{EAF69113-F2DE-456C-87D2-8E2830119D15}"/>
    <hyperlink ref="A549" r:id="rId536" xr:uid="{6A8856CF-A39E-4EED-9FE9-67CE85A4BEA5}"/>
    <hyperlink ref="A550" r:id="rId537" xr:uid="{5FF4E4AC-9B1A-4749-90A8-3F9357DBB114}"/>
    <hyperlink ref="A551" r:id="rId538" xr:uid="{A7621960-2728-4BA5-B9E1-13C771025D56}"/>
    <hyperlink ref="A552" r:id="rId539" xr:uid="{639306A8-C2B7-44B1-A5EB-38246C47DF10}"/>
    <hyperlink ref="A553" r:id="rId540" xr:uid="{E74CE8F1-F2C8-4A74-9FA9-A05E8B7D1879}"/>
    <hyperlink ref="A554" r:id="rId541" xr:uid="{AFEBBEEC-E83D-4016-8988-17B281008120}"/>
    <hyperlink ref="A555" r:id="rId542" xr:uid="{07854942-A050-492E-9833-CBA025CD384C}"/>
    <hyperlink ref="A556" r:id="rId543" xr:uid="{99C6BBB2-82BA-40EE-A96C-C35B1B1AB16A}"/>
    <hyperlink ref="A557" r:id="rId544" xr:uid="{6EA8AB44-CA5B-4462-8A2A-96AE35FCD938}"/>
    <hyperlink ref="A558" r:id="rId545" xr:uid="{DF33A7E1-E2A0-4D2D-A0BC-085FACECC373}"/>
    <hyperlink ref="A559" r:id="rId546" xr:uid="{E34F4895-FE6A-4321-A279-6767ED142015}"/>
    <hyperlink ref="A560" r:id="rId547" xr:uid="{780998C6-81E7-4C1C-9601-03B2B551A1A6}"/>
    <hyperlink ref="A561" r:id="rId548" xr:uid="{338A82D3-A0C7-4702-B93D-8997F2CF509A}"/>
    <hyperlink ref="A562" r:id="rId549" xr:uid="{2DF09452-89F0-4268-853B-4E650A457D5B}"/>
    <hyperlink ref="A563" r:id="rId550" xr:uid="{B68B1290-FEFB-435E-AF00-B793C8FB6281}"/>
    <hyperlink ref="A564" r:id="rId551" xr:uid="{7754AADC-47DC-44D5-97C9-025E3DF7903C}"/>
    <hyperlink ref="A565" r:id="rId552" xr:uid="{0C3C2110-8CCF-404D-9871-94413B761AD7}"/>
    <hyperlink ref="A566" r:id="rId553" xr:uid="{BF2D64F9-CCE1-4507-92AD-3252E9B74678}"/>
    <hyperlink ref="A567" r:id="rId554" xr:uid="{6BEBE66D-EF05-44A0-AAA9-DC1596909685}"/>
    <hyperlink ref="A568" r:id="rId555" xr:uid="{C63536B1-48CF-48EA-B25C-699F4776FC18}"/>
    <hyperlink ref="A569" r:id="rId556" xr:uid="{FFEDCE29-090A-40A1-8ED3-455885D45F6B}"/>
    <hyperlink ref="A570" r:id="rId557" xr:uid="{0546429F-2BA8-4C4B-A145-892C17107CFE}"/>
    <hyperlink ref="A571" r:id="rId558" xr:uid="{C667A4C1-8859-4152-B13D-CE274C6ED584}"/>
    <hyperlink ref="A572" r:id="rId559" xr:uid="{5EA4EB97-FA76-4CCD-9909-6643A50B99EC}"/>
    <hyperlink ref="A573" r:id="rId560" xr:uid="{8232AC1A-B5CD-4E58-B516-548024EC2BDF}"/>
    <hyperlink ref="A574" r:id="rId561" xr:uid="{4165C5DF-580B-46A4-9858-71218DCC17C3}"/>
    <hyperlink ref="A575" r:id="rId562" xr:uid="{898B6598-D193-49F9-BBE5-A6BD591FFB18}"/>
    <hyperlink ref="A576" r:id="rId563" xr:uid="{77C981ED-BEDD-4CC8-B551-E96F95BE9B85}"/>
    <hyperlink ref="A577" r:id="rId564" xr:uid="{0FAB2AE0-46C4-40A7-803A-A418EBAA0C39}"/>
    <hyperlink ref="A578" r:id="rId565" xr:uid="{F44E1E3B-8BF9-429B-8FBF-FCA03F15AA82}"/>
    <hyperlink ref="A579" r:id="rId566" xr:uid="{959EFBCE-456F-499F-8739-5D5D0B9B6325}"/>
    <hyperlink ref="A580" r:id="rId567" xr:uid="{54483F66-0F50-4BF4-9D16-5C31560AD4F1}"/>
    <hyperlink ref="A581" r:id="rId568" xr:uid="{62C7AB75-50A2-4066-AF51-8059C698BA86}"/>
    <hyperlink ref="A582" r:id="rId569" xr:uid="{729D1CB1-8D73-45F9-B6C7-7A9E935207D2}"/>
    <hyperlink ref="A583" r:id="rId570" xr:uid="{019A4F03-6FEE-417F-9251-C26932041D0C}"/>
    <hyperlink ref="A584" r:id="rId571" xr:uid="{DB0168A3-C0CE-4185-825E-787A082A2DB7}"/>
    <hyperlink ref="A585" r:id="rId572" xr:uid="{150BE8DF-C735-4EE6-A70A-7F5A9B06ED69}"/>
    <hyperlink ref="A586" r:id="rId573" xr:uid="{25EB0B2D-E956-4320-90A9-894B6A554631}"/>
    <hyperlink ref="A587" r:id="rId574" xr:uid="{107D476E-5177-4A97-BAE2-46FBBBAE1DD5}"/>
    <hyperlink ref="A588" r:id="rId575" xr:uid="{B6B586DE-C8AA-4F56-B05B-7DDC3E713890}"/>
    <hyperlink ref="A589" r:id="rId576" xr:uid="{857E2377-026B-40B8-94F8-05336E1B36A6}"/>
    <hyperlink ref="A590" r:id="rId577" xr:uid="{133D2685-BF6F-44CB-9CA9-B53DB72C61DB}"/>
    <hyperlink ref="A591" r:id="rId578" xr:uid="{DF271A9B-106F-4024-8942-8401258F2193}"/>
    <hyperlink ref="A592" r:id="rId579" xr:uid="{21B28982-1C7A-4975-95A6-FD3B8119AE9D}"/>
    <hyperlink ref="A593" r:id="rId580" xr:uid="{98361223-FEEC-4185-9373-044B556EBAA2}"/>
    <hyperlink ref="A594" r:id="rId581" xr:uid="{28DCCEB1-31C1-42CD-9A3B-266EB876DD65}"/>
    <hyperlink ref="A595" r:id="rId582" xr:uid="{BCD3E3C8-CCDC-4009-885E-9BF25BFB7702}"/>
    <hyperlink ref="A596" r:id="rId583" xr:uid="{1E7BD5C4-5E2F-4A94-B639-69B3F56BA108}"/>
    <hyperlink ref="A597" r:id="rId584" xr:uid="{811A835C-4FEC-4D06-9026-F4FC67C65373}"/>
    <hyperlink ref="A598" r:id="rId585" xr:uid="{9D5DC8CD-0F85-46F8-951E-800F73864BD4}"/>
    <hyperlink ref="A599" r:id="rId586" xr:uid="{F7033ADD-2087-4D5F-993A-1ECA0F1D45BF}"/>
    <hyperlink ref="A600" r:id="rId587" xr:uid="{971F0584-7B67-469A-A4BD-E4ACF7853BE6}"/>
    <hyperlink ref="A601" r:id="rId588" xr:uid="{2E6C9105-1427-4968-8393-A639C8818638}"/>
    <hyperlink ref="A602" r:id="rId589" xr:uid="{BBAC59F6-4B2B-4A7D-A78D-5EDD39E1EFD3}"/>
    <hyperlink ref="A603" r:id="rId590" xr:uid="{9641EE28-3CFE-4067-9D63-3A5A14BB7B83}"/>
    <hyperlink ref="A604" r:id="rId591" xr:uid="{7CF02A56-F223-46DB-A49B-8698471DCEEF}"/>
    <hyperlink ref="A605" r:id="rId592" xr:uid="{642E28FB-7949-47CD-982D-022405EF8726}"/>
    <hyperlink ref="A606" r:id="rId593" xr:uid="{A0944466-832C-423D-B702-C4E9338D1896}"/>
    <hyperlink ref="A607" r:id="rId594" xr:uid="{3DA593F1-1627-4614-BE5B-1A82BAF371BE}"/>
    <hyperlink ref="A608" r:id="rId595" xr:uid="{2DF3DF0E-BB4F-4327-B07A-93A2C575A1C5}"/>
    <hyperlink ref="A609" r:id="rId596" xr:uid="{B1300F76-2C8E-450E-8435-760AF4F89786}"/>
    <hyperlink ref="A610" r:id="rId597" xr:uid="{D1A9B663-5274-402B-9E1C-47FAF5CB292D}"/>
    <hyperlink ref="A611" r:id="rId598" xr:uid="{E11ED6D7-7A32-4560-9A66-D0F269D08D21}"/>
    <hyperlink ref="A612" r:id="rId599" xr:uid="{D34A1604-AB33-4B72-943B-92F2A5230B75}"/>
    <hyperlink ref="A613" r:id="rId600" xr:uid="{015DD17D-76B4-4CC5-9A15-B352466EC1DB}"/>
    <hyperlink ref="A614" r:id="rId601" xr:uid="{A15FFC4D-E541-4474-BEC1-A95B8687CEA0}"/>
    <hyperlink ref="A615" r:id="rId602" xr:uid="{99A3ECC1-28B5-46B9-8DE9-30E3821B17C7}"/>
    <hyperlink ref="A616" r:id="rId603" xr:uid="{193B0813-31F6-4736-A255-0920EEEE3611}"/>
    <hyperlink ref="A617" r:id="rId604" xr:uid="{3995EE26-8A66-4A04-9E19-5F54CEBD0FDE}"/>
    <hyperlink ref="A618" r:id="rId605" xr:uid="{CF905FD2-235B-472E-942C-487B7EC2434A}"/>
    <hyperlink ref="A619" r:id="rId606" xr:uid="{6E520617-0A37-48B9-8835-E1C4F2409D54}"/>
    <hyperlink ref="A620" r:id="rId607" xr:uid="{B8D8DADB-1A8E-4B5E-96E2-C9CD325C0151}"/>
    <hyperlink ref="A621" r:id="rId608" xr:uid="{44C9823B-CEE3-4F13-A5C1-D57A76180177}"/>
  </hyperlinks>
  <pageMargins left="0.7" right="0.7" top="0.75" bottom="0.75" header="0.3" footer="0.3"/>
  <pageSetup orientation="portrait" r:id="rId60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5400-78B9-4949-9E25-703297A33E19}">
  <sheetPr codeName="Sheet9"/>
  <dimension ref="A1:Z119"/>
  <sheetViews>
    <sheetView topLeftCell="O1" workbookViewId="0">
      <selection activeCell="AA82" sqref="AA82"/>
    </sheetView>
  </sheetViews>
  <sheetFormatPr defaultColWidth="8.7109375" defaultRowHeight="15" outlineLevelCol="1"/>
  <cols>
    <col min="1" max="1" width="18.42578125" style="10" hidden="1" customWidth="1" outlineLevel="1"/>
    <col min="2" max="2" width="21.28515625" style="10" customWidth="1" collapsed="1"/>
    <col min="3" max="5" width="21.28515625" style="10" customWidth="1"/>
    <col min="6" max="7" width="28.42578125" style="10" customWidth="1"/>
    <col min="8" max="8" width="21.28515625" style="10" customWidth="1"/>
    <col min="9" max="9" width="35.5703125" style="10" customWidth="1"/>
    <col min="10" max="10" width="14.140625" style="10" customWidth="1"/>
    <col min="11" max="11" width="49.140625" style="10" bestFit="1" customWidth="1"/>
    <col min="12" max="13" width="12.7109375" style="10" customWidth="1"/>
    <col min="14" max="14" width="21.28515625" style="10" customWidth="1"/>
    <col min="15" max="18" width="11.28515625" style="10" customWidth="1"/>
    <col min="19" max="19" width="21.28515625" style="10" customWidth="1"/>
    <col min="20" max="21" width="21.28515625" style="10" hidden="1" customWidth="1" outlineLevel="1"/>
    <col min="22" max="22" width="28.42578125" style="10" hidden="1" customWidth="1" outlineLevel="1"/>
    <col min="23" max="23" width="21.28515625" style="10" hidden="1" customWidth="1" outlineLevel="1"/>
    <col min="24" max="24" width="17" style="10" hidden="1" customWidth="1" outlineLevel="1"/>
    <col min="25" max="25" width="12.7109375" style="10" hidden="1" customWidth="1" outlineLevel="1"/>
    <col min="26" max="26" width="8.7109375" style="10" collapsed="1"/>
    <col min="27" max="16384" width="8.7109375" style="10"/>
  </cols>
  <sheetData>
    <row r="1" spans="1:25" ht="15" customHeight="1">
      <c r="A1" s="189" t="s">
        <v>2415</v>
      </c>
      <c r="B1" s="189" t="s">
        <v>2416</v>
      </c>
      <c r="C1" s="190" t="s">
        <v>2417</v>
      </c>
      <c r="D1" s="189" t="s">
        <v>2418</v>
      </c>
      <c r="E1" s="189" t="s">
        <v>2419</v>
      </c>
      <c r="F1" s="189" t="s">
        <v>2420</v>
      </c>
      <c r="G1" s="190" t="s">
        <v>2421</v>
      </c>
      <c r="H1" s="189" t="s">
        <v>2422</v>
      </c>
      <c r="I1" s="189" t="s">
        <v>653</v>
      </c>
      <c r="J1" s="189" t="s">
        <v>2423</v>
      </c>
      <c r="K1" s="190" t="s">
        <v>2424</v>
      </c>
      <c r="L1" s="190"/>
      <c r="M1" s="190"/>
      <c r="N1" s="190" t="s">
        <v>2425</v>
      </c>
      <c r="O1" s="189" t="s">
        <v>2426</v>
      </c>
      <c r="P1" s="189" t="s">
        <v>2427</v>
      </c>
      <c r="Q1" s="189" t="s">
        <v>2428</v>
      </c>
      <c r="R1" s="189" t="s">
        <v>2429</v>
      </c>
      <c r="S1" s="189" t="s">
        <v>2430</v>
      </c>
      <c r="T1" s="189" t="s">
        <v>2431</v>
      </c>
      <c r="U1" s="189" t="s">
        <v>2432</v>
      </c>
      <c r="V1" s="189" t="s">
        <v>2433</v>
      </c>
      <c r="W1" s="189" t="s">
        <v>2434</v>
      </c>
      <c r="X1" s="189" t="s">
        <v>2435</v>
      </c>
      <c r="Y1" s="189" t="s">
        <v>2436</v>
      </c>
    </row>
    <row r="2" spans="1:25" ht="15" customHeight="1">
      <c r="B2" s="10" t="s">
        <v>2437</v>
      </c>
      <c r="C2" s="10" t="s">
        <v>2438</v>
      </c>
      <c r="D2" s="10" t="s">
        <v>2438</v>
      </c>
      <c r="E2" s="10" t="s">
        <v>2439</v>
      </c>
      <c r="F2" s="10" t="s">
        <v>2440</v>
      </c>
      <c r="G2" s="10" t="s">
        <v>2441</v>
      </c>
      <c r="H2" s="10" t="s">
        <v>2442</v>
      </c>
      <c r="I2" s="10" t="s">
        <v>2443</v>
      </c>
      <c r="J2" s="10" t="s">
        <v>670</v>
      </c>
      <c r="K2" s="10" t="s">
        <v>2444</v>
      </c>
      <c r="N2" s="10" t="s">
        <v>2445</v>
      </c>
      <c r="O2" s="10" t="s">
        <v>2446</v>
      </c>
      <c r="P2" s="10" t="s">
        <v>2447</v>
      </c>
      <c r="Q2" s="10">
        <v>245163</v>
      </c>
      <c r="S2" s="191">
        <v>45334.586989467593</v>
      </c>
      <c r="T2" s="10" t="s">
        <v>2448</v>
      </c>
      <c r="U2" s="10" t="s">
        <v>2449</v>
      </c>
      <c r="V2" s="10" t="s">
        <v>2450</v>
      </c>
      <c r="W2" s="10" t="s">
        <v>2451</v>
      </c>
      <c r="X2" s="10" t="s">
        <v>2452</v>
      </c>
      <c r="Y2" s="10" t="s">
        <v>2453</v>
      </c>
    </row>
    <row r="3" spans="1:25" ht="15" customHeight="1">
      <c r="B3" s="10" t="s">
        <v>2454</v>
      </c>
      <c r="C3" s="10" t="s">
        <v>2455</v>
      </c>
      <c r="D3" s="10" t="s">
        <v>2455</v>
      </c>
      <c r="E3" s="10" t="s">
        <v>2456</v>
      </c>
      <c r="F3" s="10" t="s">
        <v>2457</v>
      </c>
      <c r="G3" s="10" t="s">
        <v>2441</v>
      </c>
      <c r="H3" s="10" t="s">
        <v>2442</v>
      </c>
      <c r="I3" s="10" t="s">
        <v>2443</v>
      </c>
      <c r="J3" s="10" t="s">
        <v>670</v>
      </c>
      <c r="K3" s="10" t="s">
        <v>2444</v>
      </c>
      <c r="N3" s="10" t="s">
        <v>2458</v>
      </c>
      <c r="O3" s="10" t="s">
        <v>2446</v>
      </c>
      <c r="P3" s="10" t="s">
        <v>2447</v>
      </c>
      <c r="Q3" s="10">
        <v>72</v>
      </c>
      <c r="S3" s="191">
        <v>45322.634336724535</v>
      </c>
      <c r="T3" s="10" t="s">
        <v>2459</v>
      </c>
      <c r="U3" s="10" t="s">
        <v>2460</v>
      </c>
      <c r="V3" s="10" t="s">
        <v>2461</v>
      </c>
      <c r="W3" s="10" t="s">
        <v>2462</v>
      </c>
      <c r="X3" s="10" t="s">
        <v>2463</v>
      </c>
      <c r="Y3" s="10" t="s">
        <v>2453</v>
      </c>
    </row>
    <row r="4" spans="1:25" ht="15" customHeight="1">
      <c r="B4" s="10" t="s">
        <v>2454</v>
      </c>
      <c r="C4" s="10" t="s">
        <v>2464</v>
      </c>
      <c r="D4" s="10" t="s">
        <v>2465</v>
      </c>
      <c r="E4" s="10" t="s">
        <v>2466</v>
      </c>
      <c r="F4" s="10" t="s">
        <v>2467</v>
      </c>
      <c r="G4" s="10" t="s">
        <v>2441</v>
      </c>
      <c r="H4" s="10" t="s">
        <v>2442</v>
      </c>
      <c r="I4" s="10" t="s">
        <v>2443</v>
      </c>
      <c r="J4" s="10" t="s">
        <v>670</v>
      </c>
      <c r="K4" s="10" t="s">
        <v>2444</v>
      </c>
      <c r="N4" s="10" t="s">
        <v>2458</v>
      </c>
      <c r="O4" s="10" t="s">
        <v>2446</v>
      </c>
      <c r="P4" s="10" t="s">
        <v>2447</v>
      </c>
      <c r="Q4" s="10">
        <v>1334</v>
      </c>
      <c r="S4" s="191">
        <v>45322.634336724535</v>
      </c>
      <c r="T4" s="10" t="s">
        <v>2459</v>
      </c>
      <c r="U4" s="10" t="s">
        <v>2460</v>
      </c>
      <c r="V4" s="10" t="s">
        <v>2461</v>
      </c>
      <c r="W4" s="10" t="s">
        <v>2462</v>
      </c>
      <c r="X4" s="10" t="s">
        <v>2463</v>
      </c>
      <c r="Y4" s="10" t="s">
        <v>2453</v>
      </c>
    </row>
    <row r="5" spans="1:25" ht="15" customHeight="1">
      <c r="A5" s="10" t="s">
        <v>2468</v>
      </c>
      <c r="B5" s="10" t="s">
        <v>2469</v>
      </c>
      <c r="C5" s="10" t="s">
        <v>2470</v>
      </c>
      <c r="D5" s="10" t="s">
        <v>2470</v>
      </c>
      <c r="E5" s="10" t="s">
        <v>2471</v>
      </c>
      <c r="F5" s="10" t="s">
        <v>2472</v>
      </c>
      <c r="G5" s="10" t="s">
        <v>1767</v>
      </c>
      <c r="H5" s="10" t="s">
        <v>2442</v>
      </c>
      <c r="I5" s="10" t="s">
        <v>2443</v>
      </c>
      <c r="J5" s="10" t="s">
        <v>670</v>
      </c>
      <c r="K5" s="10" t="s">
        <v>2444</v>
      </c>
      <c r="N5" s="10" t="s">
        <v>2473</v>
      </c>
      <c r="O5" s="10" t="s">
        <v>2446</v>
      </c>
      <c r="P5" s="10" t="s">
        <v>2447</v>
      </c>
      <c r="Q5" s="10">
        <v>100000</v>
      </c>
      <c r="R5" s="10">
        <v>100000</v>
      </c>
      <c r="S5" s="191">
        <v>45322.752708761574</v>
      </c>
      <c r="T5" s="10" t="s">
        <v>2474</v>
      </c>
      <c r="U5" s="10" t="s">
        <v>2475</v>
      </c>
      <c r="V5" s="10" t="s">
        <v>2476</v>
      </c>
      <c r="W5" s="10" t="s">
        <v>2477</v>
      </c>
      <c r="X5" s="10" t="s">
        <v>2478</v>
      </c>
      <c r="Y5" s="10" t="s">
        <v>2479</v>
      </c>
    </row>
    <row r="6" spans="1:25" ht="15" customHeight="1">
      <c r="B6" s="10" t="s">
        <v>2480</v>
      </c>
      <c r="C6" s="10" t="s">
        <v>2455</v>
      </c>
      <c r="D6" s="10" t="s">
        <v>2455</v>
      </c>
      <c r="E6" s="10" t="s">
        <v>2481</v>
      </c>
      <c r="F6" s="10" t="s">
        <v>2482</v>
      </c>
      <c r="G6" s="10" t="s">
        <v>2441</v>
      </c>
      <c r="H6" s="10" t="s">
        <v>2442</v>
      </c>
      <c r="I6" s="10" t="s">
        <v>2443</v>
      </c>
      <c r="J6" s="10" t="s">
        <v>670</v>
      </c>
      <c r="K6" s="10" t="s">
        <v>2444</v>
      </c>
      <c r="N6" s="10" t="s">
        <v>2445</v>
      </c>
      <c r="O6" s="10" t="s">
        <v>2446</v>
      </c>
      <c r="P6" s="10" t="s">
        <v>2447</v>
      </c>
      <c r="Q6" s="10">
        <v>1</v>
      </c>
      <c r="R6" s="10">
        <v>1</v>
      </c>
      <c r="S6" s="191">
        <v>45323.542519525465</v>
      </c>
      <c r="T6" s="10" t="s">
        <v>2483</v>
      </c>
      <c r="U6" s="10" t="s">
        <v>2484</v>
      </c>
      <c r="V6" s="10" t="s">
        <v>2485</v>
      </c>
      <c r="W6" s="10" t="s">
        <v>2486</v>
      </c>
      <c r="X6" s="10" t="s">
        <v>2487</v>
      </c>
      <c r="Y6" s="10" t="s">
        <v>2453</v>
      </c>
    </row>
    <row r="7" spans="1:25" ht="15" customHeight="1">
      <c r="B7" s="10" t="s">
        <v>2480</v>
      </c>
      <c r="C7" s="10" t="s">
        <v>2455</v>
      </c>
      <c r="D7" s="10" t="s">
        <v>2455</v>
      </c>
      <c r="E7" s="10" t="s">
        <v>2456</v>
      </c>
      <c r="F7" s="10" t="s">
        <v>2488</v>
      </c>
      <c r="G7" s="10" t="s">
        <v>2441</v>
      </c>
      <c r="H7" s="10" t="s">
        <v>2489</v>
      </c>
      <c r="I7" s="10" t="s">
        <v>2443</v>
      </c>
      <c r="J7" s="10" t="s">
        <v>670</v>
      </c>
      <c r="K7" s="10" t="s">
        <v>2444</v>
      </c>
      <c r="N7" s="10" t="s">
        <v>2445</v>
      </c>
      <c r="O7" s="10" t="s">
        <v>2446</v>
      </c>
      <c r="P7" s="10" t="s">
        <v>2447</v>
      </c>
      <c r="Q7" s="10">
        <v>1</v>
      </c>
      <c r="R7" s="10">
        <v>1</v>
      </c>
      <c r="S7" s="191">
        <v>45323.542519525465</v>
      </c>
      <c r="T7" s="10" t="s">
        <v>2483</v>
      </c>
      <c r="U7" s="10" t="s">
        <v>2484</v>
      </c>
      <c r="V7" s="10" t="s">
        <v>2485</v>
      </c>
      <c r="W7" s="10" t="s">
        <v>2486</v>
      </c>
      <c r="X7" s="10" t="s">
        <v>2487</v>
      </c>
      <c r="Y7" s="10" t="s">
        <v>2453</v>
      </c>
    </row>
    <row r="8" spans="1:25" ht="15" customHeight="1">
      <c r="B8" s="10" t="s">
        <v>2480</v>
      </c>
      <c r="C8" s="10" t="s">
        <v>2455</v>
      </c>
      <c r="D8" s="10" t="s">
        <v>2455</v>
      </c>
      <c r="E8" s="10" t="s">
        <v>2456</v>
      </c>
      <c r="F8" s="10" t="s">
        <v>2488</v>
      </c>
      <c r="G8" s="10" t="s">
        <v>1910</v>
      </c>
      <c r="H8" s="10" t="s">
        <v>2489</v>
      </c>
      <c r="I8" s="10" t="s">
        <v>2443</v>
      </c>
      <c r="J8" s="10" t="s">
        <v>670</v>
      </c>
      <c r="K8" s="10" t="s">
        <v>2444</v>
      </c>
      <c r="N8" s="10" t="s">
        <v>2445</v>
      </c>
      <c r="O8" s="10" t="s">
        <v>2446</v>
      </c>
      <c r="P8" s="10" t="s">
        <v>2447</v>
      </c>
      <c r="Q8" s="10">
        <v>1</v>
      </c>
      <c r="R8" s="10">
        <v>1</v>
      </c>
      <c r="S8" s="191">
        <v>45323.542519525465</v>
      </c>
      <c r="T8" s="10" t="s">
        <v>2483</v>
      </c>
      <c r="U8" s="10" t="s">
        <v>2484</v>
      </c>
      <c r="V8" s="10" t="s">
        <v>2485</v>
      </c>
      <c r="W8" s="10" t="s">
        <v>2486</v>
      </c>
      <c r="X8" s="10" t="s">
        <v>2487</v>
      </c>
      <c r="Y8" s="10" t="s">
        <v>2453</v>
      </c>
    </row>
    <row r="9" spans="1:25" ht="15" customHeight="1">
      <c r="B9" s="10" t="s">
        <v>2480</v>
      </c>
      <c r="C9" s="10" t="s">
        <v>2455</v>
      </c>
      <c r="D9" s="10" t="s">
        <v>2455</v>
      </c>
      <c r="E9" s="10" t="s">
        <v>2490</v>
      </c>
      <c r="F9" s="10" t="s">
        <v>2491</v>
      </c>
      <c r="G9" s="10" t="s">
        <v>2441</v>
      </c>
      <c r="H9" s="10" t="s">
        <v>2489</v>
      </c>
      <c r="I9" s="10" t="s">
        <v>2443</v>
      </c>
      <c r="J9" s="10" t="s">
        <v>670</v>
      </c>
      <c r="K9" s="10" t="s">
        <v>2444</v>
      </c>
      <c r="N9" s="10" t="s">
        <v>2492</v>
      </c>
      <c r="O9" s="10" t="s">
        <v>2446</v>
      </c>
      <c r="P9" s="10" t="s">
        <v>2447</v>
      </c>
      <c r="Q9" s="10">
        <v>1</v>
      </c>
      <c r="R9" s="10">
        <v>1</v>
      </c>
      <c r="S9" s="191">
        <v>45323.542519525465</v>
      </c>
      <c r="T9" s="10" t="s">
        <v>2483</v>
      </c>
      <c r="U9" s="10" t="s">
        <v>2484</v>
      </c>
      <c r="V9" s="10" t="s">
        <v>2485</v>
      </c>
      <c r="W9" s="10" t="s">
        <v>2486</v>
      </c>
      <c r="X9" s="10" t="s">
        <v>2487</v>
      </c>
      <c r="Y9" s="10" t="s">
        <v>2453</v>
      </c>
    </row>
    <row r="10" spans="1:25" ht="15" customHeight="1">
      <c r="B10" s="10" t="s">
        <v>2480</v>
      </c>
      <c r="C10" s="10" t="s">
        <v>2455</v>
      </c>
      <c r="D10" s="10" t="s">
        <v>2455</v>
      </c>
      <c r="E10" s="10" t="s">
        <v>2490</v>
      </c>
      <c r="F10" s="10" t="s">
        <v>2493</v>
      </c>
      <c r="G10" s="10" t="s">
        <v>2441</v>
      </c>
      <c r="H10" s="10" t="s">
        <v>2489</v>
      </c>
      <c r="I10" s="10" t="s">
        <v>2443</v>
      </c>
      <c r="J10" s="10" t="s">
        <v>670</v>
      </c>
      <c r="K10" s="10" t="s">
        <v>2444</v>
      </c>
      <c r="N10" s="10" t="s">
        <v>2492</v>
      </c>
      <c r="O10" s="10" t="s">
        <v>2446</v>
      </c>
      <c r="P10" s="10" t="s">
        <v>2447</v>
      </c>
      <c r="Q10" s="10">
        <v>1</v>
      </c>
      <c r="R10" s="10">
        <v>1</v>
      </c>
      <c r="S10" s="191">
        <v>45323.542519525465</v>
      </c>
      <c r="T10" s="10" t="s">
        <v>2483</v>
      </c>
      <c r="U10" s="10" t="s">
        <v>2484</v>
      </c>
      <c r="V10" s="10" t="s">
        <v>2485</v>
      </c>
      <c r="W10" s="10" t="s">
        <v>2486</v>
      </c>
      <c r="X10" s="10" t="s">
        <v>2487</v>
      </c>
      <c r="Y10" s="10" t="s">
        <v>2453</v>
      </c>
    </row>
    <row r="11" spans="1:25" ht="15" customHeight="1">
      <c r="B11" s="10" t="s">
        <v>2480</v>
      </c>
      <c r="C11" s="10" t="s">
        <v>2455</v>
      </c>
      <c r="D11" s="10" t="s">
        <v>2455</v>
      </c>
      <c r="E11" s="10" t="s">
        <v>2494</v>
      </c>
      <c r="F11" s="10" t="s">
        <v>2495</v>
      </c>
      <c r="G11" s="10" t="s">
        <v>740</v>
      </c>
      <c r="H11" s="10" t="s">
        <v>2489</v>
      </c>
      <c r="I11" s="10" t="s">
        <v>2443</v>
      </c>
      <c r="J11" s="10" t="s">
        <v>670</v>
      </c>
      <c r="K11" s="10" t="s">
        <v>2444</v>
      </c>
      <c r="N11" s="10" t="s">
        <v>2496</v>
      </c>
      <c r="O11" s="10" t="s">
        <v>2446</v>
      </c>
      <c r="P11" s="10" t="s">
        <v>2447</v>
      </c>
      <c r="Q11" s="10">
        <v>1</v>
      </c>
      <c r="R11" s="10">
        <v>1</v>
      </c>
      <c r="S11" s="191">
        <v>45323.542519525465</v>
      </c>
      <c r="T11" s="10" t="s">
        <v>2483</v>
      </c>
      <c r="U11" s="10" t="s">
        <v>2484</v>
      </c>
      <c r="V11" s="10" t="s">
        <v>2485</v>
      </c>
      <c r="W11" s="10" t="s">
        <v>2486</v>
      </c>
      <c r="X11" s="10" t="s">
        <v>2487</v>
      </c>
      <c r="Y11" s="10" t="s">
        <v>2453</v>
      </c>
    </row>
    <row r="12" spans="1:25" ht="15" customHeight="1">
      <c r="B12" s="10" t="s">
        <v>2480</v>
      </c>
      <c r="C12" s="10" t="s">
        <v>2464</v>
      </c>
      <c r="D12" s="10" t="s">
        <v>2465</v>
      </c>
      <c r="E12" s="10" t="s">
        <v>2497</v>
      </c>
      <c r="F12" s="10" t="s">
        <v>2498</v>
      </c>
      <c r="G12" s="10" t="s">
        <v>2441</v>
      </c>
      <c r="H12" s="10" t="s">
        <v>2442</v>
      </c>
      <c r="I12" s="10" t="s">
        <v>2443</v>
      </c>
      <c r="J12" s="10" t="s">
        <v>670</v>
      </c>
      <c r="K12" s="10" t="s">
        <v>2444</v>
      </c>
      <c r="N12" s="10" t="s">
        <v>2499</v>
      </c>
      <c r="O12" s="10" t="s">
        <v>2446</v>
      </c>
      <c r="P12" s="10" t="s">
        <v>2447</v>
      </c>
      <c r="Q12" s="10">
        <v>1</v>
      </c>
      <c r="R12" s="10">
        <v>1</v>
      </c>
      <c r="S12" s="191">
        <v>45323.542519525465</v>
      </c>
      <c r="T12" s="10" t="s">
        <v>2483</v>
      </c>
      <c r="U12" s="10" t="s">
        <v>2484</v>
      </c>
      <c r="V12" s="10" t="s">
        <v>2485</v>
      </c>
      <c r="W12" s="10" t="s">
        <v>2486</v>
      </c>
      <c r="X12" s="10" t="s">
        <v>2487</v>
      </c>
      <c r="Y12" s="10" t="s">
        <v>2453</v>
      </c>
    </row>
    <row r="13" spans="1:25" ht="15" customHeight="1">
      <c r="B13" s="10" t="s">
        <v>2437</v>
      </c>
      <c r="C13" s="10" t="s">
        <v>2438</v>
      </c>
      <c r="D13" s="10" t="s">
        <v>2438</v>
      </c>
      <c r="E13" s="10" t="s">
        <v>2439</v>
      </c>
      <c r="F13" s="10" t="s">
        <v>2440</v>
      </c>
      <c r="G13" s="10" t="s">
        <v>2441</v>
      </c>
      <c r="I13" s="10" t="s">
        <v>2443</v>
      </c>
      <c r="J13" s="10" t="s">
        <v>670</v>
      </c>
      <c r="K13" s="10" t="s">
        <v>2444</v>
      </c>
      <c r="N13" s="10" t="s">
        <v>2445</v>
      </c>
      <c r="O13" s="10" t="s">
        <v>2500</v>
      </c>
      <c r="P13" s="10" t="s">
        <v>2501</v>
      </c>
      <c r="S13" s="191">
        <v>44992.587855868056</v>
      </c>
      <c r="T13" s="10" t="s">
        <v>2448</v>
      </c>
      <c r="U13" s="10" t="s">
        <v>2449</v>
      </c>
      <c r="V13" s="10" t="s">
        <v>2450</v>
      </c>
      <c r="W13" s="10" t="s">
        <v>2451</v>
      </c>
      <c r="X13" s="10" t="s">
        <v>2452</v>
      </c>
      <c r="Y13" s="10" t="s">
        <v>2453</v>
      </c>
    </row>
    <row r="14" spans="1:25" ht="15" customHeight="1">
      <c r="B14" s="10" t="s">
        <v>2480</v>
      </c>
      <c r="C14" s="10" t="s">
        <v>2455</v>
      </c>
      <c r="D14" s="10" t="s">
        <v>2455</v>
      </c>
      <c r="E14" s="10" t="s">
        <v>2481</v>
      </c>
      <c r="F14" s="10" t="s">
        <v>2482</v>
      </c>
      <c r="G14" s="10" t="s">
        <v>2441</v>
      </c>
      <c r="H14" s="10" t="s">
        <v>2442</v>
      </c>
      <c r="I14" s="10" t="s">
        <v>2443</v>
      </c>
      <c r="J14" s="10" t="s">
        <v>670</v>
      </c>
      <c r="K14" s="10" t="s">
        <v>2444</v>
      </c>
      <c r="N14" s="10" t="s">
        <v>2445</v>
      </c>
      <c r="O14" s="10" t="s">
        <v>2500</v>
      </c>
      <c r="P14" s="10" t="s">
        <v>2502</v>
      </c>
      <c r="S14" s="191">
        <v>45348.777682719905</v>
      </c>
      <c r="T14" s="10" t="s">
        <v>2483</v>
      </c>
      <c r="U14" s="10" t="s">
        <v>2484</v>
      </c>
      <c r="V14" s="10" t="s">
        <v>2485</v>
      </c>
      <c r="W14" s="10" t="s">
        <v>2486</v>
      </c>
      <c r="X14" s="10" t="s">
        <v>2487</v>
      </c>
      <c r="Y14" s="10" t="s">
        <v>2453</v>
      </c>
    </row>
    <row r="15" spans="1:25" ht="15" customHeight="1">
      <c r="B15" s="10" t="s">
        <v>2480</v>
      </c>
      <c r="C15" s="10" t="s">
        <v>2455</v>
      </c>
      <c r="D15" s="10" t="s">
        <v>2455</v>
      </c>
      <c r="E15" s="10" t="s">
        <v>2456</v>
      </c>
      <c r="F15" s="10" t="s">
        <v>2488</v>
      </c>
      <c r="G15" s="10" t="s">
        <v>2441</v>
      </c>
      <c r="H15" s="10" t="s">
        <v>2489</v>
      </c>
      <c r="I15" s="10" t="s">
        <v>2443</v>
      </c>
      <c r="J15" s="10" t="s">
        <v>670</v>
      </c>
      <c r="K15" s="10" t="s">
        <v>2444</v>
      </c>
      <c r="N15" s="10" t="s">
        <v>2445</v>
      </c>
      <c r="O15" s="10" t="s">
        <v>2500</v>
      </c>
      <c r="P15" s="10" t="s">
        <v>2502</v>
      </c>
      <c r="S15" s="191">
        <v>45348.777682719905</v>
      </c>
      <c r="T15" s="10" t="s">
        <v>2483</v>
      </c>
      <c r="U15" s="10" t="s">
        <v>2484</v>
      </c>
      <c r="V15" s="10" t="s">
        <v>2485</v>
      </c>
      <c r="W15" s="10" t="s">
        <v>2486</v>
      </c>
      <c r="X15" s="10" t="s">
        <v>2487</v>
      </c>
      <c r="Y15" s="10" t="s">
        <v>2453</v>
      </c>
    </row>
    <row r="16" spans="1:25" ht="15" customHeight="1">
      <c r="B16" s="10" t="s">
        <v>2480</v>
      </c>
      <c r="C16" s="10" t="s">
        <v>2455</v>
      </c>
      <c r="D16" s="10" t="s">
        <v>2455</v>
      </c>
      <c r="E16" s="10" t="s">
        <v>2456</v>
      </c>
      <c r="F16" s="10" t="s">
        <v>2488</v>
      </c>
      <c r="G16" s="10" t="s">
        <v>1910</v>
      </c>
      <c r="H16" s="10" t="s">
        <v>2489</v>
      </c>
      <c r="I16" s="10" t="s">
        <v>2443</v>
      </c>
      <c r="J16" s="10" t="s">
        <v>670</v>
      </c>
      <c r="K16" s="10" t="s">
        <v>2444</v>
      </c>
      <c r="N16" s="10" t="s">
        <v>2445</v>
      </c>
      <c r="O16" s="10" t="s">
        <v>2500</v>
      </c>
      <c r="P16" s="10" t="s">
        <v>2502</v>
      </c>
      <c r="S16" s="191">
        <v>45348.777682719905</v>
      </c>
      <c r="T16" s="10" t="s">
        <v>2483</v>
      </c>
      <c r="U16" s="10" t="s">
        <v>2484</v>
      </c>
      <c r="V16" s="10" t="s">
        <v>2485</v>
      </c>
      <c r="W16" s="10" t="s">
        <v>2486</v>
      </c>
      <c r="X16" s="10" t="s">
        <v>2487</v>
      </c>
      <c r="Y16" s="10" t="s">
        <v>2453</v>
      </c>
    </row>
    <row r="17" spans="1:25" ht="15" customHeight="1">
      <c r="B17" s="10" t="s">
        <v>2480</v>
      </c>
      <c r="C17" s="10" t="s">
        <v>2455</v>
      </c>
      <c r="D17" s="10" t="s">
        <v>2455</v>
      </c>
      <c r="E17" s="10" t="s">
        <v>2494</v>
      </c>
      <c r="F17" s="10" t="s">
        <v>2495</v>
      </c>
      <c r="G17" s="10" t="s">
        <v>740</v>
      </c>
      <c r="H17" s="10" t="s">
        <v>2489</v>
      </c>
      <c r="I17" s="10" t="s">
        <v>2443</v>
      </c>
      <c r="J17" s="10" t="s">
        <v>670</v>
      </c>
      <c r="K17" s="10" t="s">
        <v>2444</v>
      </c>
      <c r="N17" s="10" t="s">
        <v>2496</v>
      </c>
      <c r="O17" s="10" t="s">
        <v>2500</v>
      </c>
      <c r="P17" s="10" t="s">
        <v>2502</v>
      </c>
      <c r="S17" s="191">
        <v>45348.777682719905</v>
      </c>
      <c r="T17" s="10" t="s">
        <v>2483</v>
      </c>
      <c r="U17" s="10" t="s">
        <v>2484</v>
      </c>
      <c r="V17" s="10" t="s">
        <v>2485</v>
      </c>
      <c r="W17" s="10" t="s">
        <v>2486</v>
      </c>
      <c r="X17" s="10" t="s">
        <v>2487</v>
      </c>
      <c r="Y17" s="10" t="s">
        <v>2453</v>
      </c>
    </row>
    <row r="18" spans="1:25" ht="15" customHeight="1">
      <c r="B18" s="10" t="s">
        <v>2480</v>
      </c>
      <c r="C18" s="10" t="s">
        <v>2464</v>
      </c>
      <c r="D18" s="10" t="s">
        <v>2465</v>
      </c>
      <c r="E18" s="10" t="s">
        <v>2497</v>
      </c>
      <c r="F18" s="10" t="s">
        <v>2498</v>
      </c>
      <c r="G18" s="10" t="s">
        <v>2441</v>
      </c>
      <c r="H18" s="10" t="s">
        <v>2442</v>
      </c>
      <c r="I18" s="10" t="s">
        <v>2443</v>
      </c>
      <c r="J18" s="10" t="s">
        <v>670</v>
      </c>
      <c r="K18" s="10" t="s">
        <v>2444</v>
      </c>
      <c r="N18" s="10" t="s">
        <v>2499</v>
      </c>
      <c r="O18" s="10" t="s">
        <v>2500</v>
      </c>
      <c r="P18" s="10" t="s">
        <v>2502</v>
      </c>
      <c r="S18" s="191">
        <v>45348.777682719905</v>
      </c>
      <c r="T18" s="10" t="s">
        <v>2483</v>
      </c>
      <c r="U18" s="10" t="s">
        <v>2484</v>
      </c>
      <c r="V18" s="10" t="s">
        <v>2485</v>
      </c>
      <c r="W18" s="10" t="s">
        <v>2486</v>
      </c>
      <c r="X18" s="10" t="s">
        <v>2487</v>
      </c>
      <c r="Y18" s="10" t="s">
        <v>2453</v>
      </c>
    </row>
    <row r="19" spans="1:25" ht="15" customHeight="1">
      <c r="A19" s="10" t="s">
        <v>2468</v>
      </c>
      <c r="B19" s="10" t="s">
        <v>2469</v>
      </c>
      <c r="C19" s="10" t="s">
        <v>2470</v>
      </c>
      <c r="D19" s="10" t="s">
        <v>2470</v>
      </c>
      <c r="E19" s="10" t="s">
        <v>2471</v>
      </c>
      <c r="F19" s="10" t="s">
        <v>2472</v>
      </c>
      <c r="G19" s="10" t="s">
        <v>1767</v>
      </c>
      <c r="H19" s="10" t="s">
        <v>2442</v>
      </c>
      <c r="I19" s="10" t="s">
        <v>2443</v>
      </c>
      <c r="J19" s="10" t="s">
        <v>670</v>
      </c>
      <c r="K19" s="10" t="s">
        <v>2444</v>
      </c>
      <c r="N19" s="10" t="s">
        <v>2473</v>
      </c>
      <c r="O19" s="10" t="s">
        <v>2500</v>
      </c>
      <c r="P19" s="10" t="s">
        <v>2502</v>
      </c>
      <c r="S19" s="191">
        <v>45313.55727114583</v>
      </c>
      <c r="T19" s="10" t="s">
        <v>2474</v>
      </c>
      <c r="U19" s="10" t="s">
        <v>2475</v>
      </c>
      <c r="V19" s="10" t="s">
        <v>2476</v>
      </c>
      <c r="W19" s="10" t="s">
        <v>2477</v>
      </c>
      <c r="X19" s="10" t="s">
        <v>2478</v>
      </c>
      <c r="Y19" s="10" t="s">
        <v>2503</v>
      </c>
    </row>
    <row r="20" spans="1:25" ht="15" customHeight="1">
      <c r="B20" s="10" t="s">
        <v>2504</v>
      </c>
      <c r="C20" s="10" t="s">
        <v>2505</v>
      </c>
      <c r="D20" s="10" t="s">
        <v>2506</v>
      </c>
      <c r="E20" s="10" t="s">
        <v>2507</v>
      </c>
      <c r="F20" s="10" t="s">
        <v>2508</v>
      </c>
      <c r="G20" s="10" t="s">
        <v>2441</v>
      </c>
      <c r="I20" s="10" t="s">
        <v>2443</v>
      </c>
      <c r="J20" s="10" t="s">
        <v>670</v>
      </c>
      <c r="K20" s="10" t="s">
        <v>2444</v>
      </c>
      <c r="N20" s="10" t="s">
        <v>2499</v>
      </c>
      <c r="O20" s="10" t="s">
        <v>2500</v>
      </c>
      <c r="P20" s="10" t="s">
        <v>2502</v>
      </c>
      <c r="S20" s="191">
        <v>45364.593218553244</v>
      </c>
      <c r="T20" s="10" t="s">
        <v>2509</v>
      </c>
      <c r="U20" s="10" t="s">
        <v>2510</v>
      </c>
      <c r="V20" s="10" t="s">
        <v>2511</v>
      </c>
      <c r="W20" s="10" t="s">
        <v>2512</v>
      </c>
      <c r="X20" s="10" t="s">
        <v>2513</v>
      </c>
      <c r="Y20" s="10" t="s">
        <v>2453</v>
      </c>
    </row>
    <row r="21" spans="1:25" ht="15" customHeight="1">
      <c r="B21" s="10" t="s">
        <v>2504</v>
      </c>
      <c r="C21" s="10" t="s">
        <v>2505</v>
      </c>
      <c r="D21" s="10" t="s">
        <v>2514</v>
      </c>
      <c r="E21" s="10" t="s">
        <v>2515</v>
      </c>
      <c r="F21" s="10" t="s">
        <v>2516</v>
      </c>
      <c r="G21" s="10" t="s">
        <v>2441</v>
      </c>
      <c r="I21" s="10" t="s">
        <v>2443</v>
      </c>
      <c r="J21" s="10" t="s">
        <v>670</v>
      </c>
      <c r="K21" s="10" t="s">
        <v>2444</v>
      </c>
      <c r="N21" s="10" t="s">
        <v>2499</v>
      </c>
      <c r="O21" s="10" t="s">
        <v>2500</v>
      </c>
      <c r="P21" s="10" t="s">
        <v>2502</v>
      </c>
      <c r="S21" s="191">
        <v>45364.593218553244</v>
      </c>
      <c r="T21" s="10" t="s">
        <v>2509</v>
      </c>
      <c r="U21" s="10" t="s">
        <v>2510</v>
      </c>
      <c r="V21" s="10" t="s">
        <v>2511</v>
      </c>
      <c r="W21" s="10" t="s">
        <v>2512</v>
      </c>
      <c r="X21" s="10" t="s">
        <v>2513</v>
      </c>
      <c r="Y21" s="10" t="s">
        <v>2453</v>
      </c>
    </row>
    <row r="22" spans="1:25" ht="15" customHeight="1">
      <c r="B22" s="10" t="s">
        <v>2504</v>
      </c>
      <c r="C22" s="10" t="s">
        <v>2505</v>
      </c>
      <c r="D22" s="10" t="s">
        <v>2514</v>
      </c>
      <c r="E22" s="10" t="s">
        <v>2515</v>
      </c>
      <c r="F22" s="10" t="s">
        <v>2517</v>
      </c>
      <c r="G22" s="10" t="s">
        <v>2441</v>
      </c>
      <c r="I22" s="10" t="s">
        <v>2443</v>
      </c>
      <c r="J22" s="10" t="s">
        <v>670</v>
      </c>
      <c r="K22" s="10" t="s">
        <v>2444</v>
      </c>
      <c r="N22" s="10" t="s">
        <v>2499</v>
      </c>
      <c r="O22" s="10" t="s">
        <v>2500</v>
      </c>
      <c r="P22" s="10" t="s">
        <v>2502</v>
      </c>
      <c r="S22" s="191">
        <v>45364.593218553244</v>
      </c>
      <c r="T22" s="10" t="s">
        <v>2509</v>
      </c>
      <c r="U22" s="10" t="s">
        <v>2510</v>
      </c>
      <c r="V22" s="10" t="s">
        <v>2511</v>
      </c>
      <c r="W22" s="10" t="s">
        <v>2512</v>
      </c>
      <c r="X22" s="10" t="s">
        <v>2513</v>
      </c>
      <c r="Y22" s="10" t="s">
        <v>2453</v>
      </c>
    </row>
    <row r="23" spans="1:25" ht="15" customHeight="1">
      <c r="B23" s="10" t="s">
        <v>2504</v>
      </c>
      <c r="C23" s="10" t="s">
        <v>2505</v>
      </c>
      <c r="D23" s="10" t="s">
        <v>2514</v>
      </c>
      <c r="E23" s="10" t="s">
        <v>2515</v>
      </c>
      <c r="F23" s="10" t="s">
        <v>2518</v>
      </c>
      <c r="G23" s="10" t="s">
        <v>2441</v>
      </c>
      <c r="I23" s="10" t="s">
        <v>2443</v>
      </c>
      <c r="J23" s="10" t="s">
        <v>670</v>
      </c>
      <c r="K23" s="10" t="s">
        <v>2444</v>
      </c>
      <c r="N23" s="10" t="s">
        <v>2499</v>
      </c>
      <c r="O23" s="10" t="s">
        <v>2500</v>
      </c>
      <c r="P23" s="10" t="s">
        <v>2502</v>
      </c>
      <c r="S23" s="191">
        <v>45364.593218553244</v>
      </c>
      <c r="T23" s="10" t="s">
        <v>2509</v>
      </c>
      <c r="U23" s="10" t="s">
        <v>2510</v>
      </c>
      <c r="V23" s="10" t="s">
        <v>2511</v>
      </c>
      <c r="W23" s="10" t="s">
        <v>2512</v>
      </c>
      <c r="X23" s="10" t="s">
        <v>2513</v>
      </c>
      <c r="Y23" s="10" t="s">
        <v>2453</v>
      </c>
    </row>
    <row r="24" spans="1:25" ht="15" customHeight="1">
      <c r="B24" s="10" t="s">
        <v>2504</v>
      </c>
      <c r="C24" s="10" t="s">
        <v>2505</v>
      </c>
      <c r="D24" s="10" t="s">
        <v>2514</v>
      </c>
      <c r="E24" s="10" t="s">
        <v>2519</v>
      </c>
      <c r="F24" s="10" t="s">
        <v>2520</v>
      </c>
      <c r="G24" s="10" t="s">
        <v>2441</v>
      </c>
      <c r="I24" s="10" t="s">
        <v>2443</v>
      </c>
      <c r="J24" s="10" t="s">
        <v>670</v>
      </c>
      <c r="K24" s="10" t="s">
        <v>2444</v>
      </c>
      <c r="N24" s="10" t="s">
        <v>2445</v>
      </c>
      <c r="O24" s="10" t="s">
        <v>2500</v>
      </c>
      <c r="P24" s="10" t="s">
        <v>2502</v>
      </c>
      <c r="S24" s="191">
        <v>45364.593218553244</v>
      </c>
      <c r="T24" s="10" t="s">
        <v>2509</v>
      </c>
      <c r="U24" s="10" t="s">
        <v>2510</v>
      </c>
      <c r="V24" s="10" t="s">
        <v>2511</v>
      </c>
      <c r="W24" s="10" t="s">
        <v>2512</v>
      </c>
      <c r="X24" s="10" t="s">
        <v>2513</v>
      </c>
      <c r="Y24" s="10" t="s">
        <v>2453</v>
      </c>
    </row>
    <row r="25" spans="1:25" ht="15" customHeight="1">
      <c r="B25" s="10" t="s">
        <v>2504</v>
      </c>
      <c r="C25" s="10" t="s">
        <v>2505</v>
      </c>
      <c r="D25" s="10" t="s">
        <v>2514</v>
      </c>
      <c r="E25" s="10" t="s">
        <v>2519</v>
      </c>
      <c r="F25" s="10" t="s">
        <v>2521</v>
      </c>
      <c r="G25" s="10" t="s">
        <v>2441</v>
      </c>
      <c r="I25" s="10" t="s">
        <v>2443</v>
      </c>
      <c r="J25" s="10" t="s">
        <v>670</v>
      </c>
      <c r="K25" s="10" t="s">
        <v>2444</v>
      </c>
      <c r="N25" s="10" t="s">
        <v>2445</v>
      </c>
      <c r="O25" s="10" t="s">
        <v>2500</v>
      </c>
      <c r="P25" s="10" t="s">
        <v>2502</v>
      </c>
      <c r="S25" s="191">
        <v>45364.593218553244</v>
      </c>
      <c r="T25" s="10" t="s">
        <v>2509</v>
      </c>
      <c r="U25" s="10" t="s">
        <v>2510</v>
      </c>
      <c r="V25" s="10" t="s">
        <v>2511</v>
      </c>
      <c r="W25" s="10" t="s">
        <v>2512</v>
      </c>
      <c r="X25" s="10" t="s">
        <v>2513</v>
      </c>
      <c r="Y25" s="10" t="s">
        <v>2453</v>
      </c>
    </row>
    <row r="26" spans="1:25" ht="15" customHeight="1">
      <c r="B26" s="10" t="s">
        <v>2504</v>
      </c>
      <c r="C26" s="10" t="s">
        <v>2505</v>
      </c>
      <c r="D26" s="10" t="s">
        <v>2514</v>
      </c>
      <c r="E26" s="10" t="s">
        <v>2519</v>
      </c>
      <c r="F26" s="10" t="s">
        <v>2521</v>
      </c>
      <c r="G26" s="10" t="s">
        <v>2441</v>
      </c>
      <c r="I26" s="10" t="s">
        <v>2443</v>
      </c>
      <c r="J26" s="10" t="s">
        <v>670</v>
      </c>
      <c r="K26" s="10" t="s">
        <v>2444</v>
      </c>
      <c r="N26" s="10" t="s">
        <v>2499</v>
      </c>
      <c r="O26" s="10" t="s">
        <v>2500</v>
      </c>
      <c r="P26" s="10" t="s">
        <v>2502</v>
      </c>
      <c r="S26" s="191">
        <v>45364.593218553244</v>
      </c>
      <c r="T26" s="10" t="s">
        <v>2509</v>
      </c>
      <c r="U26" s="10" t="s">
        <v>2510</v>
      </c>
      <c r="V26" s="10" t="s">
        <v>2511</v>
      </c>
      <c r="W26" s="10" t="s">
        <v>2512</v>
      </c>
      <c r="X26" s="10" t="s">
        <v>2513</v>
      </c>
      <c r="Y26" s="10" t="s">
        <v>2453</v>
      </c>
    </row>
    <row r="27" spans="1:25" ht="15" customHeight="1">
      <c r="B27" s="10" t="s">
        <v>2504</v>
      </c>
      <c r="C27" s="10" t="s">
        <v>2505</v>
      </c>
      <c r="D27" s="10" t="s">
        <v>2514</v>
      </c>
      <c r="E27" s="10" t="s">
        <v>2522</v>
      </c>
      <c r="F27" s="10" t="s">
        <v>2523</v>
      </c>
      <c r="G27" s="10" t="s">
        <v>2441</v>
      </c>
      <c r="I27" s="10" t="s">
        <v>2443</v>
      </c>
      <c r="J27" s="10" t="s">
        <v>670</v>
      </c>
      <c r="K27" s="10" t="s">
        <v>2444</v>
      </c>
      <c r="N27" s="10" t="s">
        <v>2445</v>
      </c>
      <c r="O27" s="10" t="s">
        <v>2500</v>
      </c>
      <c r="P27" s="10" t="s">
        <v>2502</v>
      </c>
      <c r="S27" s="191">
        <v>45364.593218553244</v>
      </c>
      <c r="T27" s="10" t="s">
        <v>2509</v>
      </c>
      <c r="U27" s="10" t="s">
        <v>2510</v>
      </c>
      <c r="V27" s="10" t="s">
        <v>2511</v>
      </c>
      <c r="W27" s="10" t="s">
        <v>2512</v>
      </c>
      <c r="X27" s="10" t="s">
        <v>2513</v>
      </c>
      <c r="Y27" s="10" t="s">
        <v>2453</v>
      </c>
    </row>
    <row r="28" spans="1:25" ht="15" customHeight="1">
      <c r="B28" s="10" t="s">
        <v>2504</v>
      </c>
      <c r="C28" s="10" t="s">
        <v>2438</v>
      </c>
      <c r="D28" s="10" t="s">
        <v>2438</v>
      </c>
      <c r="E28" s="10" t="s">
        <v>2439</v>
      </c>
      <c r="F28" s="10" t="s">
        <v>2440</v>
      </c>
      <c r="G28" s="10" t="s">
        <v>2441</v>
      </c>
      <c r="I28" s="10" t="s">
        <v>2443</v>
      </c>
      <c r="J28" s="10" t="s">
        <v>670</v>
      </c>
      <c r="K28" s="10" t="s">
        <v>2444</v>
      </c>
      <c r="N28" s="10" t="s">
        <v>2499</v>
      </c>
      <c r="O28" s="10" t="s">
        <v>2500</v>
      </c>
      <c r="P28" s="10" t="s">
        <v>2502</v>
      </c>
      <c r="S28" s="191">
        <v>45364.593218553244</v>
      </c>
      <c r="T28" s="10" t="s">
        <v>2509</v>
      </c>
      <c r="U28" s="10" t="s">
        <v>2510</v>
      </c>
      <c r="V28" s="10" t="s">
        <v>2511</v>
      </c>
      <c r="W28" s="10" t="s">
        <v>2512</v>
      </c>
      <c r="X28" s="10" t="s">
        <v>2513</v>
      </c>
      <c r="Y28" s="10" t="s">
        <v>2453</v>
      </c>
    </row>
    <row r="29" spans="1:25" ht="15" customHeight="1">
      <c r="B29" s="10" t="s">
        <v>2504</v>
      </c>
      <c r="C29" s="10" t="s">
        <v>2438</v>
      </c>
      <c r="D29" s="10" t="s">
        <v>2438</v>
      </c>
      <c r="E29" s="10" t="s">
        <v>2439</v>
      </c>
      <c r="F29" s="10" t="s">
        <v>2524</v>
      </c>
      <c r="G29" s="10" t="s">
        <v>2441</v>
      </c>
      <c r="I29" s="10" t="s">
        <v>2443</v>
      </c>
      <c r="J29" s="10" t="s">
        <v>670</v>
      </c>
      <c r="K29" s="10" t="s">
        <v>2444</v>
      </c>
      <c r="N29" s="10" t="s">
        <v>2499</v>
      </c>
      <c r="O29" s="10" t="s">
        <v>2500</v>
      </c>
      <c r="P29" s="10" t="s">
        <v>2502</v>
      </c>
      <c r="S29" s="191">
        <v>45364.593218553244</v>
      </c>
      <c r="T29" s="10" t="s">
        <v>2509</v>
      </c>
      <c r="U29" s="10" t="s">
        <v>2510</v>
      </c>
      <c r="V29" s="10" t="s">
        <v>2511</v>
      </c>
      <c r="W29" s="10" t="s">
        <v>2512</v>
      </c>
      <c r="X29" s="10" t="s">
        <v>2513</v>
      </c>
      <c r="Y29" s="10" t="s">
        <v>2453</v>
      </c>
    </row>
    <row r="30" spans="1:25" ht="15" customHeight="1">
      <c r="B30" s="10" t="s">
        <v>2504</v>
      </c>
      <c r="C30" s="10" t="s">
        <v>2438</v>
      </c>
      <c r="D30" s="10" t="s">
        <v>2438</v>
      </c>
      <c r="E30" s="10" t="s">
        <v>2439</v>
      </c>
      <c r="F30" s="10" t="s">
        <v>2525</v>
      </c>
      <c r="G30" s="10" t="s">
        <v>2441</v>
      </c>
      <c r="I30" s="10" t="s">
        <v>2443</v>
      </c>
      <c r="J30" s="10" t="s">
        <v>670</v>
      </c>
      <c r="K30" s="10" t="s">
        <v>2444</v>
      </c>
      <c r="N30" s="10" t="s">
        <v>2499</v>
      </c>
      <c r="O30" s="10" t="s">
        <v>2500</v>
      </c>
      <c r="P30" s="10" t="s">
        <v>2502</v>
      </c>
      <c r="S30" s="191">
        <v>45364.593218553244</v>
      </c>
      <c r="T30" s="10" t="s">
        <v>2509</v>
      </c>
      <c r="U30" s="10" t="s">
        <v>2510</v>
      </c>
      <c r="V30" s="10" t="s">
        <v>2511</v>
      </c>
      <c r="W30" s="10" t="s">
        <v>2512</v>
      </c>
      <c r="X30" s="10" t="s">
        <v>2513</v>
      </c>
      <c r="Y30" s="10" t="s">
        <v>2453</v>
      </c>
    </row>
    <row r="31" spans="1:25" ht="15" customHeight="1">
      <c r="B31" s="10" t="s">
        <v>2504</v>
      </c>
      <c r="C31" s="10" t="s">
        <v>2438</v>
      </c>
      <c r="D31" s="10" t="s">
        <v>2438</v>
      </c>
      <c r="E31" s="10" t="s">
        <v>2439</v>
      </c>
      <c r="F31" s="10" t="s">
        <v>2526</v>
      </c>
      <c r="G31" s="10" t="s">
        <v>2441</v>
      </c>
      <c r="I31" s="10" t="s">
        <v>2443</v>
      </c>
      <c r="J31" s="10" t="s">
        <v>670</v>
      </c>
      <c r="K31" s="10" t="s">
        <v>2444</v>
      </c>
      <c r="N31" s="10" t="s">
        <v>2499</v>
      </c>
      <c r="O31" s="10" t="s">
        <v>2500</v>
      </c>
      <c r="P31" s="10" t="s">
        <v>2502</v>
      </c>
      <c r="S31" s="191">
        <v>45364.593218553244</v>
      </c>
      <c r="T31" s="10" t="s">
        <v>2509</v>
      </c>
      <c r="U31" s="10" t="s">
        <v>2510</v>
      </c>
      <c r="V31" s="10" t="s">
        <v>2511</v>
      </c>
      <c r="W31" s="10" t="s">
        <v>2512</v>
      </c>
      <c r="X31" s="10" t="s">
        <v>2513</v>
      </c>
      <c r="Y31" s="10" t="s">
        <v>2453</v>
      </c>
    </row>
    <row r="32" spans="1:25" ht="15" customHeight="1">
      <c r="B32" s="10" t="s">
        <v>2504</v>
      </c>
      <c r="C32" s="10" t="s">
        <v>2438</v>
      </c>
      <c r="D32" s="10" t="s">
        <v>2438</v>
      </c>
      <c r="E32" s="10" t="s">
        <v>2439</v>
      </c>
      <c r="F32" s="10" t="s">
        <v>2527</v>
      </c>
      <c r="G32" s="10" t="s">
        <v>2441</v>
      </c>
      <c r="I32" s="10" t="s">
        <v>2443</v>
      </c>
      <c r="J32" s="10" t="s">
        <v>670</v>
      </c>
      <c r="K32" s="10" t="s">
        <v>2444</v>
      </c>
      <c r="N32" s="10" t="s">
        <v>2499</v>
      </c>
      <c r="O32" s="10" t="s">
        <v>2500</v>
      </c>
      <c r="P32" s="10" t="s">
        <v>2502</v>
      </c>
      <c r="S32" s="191">
        <v>45364.593218553244</v>
      </c>
      <c r="T32" s="10" t="s">
        <v>2509</v>
      </c>
      <c r="U32" s="10" t="s">
        <v>2510</v>
      </c>
      <c r="V32" s="10" t="s">
        <v>2511</v>
      </c>
      <c r="W32" s="10" t="s">
        <v>2512</v>
      </c>
      <c r="X32" s="10" t="s">
        <v>2513</v>
      </c>
      <c r="Y32" s="10" t="s">
        <v>2453</v>
      </c>
    </row>
    <row r="33" spans="2:25" ht="15" customHeight="1">
      <c r="B33" s="10" t="s">
        <v>2504</v>
      </c>
      <c r="C33" s="10" t="s">
        <v>2438</v>
      </c>
      <c r="D33" s="10" t="s">
        <v>2438</v>
      </c>
      <c r="E33" s="10" t="s">
        <v>2528</v>
      </c>
      <c r="F33" s="10" t="s">
        <v>2529</v>
      </c>
      <c r="G33" s="10" t="s">
        <v>2441</v>
      </c>
      <c r="I33" s="10" t="s">
        <v>2443</v>
      </c>
      <c r="J33" s="10" t="s">
        <v>670</v>
      </c>
      <c r="K33" s="10" t="s">
        <v>2444</v>
      </c>
      <c r="N33" s="10" t="s">
        <v>2499</v>
      </c>
      <c r="O33" s="10" t="s">
        <v>2500</v>
      </c>
      <c r="P33" s="10" t="s">
        <v>2502</v>
      </c>
      <c r="S33" s="191">
        <v>45364.593218553244</v>
      </c>
      <c r="T33" s="10" t="s">
        <v>2509</v>
      </c>
      <c r="U33" s="10" t="s">
        <v>2510</v>
      </c>
      <c r="V33" s="10" t="s">
        <v>2511</v>
      </c>
      <c r="W33" s="10" t="s">
        <v>2512</v>
      </c>
      <c r="X33" s="10" t="s">
        <v>2513</v>
      </c>
      <c r="Y33" s="10" t="s">
        <v>2453</v>
      </c>
    </row>
    <row r="34" spans="2:25" ht="15" customHeight="1">
      <c r="B34" s="10" t="s">
        <v>2504</v>
      </c>
      <c r="C34" s="10" t="s">
        <v>2530</v>
      </c>
      <c r="D34" s="10" t="s">
        <v>2530</v>
      </c>
      <c r="E34" s="10" t="s">
        <v>2531</v>
      </c>
      <c r="F34" s="10" t="s">
        <v>2532</v>
      </c>
      <c r="G34" s="10" t="s">
        <v>2441</v>
      </c>
      <c r="I34" s="10" t="s">
        <v>2443</v>
      </c>
      <c r="J34" s="10" t="s">
        <v>670</v>
      </c>
      <c r="K34" s="10" t="s">
        <v>2444</v>
      </c>
      <c r="N34" s="10" t="s">
        <v>2499</v>
      </c>
      <c r="O34" s="10" t="s">
        <v>2500</v>
      </c>
      <c r="P34" s="10" t="s">
        <v>2502</v>
      </c>
      <c r="S34" s="191">
        <v>45364.593218553244</v>
      </c>
      <c r="T34" s="10" t="s">
        <v>2509</v>
      </c>
      <c r="U34" s="10" t="s">
        <v>2510</v>
      </c>
      <c r="V34" s="10" t="s">
        <v>2511</v>
      </c>
      <c r="W34" s="10" t="s">
        <v>2512</v>
      </c>
      <c r="X34" s="10" t="s">
        <v>2513</v>
      </c>
      <c r="Y34" s="10" t="s">
        <v>2453</v>
      </c>
    </row>
    <row r="35" spans="2:25" ht="15" customHeight="1">
      <c r="B35" s="10" t="s">
        <v>2504</v>
      </c>
      <c r="C35" s="10" t="s">
        <v>2530</v>
      </c>
      <c r="D35" s="10" t="s">
        <v>2530</v>
      </c>
      <c r="E35" s="10" t="s">
        <v>2531</v>
      </c>
      <c r="F35" s="10" t="s">
        <v>2533</v>
      </c>
      <c r="G35" s="10" t="s">
        <v>2441</v>
      </c>
      <c r="I35" s="10" t="s">
        <v>2443</v>
      </c>
      <c r="J35" s="10" t="s">
        <v>670</v>
      </c>
      <c r="K35" s="10" t="s">
        <v>2444</v>
      </c>
      <c r="N35" s="10" t="s">
        <v>2499</v>
      </c>
      <c r="O35" s="10" t="s">
        <v>2500</v>
      </c>
      <c r="P35" s="10" t="s">
        <v>2502</v>
      </c>
      <c r="S35" s="191">
        <v>45364.593218553244</v>
      </c>
      <c r="T35" s="10" t="s">
        <v>2509</v>
      </c>
      <c r="U35" s="10" t="s">
        <v>2510</v>
      </c>
      <c r="V35" s="10" t="s">
        <v>2511</v>
      </c>
      <c r="W35" s="10" t="s">
        <v>2512</v>
      </c>
      <c r="X35" s="10" t="s">
        <v>2513</v>
      </c>
      <c r="Y35" s="10" t="s">
        <v>2453</v>
      </c>
    </row>
    <row r="36" spans="2:25" ht="15" customHeight="1">
      <c r="B36" s="10" t="s">
        <v>2504</v>
      </c>
      <c r="C36" s="10" t="s">
        <v>2530</v>
      </c>
      <c r="D36" s="10" t="s">
        <v>2530</v>
      </c>
      <c r="E36" s="10" t="s">
        <v>2531</v>
      </c>
      <c r="F36" s="10" t="s">
        <v>2534</v>
      </c>
      <c r="G36" s="10" t="s">
        <v>2441</v>
      </c>
      <c r="I36" s="10" t="s">
        <v>2443</v>
      </c>
      <c r="J36" s="10" t="s">
        <v>670</v>
      </c>
      <c r="K36" s="10" t="s">
        <v>2444</v>
      </c>
      <c r="N36" s="10" t="s">
        <v>2499</v>
      </c>
      <c r="O36" s="10" t="s">
        <v>2500</v>
      </c>
      <c r="P36" s="10" t="s">
        <v>2502</v>
      </c>
      <c r="S36" s="191">
        <v>45364.593218553244</v>
      </c>
      <c r="T36" s="10" t="s">
        <v>2509</v>
      </c>
      <c r="U36" s="10" t="s">
        <v>2510</v>
      </c>
      <c r="V36" s="10" t="s">
        <v>2511</v>
      </c>
      <c r="W36" s="10" t="s">
        <v>2512</v>
      </c>
      <c r="X36" s="10" t="s">
        <v>2513</v>
      </c>
      <c r="Y36" s="10" t="s">
        <v>2453</v>
      </c>
    </row>
    <row r="37" spans="2:25">
      <c r="B37" s="10" t="s">
        <v>2504</v>
      </c>
      <c r="C37" s="10" t="s">
        <v>2535</v>
      </c>
      <c r="D37" s="10" t="s">
        <v>2536</v>
      </c>
      <c r="E37" s="10" t="s">
        <v>2537</v>
      </c>
      <c r="F37" s="10" t="s">
        <v>2538</v>
      </c>
      <c r="G37" s="10" t="s">
        <v>2441</v>
      </c>
      <c r="I37" s="10" t="s">
        <v>2443</v>
      </c>
      <c r="J37" s="10" t="s">
        <v>670</v>
      </c>
      <c r="K37" s="10" t="s">
        <v>2444</v>
      </c>
      <c r="N37" s="10" t="s">
        <v>2499</v>
      </c>
      <c r="O37" s="10" t="s">
        <v>2500</v>
      </c>
      <c r="P37" s="10" t="s">
        <v>2502</v>
      </c>
      <c r="S37" s="191">
        <v>45364.593218553244</v>
      </c>
      <c r="T37" s="10" t="s">
        <v>2509</v>
      </c>
      <c r="U37" s="10" t="s">
        <v>2510</v>
      </c>
      <c r="V37" s="10" t="s">
        <v>2511</v>
      </c>
      <c r="W37" s="10" t="s">
        <v>2512</v>
      </c>
      <c r="X37" s="10" t="s">
        <v>2513</v>
      </c>
      <c r="Y37" s="10" t="s">
        <v>2453</v>
      </c>
    </row>
    <row r="38" spans="2:25">
      <c r="B38" s="10" t="s">
        <v>2504</v>
      </c>
      <c r="C38" s="10" t="s">
        <v>2455</v>
      </c>
      <c r="D38" s="10" t="s">
        <v>2455</v>
      </c>
      <c r="E38" s="10" t="s">
        <v>2490</v>
      </c>
      <c r="F38" s="10" t="s">
        <v>2491</v>
      </c>
      <c r="G38" s="10" t="s">
        <v>2441</v>
      </c>
      <c r="I38" s="10" t="s">
        <v>2443</v>
      </c>
      <c r="J38" s="10" t="s">
        <v>670</v>
      </c>
      <c r="K38" s="10" t="s">
        <v>2444</v>
      </c>
      <c r="N38" s="10" t="s">
        <v>2499</v>
      </c>
      <c r="O38" s="10" t="s">
        <v>2500</v>
      </c>
      <c r="P38" s="10" t="s">
        <v>2502</v>
      </c>
      <c r="S38" s="191">
        <v>45364.593218553244</v>
      </c>
      <c r="T38" s="10" t="s">
        <v>2509</v>
      </c>
      <c r="U38" s="10" t="s">
        <v>2510</v>
      </c>
      <c r="V38" s="10" t="s">
        <v>2511</v>
      </c>
      <c r="W38" s="10" t="s">
        <v>2512</v>
      </c>
      <c r="X38" s="10" t="s">
        <v>2513</v>
      </c>
      <c r="Y38" s="10" t="s">
        <v>2453</v>
      </c>
    </row>
    <row r="39" spans="2:25">
      <c r="B39" s="10" t="s">
        <v>2504</v>
      </c>
      <c r="C39" s="10" t="s">
        <v>2455</v>
      </c>
      <c r="D39" s="10" t="s">
        <v>2455</v>
      </c>
      <c r="E39" s="10" t="s">
        <v>2490</v>
      </c>
      <c r="F39" s="10" t="s">
        <v>2539</v>
      </c>
      <c r="G39" s="10" t="s">
        <v>2441</v>
      </c>
      <c r="I39" s="10" t="s">
        <v>2443</v>
      </c>
      <c r="J39" s="10" t="s">
        <v>670</v>
      </c>
      <c r="K39" s="10" t="s">
        <v>2444</v>
      </c>
      <c r="N39" s="10" t="s">
        <v>2499</v>
      </c>
      <c r="O39" s="10" t="s">
        <v>2500</v>
      </c>
      <c r="P39" s="10" t="s">
        <v>2502</v>
      </c>
      <c r="S39" s="191">
        <v>45364.593218553244</v>
      </c>
      <c r="T39" s="10" t="s">
        <v>2509</v>
      </c>
      <c r="U39" s="10" t="s">
        <v>2510</v>
      </c>
      <c r="V39" s="10" t="s">
        <v>2511</v>
      </c>
      <c r="W39" s="10" t="s">
        <v>2512</v>
      </c>
      <c r="X39" s="10" t="s">
        <v>2513</v>
      </c>
      <c r="Y39" s="10" t="s">
        <v>2453</v>
      </c>
    </row>
    <row r="40" spans="2:25">
      <c r="B40" s="10" t="s">
        <v>2454</v>
      </c>
      <c r="C40" s="10" t="s">
        <v>2455</v>
      </c>
      <c r="D40" s="10" t="s">
        <v>2455</v>
      </c>
      <c r="E40" s="10" t="s">
        <v>2456</v>
      </c>
      <c r="F40" s="10" t="s">
        <v>2457</v>
      </c>
      <c r="G40" s="10" t="s">
        <v>2441</v>
      </c>
      <c r="H40" s="10" t="s">
        <v>2442</v>
      </c>
      <c r="I40" s="10" t="s">
        <v>2443</v>
      </c>
      <c r="J40" s="10" t="s">
        <v>670</v>
      </c>
      <c r="K40" s="10" t="s">
        <v>2444</v>
      </c>
      <c r="N40" s="10" t="s">
        <v>2458</v>
      </c>
      <c r="O40" s="10" t="s">
        <v>2500</v>
      </c>
      <c r="P40" s="10" t="s">
        <v>2502</v>
      </c>
      <c r="S40" s="191">
        <v>45322.539872337962</v>
      </c>
      <c r="T40" s="10" t="s">
        <v>2459</v>
      </c>
      <c r="U40" s="10" t="s">
        <v>2460</v>
      </c>
      <c r="V40" s="10" t="s">
        <v>2461</v>
      </c>
      <c r="W40" s="10" t="s">
        <v>2462</v>
      </c>
      <c r="X40" s="10" t="s">
        <v>2463</v>
      </c>
      <c r="Y40" s="10" t="s">
        <v>2453</v>
      </c>
    </row>
    <row r="41" spans="2:25">
      <c r="B41" s="10" t="s">
        <v>2454</v>
      </c>
      <c r="C41" s="10" t="s">
        <v>2464</v>
      </c>
      <c r="D41" s="10" t="s">
        <v>2465</v>
      </c>
      <c r="E41" s="10" t="s">
        <v>2466</v>
      </c>
      <c r="F41" s="10" t="s">
        <v>2467</v>
      </c>
      <c r="G41" s="10" t="s">
        <v>2441</v>
      </c>
      <c r="H41" s="10" t="s">
        <v>2442</v>
      </c>
      <c r="I41" s="10" t="s">
        <v>2443</v>
      </c>
      <c r="J41" s="10" t="s">
        <v>670</v>
      </c>
      <c r="K41" s="10" t="s">
        <v>2444</v>
      </c>
      <c r="N41" s="10" t="s">
        <v>2458</v>
      </c>
      <c r="O41" s="10" t="s">
        <v>2500</v>
      </c>
      <c r="P41" s="10" t="s">
        <v>2502</v>
      </c>
      <c r="S41" s="191">
        <v>45322.539872337962</v>
      </c>
      <c r="T41" s="10" t="s">
        <v>2459</v>
      </c>
      <c r="U41" s="10" t="s">
        <v>2460</v>
      </c>
      <c r="V41" s="10" t="s">
        <v>2461</v>
      </c>
      <c r="W41" s="10" t="s">
        <v>2462</v>
      </c>
      <c r="X41" s="10" t="s">
        <v>2463</v>
      </c>
      <c r="Y41" s="10" t="s">
        <v>2453</v>
      </c>
    </row>
    <row r="42" spans="2:25">
      <c r="B42" s="10" t="s">
        <v>2480</v>
      </c>
      <c r="C42" s="10" t="s">
        <v>2438</v>
      </c>
      <c r="D42" s="10" t="s">
        <v>2438</v>
      </c>
      <c r="E42" s="10" t="s">
        <v>2540</v>
      </c>
      <c r="F42" s="10" t="s">
        <v>2541</v>
      </c>
      <c r="G42" s="10" t="s">
        <v>2441</v>
      </c>
      <c r="H42" s="10" t="s">
        <v>2442</v>
      </c>
      <c r="I42" s="10" t="s">
        <v>2443</v>
      </c>
      <c r="J42" s="10" t="s">
        <v>670</v>
      </c>
      <c r="K42" s="10" t="s">
        <v>2444</v>
      </c>
      <c r="N42" s="10" t="s">
        <v>2492</v>
      </c>
      <c r="O42" s="10" t="s">
        <v>2500</v>
      </c>
      <c r="P42" s="10" t="s">
        <v>2501</v>
      </c>
      <c r="S42" s="191">
        <v>45106.039233368057</v>
      </c>
      <c r="T42" s="10" t="s">
        <v>2483</v>
      </c>
      <c r="U42" s="10" t="s">
        <v>2484</v>
      </c>
      <c r="V42" s="10" t="s">
        <v>2485</v>
      </c>
      <c r="W42" s="10" t="s">
        <v>2486</v>
      </c>
      <c r="X42" s="10" t="s">
        <v>2487</v>
      </c>
      <c r="Y42" s="10" t="s">
        <v>2453</v>
      </c>
    </row>
    <row r="43" spans="2:25">
      <c r="B43" s="10" t="s">
        <v>2480</v>
      </c>
      <c r="C43" s="10" t="s">
        <v>2455</v>
      </c>
      <c r="D43" s="10" t="s">
        <v>2455</v>
      </c>
      <c r="E43" s="10" t="s">
        <v>2481</v>
      </c>
      <c r="F43" s="10" t="s">
        <v>2482</v>
      </c>
      <c r="G43" s="10" t="s">
        <v>2441</v>
      </c>
      <c r="H43" s="10" t="s">
        <v>2542</v>
      </c>
      <c r="I43" s="10" t="s">
        <v>2443</v>
      </c>
      <c r="J43" s="10" t="s">
        <v>670</v>
      </c>
      <c r="K43" s="10" t="s">
        <v>2444</v>
      </c>
      <c r="N43" s="10" t="s">
        <v>2492</v>
      </c>
      <c r="O43" s="10" t="s">
        <v>2500</v>
      </c>
      <c r="P43" s="10" t="s">
        <v>2501</v>
      </c>
      <c r="S43" s="191">
        <v>45106.039233368057</v>
      </c>
      <c r="T43" s="10" t="s">
        <v>2483</v>
      </c>
      <c r="U43" s="10" t="s">
        <v>2484</v>
      </c>
      <c r="V43" s="10" t="s">
        <v>2485</v>
      </c>
      <c r="W43" s="10" t="s">
        <v>2486</v>
      </c>
      <c r="X43" s="10" t="s">
        <v>2487</v>
      </c>
      <c r="Y43" s="10" t="s">
        <v>2453</v>
      </c>
    </row>
    <row r="44" spans="2:25">
      <c r="B44" s="10" t="s">
        <v>2480</v>
      </c>
      <c r="C44" s="10" t="s">
        <v>2455</v>
      </c>
      <c r="D44" s="10" t="s">
        <v>2455</v>
      </c>
      <c r="E44" s="10" t="s">
        <v>2481</v>
      </c>
      <c r="F44" s="10" t="s">
        <v>2482</v>
      </c>
      <c r="G44" s="10" t="s">
        <v>740</v>
      </c>
      <c r="H44" s="10" t="s">
        <v>2542</v>
      </c>
      <c r="I44" s="10" t="s">
        <v>2443</v>
      </c>
      <c r="J44" s="10" t="s">
        <v>670</v>
      </c>
      <c r="K44" s="10" t="s">
        <v>2444</v>
      </c>
      <c r="N44" s="10" t="s">
        <v>2445</v>
      </c>
      <c r="O44" s="10" t="s">
        <v>2500</v>
      </c>
      <c r="P44" s="10" t="s">
        <v>2501</v>
      </c>
      <c r="S44" s="191">
        <v>45106.039233368057</v>
      </c>
      <c r="T44" s="10" t="s">
        <v>2483</v>
      </c>
      <c r="U44" s="10" t="s">
        <v>2484</v>
      </c>
      <c r="V44" s="10" t="s">
        <v>2485</v>
      </c>
      <c r="W44" s="10" t="s">
        <v>2486</v>
      </c>
      <c r="X44" s="10" t="s">
        <v>2487</v>
      </c>
      <c r="Y44" s="10" t="s">
        <v>2453</v>
      </c>
    </row>
    <row r="45" spans="2:25">
      <c r="B45" s="10" t="s">
        <v>2480</v>
      </c>
      <c r="C45" s="10" t="s">
        <v>2455</v>
      </c>
      <c r="D45" s="10" t="s">
        <v>2455</v>
      </c>
      <c r="E45" s="10" t="s">
        <v>2543</v>
      </c>
      <c r="F45" s="10" t="s">
        <v>2544</v>
      </c>
      <c r="G45" s="10" t="s">
        <v>2441</v>
      </c>
      <c r="H45" s="10" t="s">
        <v>2442</v>
      </c>
      <c r="I45" s="10" t="s">
        <v>2443</v>
      </c>
      <c r="J45" s="10" t="s">
        <v>670</v>
      </c>
      <c r="K45" s="10" t="s">
        <v>2444</v>
      </c>
      <c r="N45" s="10" t="s">
        <v>2492</v>
      </c>
      <c r="O45" s="10" t="s">
        <v>2500</v>
      </c>
      <c r="P45" s="10" t="s">
        <v>2501</v>
      </c>
      <c r="S45" s="191">
        <v>45106.039233368057</v>
      </c>
      <c r="T45" s="10" t="s">
        <v>2483</v>
      </c>
      <c r="U45" s="10" t="s">
        <v>2484</v>
      </c>
      <c r="V45" s="10" t="s">
        <v>2485</v>
      </c>
      <c r="W45" s="10" t="s">
        <v>2486</v>
      </c>
      <c r="X45" s="10" t="s">
        <v>2487</v>
      </c>
      <c r="Y45" s="10" t="s">
        <v>2453</v>
      </c>
    </row>
    <row r="46" spans="2:25">
      <c r="B46" s="10" t="s">
        <v>2480</v>
      </c>
      <c r="C46" s="10" t="s">
        <v>2455</v>
      </c>
      <c r="D46" s="10" t="s">
        <v>2455</v>
      </c>
      <c r="E46" s="10" t="s">
        <v>2456</v>
      </c>
      <c r="F46" s="10" t="s">
        <v>2545</v>
      </c>
      <c r="G46" s="10" t="s">
        <v>2441</v>
      </c>
      <c r="H46" s="10" t="s">
        <v>2542</v>
      </c>
      <c r="I46" s="10" t="s">
        <v>2443</v>
      </c>
      <c r="J46" s="10" t="s">
        <v>670</v>
      </c>
      <c r="K46" s="10" t="s">
        <v>2444</v>
      </c>
      <c r="N46" s="10" t="s">
        <v>2492</v>
      </c>
      <c r="O46" s="10" t="s">
        <v>2500</v>
      </c>
      <c r="P46" s="10" t="s">
        <v>2501</v>
      </c>
      <c r="S46" s="191">
        <v>45106.039233368057</v>
      </c>
      <c r="T46" s="10" t="s">
        <v>2483</v>
      </c>
      <c r="U46" s="10" t="s">
        <v>2484</v>
      </c>
      <c r="V46" s="10" t="s">
        <v>2485</v>
      </c>
      <c r="W46" s="10" t="s">
        <v>2486</v>
      </c>
      <c r="X46" s="10" t="s">
        <v>2487</v>
      </c>
      <c r="Y46" s="10" t="s">
        <v>2453</v>
      </c>
    </row>
    <row r="47" spans="2:25">
      <c r="B47" s="10" t="s">
        <v>2480</v>
      </c>
      <c r="C47" s="10" t="s">
        <v>2455</v>
      </c>
      <c r="D47" s="10" t="s">
        <v>2455</v>
      </c>
      <c r="E47" s="10" t="s">
        <v>2456</v>
      </c>
      <c r="F47" s="10" t="s">
        <v>2488</v>
      </c>
      <c r="G47" s="10" t="s">
        <v>2441</v>
      </c>
      <c r="H47" s="10" t="s">
        <v>2442</v>
      </c>
      <c r="I47" s="10" t="s">
        <v>2443</v>
      </c>
      <c r="J47" s="10" t="s">
        <v>670</v>
      </c>
      <c r="K47" s="10" t="s">
        <v>2444</v>
      </c>
      <c r="N47" s="10" t="s">
        <v>2492</v>
      </c>
      <c r="O47" s="10" t="s">
        <v>2500</v>
      </c>
      <c r="P47" s="10" t="s">
        <v>2501</v>
      </c>
      <c r="S47" s="191">
        <v>45106.039233368057</v>
      </c>
      <c r="T47" s="10" t="s">
        <v>2483</v>
      </c>
      <c r="U47" s="10" t="s">
        <v>2484</v>
      </c>
      <c r="V47" s="10" t="s">
        <v>2485</v>
      </c>
      <c r="W47" s="10" t="s">
        <v>2486</v>
      </c>
      <c r="X47" s="10" t="s">
        <v>2487</v>
      </c>
      <c r="Y47" s="10" t="s">
        <v>2453</v>
      </c>
    </row>
    <row r="48" spans="2:25">
      <c r="B48" s="10" t="s">
        <v>2480</v>
      </c>
      <c r="C48" s="10" t="s">
        <v>2455</v>
      </c>
      <c r="D48" s="10" t="s">
        <v>2455</v>
      </c>
      <c r="E48" s="10" t="s">
        <v>2490</v>
      </c>
      <c r="F48" s="10" t="s">
        <v>2491</v>
      </c>
      <c r="G48" s="10" t="s">
        <v>2441</v>
      </c>
      <c r="H48" s="10" t="s">
        <v>2442</v>
      </c>
      <c r="I48" s="10" t="s">
        <v>2443</v>
      </c>
      <c r="J48" s="10" t="s">
        <v>670</v>
      </c>
      <c r="K48" s="10" t="s">
        <v>2444</v>
      </c>
      <c r="N48" s="10" t="s">
        <v>2492</v>
      </c>
      <c r="O48" s="10" t="s">
        <v>2500</v>
      </c>
      <c r="P48" s="10" t="s">
        <v>2501</v>
      </c>
      <c r="S48" s="191">
        <v>45106.039233368057</v>
      </c>
      <c r="T48" s="10" t="s">
        <v>2483</v>
      </c>
      <c r="U48" s="10" t="s">
        <v>2484</v>
      </c>
      <c r="V48" s="10" t="s">
        <v>2485</v>
      </c>
      <c r="W48" s="10" t="s">
        <v>2486</v>
      </c>
      <c r="X48" s="10" t="s">
        <v>2487</v>
      </c>
      <c r="Y48" s="10" t="s">
        <v>2453</v>
      </c>
    </row>
    <row r="49" spans="2:25">
      <c r="B49" s="10" t="s">
        <v>2480</v>
      </c>
      <c r="C49" s="10" t="s">
        <v>2455</v>
      </c>
      <c r="D49" s="10" t="s">
        <v>2455</v>
      </c>
      <c r="E49" s="10" t="s">
        <v>2546</v>
      </c>
      <c r="F49" s="10" t="s">
        <v>2547</v>
      </c>
      <c r="G49" s="10" t="s">
        <v>2441</v>
      </c>
      <c r="H49" s="10" t="s">
        <v>2442</v>
      </c>
      <c r="I49" s="10" t="s">
        <v>2443</v>
      </c>
      <c r="J49" s="10" t="s">
        <v>670</v>
      </c>
      <c r="K49" s="10" t="s">
        <v>2444</v>
      </c>
      <c r="N49" s="10" t="s">
        <v>2492</v>
      </c>
      <c r="O49" s="10" t="s">
        <v>2500</v>
      </c>
      <c r="P49" s="10" t="s">
        <v>2501</v>
      </c>
      <c r="S49" s="191">
        <v>45106.039233368057</v>
      </c>
      <c r="T49" s="10" t="s">
        <v>2483</v>
      </c>
      <c r="U49" s="10" t="s">
        <v>2484</v>
      </c>
      <c r="V49" s="10" t="s">
        <v>2485</v>
      </c>
      <c r="W49" s="10" t="s">
        <v>2486</v>
      </c>
      <c r="X49" s="10" t="s">
        <v>2487</v>
      </c>
      <c r="Y49" s="10" t="s">
        <v>2453</v>
      </c>
    </row>
    <row r="50" spans="2:25">
      <c r="B50" s="10" t="s">
        <v>2480</v>
      </c>
      <c r="C50" s="10" t="s">
        <v>2455</v>
      </c>
      <c r="D50" s="10" t="s">
        <v>2455</v>
      </c>
      <c r="E50" s="10" t="s">
        <v>2548</v>
      </c>
      <c r="F50" s="10" t="s">
        <v>2549</v>
      </c>
      <c r="G50" s="10" t="s">
        <v>2441</v>
      </c>
      <c r="H50" s="10" t="s">
        <v>2442</v>
      </c>
      <c r="I50" s="10" t="s">
        <v>2443</v>
      </c>
      <c r="J50" s="10" t="s">
        <v>670</v>
      </c>
      <c r="K50" s="10" t="s">
        <v>2444</v>
      </c>
      <c r="N50" s="10" t="s">
        <v>2492</v>
      </c>
      <c r="O50" s="10" t="s">
        <v>2500</v>
      </c>
      <c r="P50" s="10" t="s">
        <v>2501</v>
      </c>
      <c r="S50" s="191">
        <v>45106.039233368057</v>
      </c>
      <c r="T50" s="10" t="s">
        <v>2483</v>
      </c>
      <c r="U50" s="10" t="s">
        <v>2484</v>
      </c>
      <c r="V50" s="10" t="s">
        <v>2485</v>
      </c>
      <c r="W50" s="10" t="s">
        <v>2486</v>
      </c>
      <c r="X50" s="10" t="s">
        <v>2487</v>
      </c>
      <c r="Y50" s="10" t="s">
        <v>2453</v>
      </c>
    </row>
    <row r="51" spans="2:25">
      <c r="B51" s="10" t="s">
        <v>2480</v>
      </c>
      <c r="C51" s="10" t="s">
        <v>2455</v>
      </c>
      <c r="D51" s="10" t="s">
        <v>2455</v>
      </c>
      <c r="E51" s="10" t="s">
        <v>2494</v>
      </c>
      <c r="F51" s="10" t="s">
        <v>2495</v>
      </c>
      <c r="G51" s="10" t="s">
        <v>2441</v>
      </c>
      <c r="H51" s="10" t="s">
        <v>2442</v>
      </c>
      <c r="I51" s="10" t="s">
        <v>2443</v>
      </c>
      <c r="J51" s="10" t="s">
        <v>670</v>
      </c>
      <c r="K51" s="10" t="s">
        <v>2444</v>
      </c>
      <c r="N51" s="10" t="s">
        <v>2492</v>
      </c>
      <c r="O51" s="10" t="s">
        <v>2500</v>
      </c>
      <c r="P51" s="10" t="s">
        <v>2501</v>
      </c>
      <c r="S51" s="191">
        <v>45106.039233368057</v>
      </c>
      <c r="T51" s="10" t="s">
        <v>2483</v>
      </c>
      <c r="U51" s="10" t="s">
        <v>2484</v>
      </c>
      <c r="V51" s="10" t="s">
        <v>2485</v>
      </c>
      <c r="W51" s="10" t="s">
        <v>2486</v>
      </c>
      <c r="X51" s="10" t="s">
        <v>2487</v>
      </c>
      <c r="Y51" s="10" t="s">
        <v>2453</v>
      </c>
    </row>
    <row r="52" spans="2:25">
      <c r="B52" s="10" t="s">
        <v>2480</v>
      </c>
      <c r="C52" s="10" t="s">
        <v>2455</v>
      </c>
      <c r="D52" s="10" t="s">
        <v>2455</v>
      </c>
      <c r="E52" s="10" t="s">
        <v>2494</v>
      </c>
      <c r="F52" s="10" t="s">
        <v>2495</v>
      </c>
      <c r="G52" s="10" t="s">
        <v>1910</v>
      </c>
      <c r="H52" s="10" t="s">
        <v>2442</v>
      </c>
      <c r="I52" s="10" t="s">
        <v>2443</v>
      </c>
      <c r="J52" s="10" t="s">
        <v>670</v>
      </c>
      <c r="K52" s="10" t="s">
        <v>2444</v>
      </c>
      <c r="N52" s="10" t="s">
        <v>2445</v>
      </c>
      <c r="O52" s="10" t="s">
        <v>2500</v>
      </c>
      <c r="P52" s="10" t="s">
        <v>2501</v>
      </c>
      <c r="S52" s="191">
        <v>45106.039233368057</v>
      </c>
      <c r="T52" s="10" t="s">
        <v>2483</v>
      </c>
      <c r="U52" s="10" t="s">
        <v>2484</v>
      </c>
      <c r="V52" s="10" t="s">
        <v>2485</v>
      </c>
      <c r="W52" s="10" t="s">
        <v>2486</v>
      </c>
      <c r="X52" s="10" t="s">
        <v>2487</v>
      </c>
      <c r="Y52" s="10" t="s">
        <v>2453</v>
      </c>
    </row>
    <row r="53" spans="2:25">
      <c r="B53" s="10" t="s">
        <v>2480</v>
      </c>
      <c r="C53" s="10" t="s">
        <v>2464</v>
      </c>
      <c r="D53" s="10" t="s">
        <v>2465</v>
      </c>
      <c r="E53" s="10" t="s">
        <v>2550</v>
      </c>
      <c r="F53" s="10" t="s">
        <v>2551</v>
      </c>
      <c r="G53" s="10" t="s">
        <v>740</v>
      </c>
      <c r="H53" s="10" t="s">
        <v>2442</v>
      </c>
      <c r="I53" s="10" t="s">
        <v>2443</v>
      </c>
      <c r="J53" s="10" t="s">
        <v>670</v>
      </c>
      <c r="K53" s="10" t="s">
        <v>2444</v>
      </c>
      <c r="N53" s="10" t="s">
        <v>2492</v>
      </c>
      <c r="O53" s="10" t="s">
        <v>2500</v>
      </c>
      <c r="P53" s="10" t="s">
        <v>2501</v>
      </c>
      <c r="S53" s="191">
        <v>45106.039233368057</v>
      </c>
      <c r="T53" s="10" t="s">
        <v>2483</v>
      </c>
      <c r="U53" s="10" t="s">
        <v>2484</v>
      </c>
      <c r="V53" s="10" t="s">
        <v>2485</v>
      </c>
      <c r="W53" s="10" t="s">
        <v>2486</v>
      </c>
      <c r="X53" s="10" t="s">
        <v>2487</v>
      </c>
      <c r="Y53" s="10" t="s">
        <v>2453</v>
      </c>
    </row>
    <row r="54" spans="2:25">
      <c r="B54" s="10" t="s">
        <v>2454</v>
      </c>
      <c r="C54" s="10" t="s">
        <v>2455</v>
      </c>
      <c r="D54" s="10" t="s">
        <v>2455</v>
      </c>
      <c r="E54" s="10" t="s">
        <v>2456</v>
      </c>
      <c r="F54" s="10" t="s">
        <v>2457</v>
      </c>
      <c r="G54" s="10" t="s">
        <v>2441</v>
      </c>
      <c r="H54" s="10" t="s">
        <v>2442</v>
      </c>
      <c r="I54" s="10" t="s">
        <v>2443</v>
      </c>
      <c r="J54" s="10" t="s">
        <v>670</v>
      </c>
      <c r="K54" s="10" t="s">
        <v>2444</v>
      </c>
      <c r="N54" s="10" t="s">
        <v>2458</v>
      </c>
      <c r="O54" s="10" t="s">
        <v>2500</v>
      </c>
      <c r="P54" s="10" t="s">
        <v>2501</v>
      </c>
      <c r="S54" s="191">
        <v>44957.010267094905</v>
      </c>
      <c r="T54" s="10" t="s">
        <v>2459</v>
      </c>
      <c r="U54" s="10" t="s">
        <v>2460</v>
      </c>
      <c r="V54" s="10" t="s">
        <v>2461</v>
      </c>
      <c r="W54" s="10" t="s">
        <v>2462</v>
      </c>
      <c r="X54" s="10" t="s">
        <v>2463</v>
      </c>
      <c r="Y54" s="10" t="s">
        <v>2453</v>
      </c>
    </row>
    <row r="55" spans="2:25">
      <c r="B55" s="10" t="s">
        <v>2454</v>
      </c>
      <c r="C55" s="10" t="s">
        <v>2464</v>
      </c>
      <c r="D55" s="10" t="s">
        <v>2465</v>
      </c>
      <c r="E55" s="10" t="s">
        <v>2466</v>
      </c>
      <c r="F55" s="10" t="s">
        <v>2467</v>
      </c>
      <c r="G55" s="10" t="s">
        <v>2441</v>
      </c>
      <c r="H55" s="10" t="s">
        <v>2442</v>
      </c>
      <c r="I55" s="10" t="s">
        <v>2443</v>
      </c>
      <c r="J55" s="10" t="s">
        <v>670</v>
      </c>
      <c r="K55" s="10" t="s">
        <v>2444</v>
      </c>
      <c r="N55" s="10" t="s">
        <v>2458</v>
      </c>
      <c r="O55" s="10" t="s">
        <v>2500</v>
      </c>
      <c r="P55" s="10" t="s">
        <v>2501</v>
      </c>
      <c r="S55" s="191">
        <v>44957.010267094905</v>
      </c>
      <c r="T55" s="10" t="s">
        <v>2459</v>
      </c>
      <c r="U55" s="10" t="s">
        <v>2460</v>
      </c>
      <c r="V55" s="10" t="s">
        <v>2461</v>
      </c>
      <c r="W55" s="10" t="s">
        <v>2462</v>
      </c>
      <c r="X55" s="10" t="s">
        <v>2463</v>
      </c>
      <c r="Y55" s="10" t="s">
        <v>2453</v>
      </c>
    </row>
    <row r="56" spans="2:25">
      <c r="B56" s="10" t="s">
        <v>2437</v>
      </c>
      <c r="C56" s="10" t="s">
        <v>2455</v>
      </c>
      <c r="D56" s="10" t="s">
        <v>2455</v>
      </c>
      <c r="E56" s="10" t="s">
        <v>2552</v>
      </c>
      <c r="F56" s="10" t="s">
        <v>2553</v>
      </c>
      <c r="G56" s="10" t="s">
        <v>1796</v>
      </c>
      <c r="H56" s="10" t="s">
        <v>2442</v>
      </c>
      <c r="I56" s="10" t="s">
        <v>2443</v>
      </c>
      <c r="J56" s="10" t="s">
        <v>670</v>
      </c>
      <c r="K56" s="10" t="s">
        <v>2554</v>
      </c>
      <c r="N56" s="10" t="s">
        <v>2445</v>
      </c>
      <c r="O56" s="10" t="s">
        <v>2446</v>
      </c>
      <c r="P56" s="10" t="s">
        <v>2447</v>
      </c>
      <c r="Q56" s="10">
        <v>119040</v>
      </c>
      <c r="S56" s="191">
        <v>45334.586989467593</v>
      </c>
      <c r="T56" s="10" t="s">
        <v>2448</v>
      </c>
      <c r="U56" s="10" t="s">
        <v>2449</v>
      </c>
      <c r="V56" s="10" t="s">
        <v>2450</v>
      </c>
      <c r="W56" s="10" t="s">
        <v>2451</v>
      </c>
      <c r="X56" s="10" t="s">
        <v>2452</v>
      </c>
      <c r="Y56" s="10" t="s">
        <v>2453</v>
      </c>
    </row>
    <row r="57" spans="2:25">
      <c r="B57" s="10" t="s">
        <v>2480</v>
      </c>
      <c r="C57" s="10" t="s">
        <v>2455</v>
      </c>
      <c r="D57" s="10" t="s">
        <v>2455</v>
      </c>
      <c r="E57" s="10" t="s">
        <v>2481</v>
      </c>
      <c r="F57" s="10" t="s">
        <v>2555</v>
      </c>
      <c r="G57" s="10" t="s">
        <v>2441</v>
      </c>
      <c r="H57" s="10" t="s">
        <v>2489</v>
      </c>
      <c r="I57" s="10" t="s">
        <v>2443</v>
      </c>
      <c r="J57" s="10" t="s">
        <v>670</v>
      </c>
      <c r="K57" s="10" t="s">
        <v>2554</v>
      </c>
      <c r="N57" s="10" t="s">
        <v>2492</v>
      </c>
      <c r="O57" s="10" t="s">
        <v>2446</v>
      </c>
      <c r="P57" s="10" t="s">
        <v>2447</v>
      </c>
      <c r="Q57" s="10">
        <v>1</v>
      </c>
      <c r="R57" s="10">
        <v>1</v>
      </c>
      <c r="S57" s="191">
        <v>45323.542519525465</v>
      </c>
      <c r="T57" s="10" t="s">
        <v>2483</v>
      </c>
      <c r="U57" s="10" t="s">
        <v>2484</v>
      </c>
      <c r="V57" s="10" t="s">
        <v>2485</v>
      </c>
      <c r="W57" s="10" t="s">
        <v>2486</v>
      </c>
      <c r="X57" s="10" t="s">
        <v>2487</v>
      </c>
      <c r="Y57" s="10" t="s">
        <v>2453</v>
      </c>
    </row>
    <row r="58" spans="2:25">
      <c r="B58" s="10" t="s">
        <v>2480</v>
      </c>
      <c r="C58" s="10" t="s">
        <v>2455</v>
      </c>
      <c r="D58" s="10" t="s">
        <v>2455</v>
      </c>
      <c r="E58" s="10" t="s">
        <v>2481</v>
      </c>
      <c r="F58" s="10" t="s">
        <v>2556</v>
      </c>
      <c r="G58" s="10" t="s">
        <v>2441</v>
      </c>
      <c r="H58" s="10" t="s">
        <v>2542</v>
      </c>
      <c r="I58" s="10" t="s">
        <v>2443</v>
      </c>
      <c r="J58" s="10" t="s">
        <v>670</v>
      </c>
      <c r="K58" s="10" t="s">
        <v>2554</v>
      </c>
      <c r="N58" s="10" t="s">
        <v>2492</v>
      </c>
      <c r="O58" s="10" t="s">
        <v>2446</v>
      </c>
      <c r="P58" s="10" t="s">
        <v>2447</v>
      </c>
      <c r="Q58" s="10">
        <v>1</v>
      </c>
      <c r="R58" s="10">
        <v>1</v>
      </c>
      <c r="S58" s="191">
        <v>45323.542519525465</v>
      </c>
      <c r="T58" s="10" t="s">
        <v>2483</v>
      </c>
      <c r="U58" s="10" t="s">
        <v>2484</v>
      </c>
      <c r="V58" s="10" t="s">
        <v>2485</v>
      </c>
      <c r="W58" s="10" t="s">
        <v>2486</v>
      </c>
      <c r="X58" s="10" t="s">
        <v>2487</v>
      </c>
      <c r="Y58" s="10" t="s">
        <v>2453</v>
      </c>
    </row>
    <row r="59" spans="2:25">
      <c r="B59" s="10" t="s">
        <v>2480</v>
      </c>
      <c r="C59" s="10" t="s">
        <v>2455</v>
      </c>
      <c r="D59" s="10" t="s">
        <v>2455</v>
      </c>
      <c r="E59" s="10" t="s">
        <v>2481</v>
      </c>
      <c r="F59" s="10" t="s">
        <v>2482</v>
      </c>
      <c r="G59" s="10" t="s">
        <v>740</v>
      </c>
      <c r="H59" s="10" t="s">
        <v>2442</v>
      </c>
      <c r="I59" s="10" t="s">
        <v>2443</v>
      </c>
      <c r="J59" s="10" t="s">
        <v>670</v>
      </c>
      <c r="K59" s="10" t="s">
        <v>2554</v>
      </c>
      <c r="N59" s="10" t="s">
        <v>2492</v>
      </c>
      <c r="O59" s="10" t="s">
        <v>2446</v>
      </c>
      <c r="P59" s="10" t="s">
        <v>2447</v>
      </c>
      <c r="Q59" s="10">
        <v>1</v>
      </c>
      <c r="R59" s="10">
        <v>1</v>
      </c>
      <c r="S59" s="191">
        <v>45323.542519525465</v>
      </c>
      <c r="T59" s="10" t="s">
        <v>2483</v>
      </c>
      <c r="U59" s="10" t="s">
        <v>2484</v>
      </c>
      <c r="V59" s="10" t="s">
        <v>2485</v>
      </c>
      <c r="W59" s="10" t="s">
        <v>2486</v>
      </c>
      <c r="X59" s="10" t="s">
        <v>2487</v>
      </c>
      <c r="Y59" s="10" t="s">
        <v>2453</v>
      </c>
    </row>
    <row r="60" spans="2:25">
      <c r="B60" s="10" t="s">
        <v>2480</v>
      </c>
      <c r="C60" s="10" t="s">
        <v>2455</v>
      </c>
      <c r="D60" s="10" t="s">
        <v>2455</v>
      </c>
      <c r="E60" s="10" t="s">
        <v>2456</v>
      </c>
      <c r="F60" s="10" t="s">
        <v>2488</v>
      </c>
      <c r="G60" s="10" t="s">
        <v>2441</v>
      </c>
      <c r="H60" s="10" t="s">
        <v>2489</v>
      </c>
      <c r="I60" s="10" t="s">
        <v>2443</v>
      </c>
      <c r="J60" s="10" t="s">
        <v>670</v>
      </c>
      <c r="K60" s="10" t="s">
        <v>2554</v>
      </c>
      <c r="N60" s="10" t="s">
        <v>2492</v>
      </c>
      <c r="O60" s="10" t="s">
        <v>2446</v>
      </c>
      <c r="P60" s="10" t="s">
        <v>2447</v>
      </c>
      <c r="Q60" s="10">
        <v>1</v>
      </c>
      <c r="R60" s="10">
        <v>1</v>
      </c>
      <c r="S60" s="191">
        <v>45323.542519525465</v>
      </c>
      <c r="T60" s="10" t="s">
        <v>2483</v>
      </c>
      <c r="U60" s="10" t="s">
        <v>2484</v>
      </c>
      <c r="V60" s="10" t="s">
        <v>2485</v>
      </c>
      <c r="W60" s="10" t="s">
        <v>2486</v>
      </c>
      <c r="X60" s="10" t="s">
        <v>2487</v>
      </c>
      <c r="Y60" s="10" t="s">
        <v>2453</v>
      </c>
    </row>
    <row r="61" spans="2:25">
      <c r="B61" s="10" t="s">
        <v>2480</v>
      </c>
      <c r="C61" s="10" t="s">
        <v>2455</v>
      </c>
      <c r="D61" s="10" t="s">
        <v>2455</v>
      </c>
      <c r="E61" s="10" t="s">
        <v>2456</v>
      </c>
      <c r="F61" s="10" t="s">
        <v>2488</v>
      </c>
      <c r="G61" s="10" t="s">
        <v>2441</v>
      </c>
      <c r="H61" s="10" t="s">
        <v>2489</v>
      </c>
      <c r="I61" s="10" t="s">
        <v>2443</v>
      </c>
      <c r="J61" s="10" t="s">
        <v>670</v>
      </c>
      <c r="K61" s="10" t="s">
        <v>2554</v>
      </c>
      <c r="N61" s="10" t="s">
        <v>2496</v>
      </c>
      <c r="O61" s="10" t="s">
        <v>2446</v>
      </c>
      <c r="P61" s="10" t="s">
        <v>2447</v>
      </c>
      <c r="Q61" s="10">
        <v>1</v>
      </c>
      <c r="R61" s="10">
        <v>1</v>
      </c>
      <c r="S61" s="191">
        <v>45323.542519525465</v>
      </c>
      <c r="T61" s="10" t="s">
        <v>2483</v>
      </c>
      <c r="U61" s="10" t="s">
        <v>2484</v>
      </c>
      <c r="V61" s="10" t="s">
        <v>2485</v>
      </c>
      <c r="W61" s="10" t="s">
        <v>2486</v>
      </c>
      <c r="X61" s="10" t="s">
        <v>2487</v>
      </c>
      <c r="Y61" s="10" t="s">
        <v>2453</v>
      </c>
    </row>
    <row r="62" spans="2:25">
      <c r="B62" s="10" t="s">
        <v>2480</v>
      </c>
      <c r="C62" s="10" t="s">
        <v>2455</v>
      </c>
      <c r="D62" s="10" t="s">
        <v>2455</v>
      </c>
      <c r="E62" s="10" t="s">
        <v>2490</v>
      </c>
      <c r="F62" s="10" t="s">
        <v>2491</v>
      </c>
      <c r="G62" s="10" t="s">
        <v>2441</v>
      </c>
      <c r="H62" s="10" t="s">
        <v>2489</v>
      </c>
      <c r="I62" s="10" t="s">
        <v>2443</v>
      </c>
      <c r="J62" s="10" t="s">
        <v>670</v>
      </c>
      <c r="K62" s="10" t="s">
        <v>2554</v>
      </c>
      <c r="N62" s="10" t="s">
        <v>2492</v>
      </c>
      <c r="O62" s="10" t="s">
        <v>2446</v>
      </c>
      <c r="P62" s="10" t="s">
        <v>2447</v>
      </c>
      <c r="Q62" s="10">
        <v>1</v>
      </c>
      <c r="R62" s="10">
        <v>1</v>
      </c>
      <c r="S62" s="191">
        <v>45323.542519525465</v>
      </c>
      <c r="T62" s="10" t="s">
        <v>2483</v>
      </c>
      <c r="U62" s="10" t="s">
        <v>2484</v>
      </c>
      <c r="V62" s="10" t="s">
        <v>2485</v>
      </c>
      <c r="W62" s="10" t="s">
        <v>2486</v>
      </c>
      <c r="X62" s="10" t="s">
        <v>2487</v>
      </c>
      <c r="Y62" s="10" t="s">
        <v>2453</v>
      </c>
    </row>
    <row r="63" spans="2:25">
      <c r="B63" s="10" t="s">
        <v>2480</v>
      </c>
      <c r="C63" s="10" t="s">
        <v>2455</v>
      </c>
      <c r="D63" s="10" t="s">
        <v>2455</v>
      </c>
      <c r="E63" s="10" t="s">
        <v>2490</v>
      </c>
      <c r="F63" s="10" t="s">
        <v>2557</v>
      </c>
      <c r="G63" s="10" t="s">
        <v>2441</v>
      </c>
      <c r="H63" s="10" t="s">
        <v>2442</v>
      </c>
      <c r="I63" s="10" t="s">
        <v>2443</v>
      </c>
      <c r="J63" s="10" t="s">
        <v>670</v>
      </c>
      <c r="K63" s="10" t="s">
        <v>2554</v>
      </c>
      <c r="N63" s="10" t="s">
        <v>2492</v>
      </c>
      <c r="O63" s="10" t="s">
        <v>2446</v>
      </c>
      <c r="P63" s="10" t="s">
        <v>2447</v>
      </c>
      <c r="Q63" s="10">
        <v>1</v>
      </c>
      <c r="R63" s="10">
        <v>1</v>
      </c>
      <c r="S63" s="191">
        <v>45323.542519525465</v>
      </c>
      <c r="T63" s="10" t="s">
        <v>2483</v>
      </c>
      <c r="U63" s="10" t="s">
        <v>2484</v>
      </c>
      <c r="V63" s="10" t="s">
        <v>2485</v>
      </c>
      <c r="W63" s="10" t="s">
        <v>2486</v>
      </c>
      <c r="X63" s="10" t="s">
        <v>2487</v>
      </c>
      <c r="Y63" s="10" t="s">
        <v>2453</v>
      </c>
    </row>
    <row r="64" spans="2:25">
      <c r="B64" s="10" t="s">
        <v>2480</v>
      </c>
      <c r="C64" s="10" t="s">
        <v>2455</v>
      </c>
      <c r="D64" s="10" t="s">
        <v>2455</v>
      </c>
      <c r="E64" s="10" t="s">
        <v>2490</v>
      </c>
      <c r="F64" s="10" t="s">
        <v>2493</v>
      </c>
      <c r="G64" s="10" t="s">
        <v>2441</v>
      </c>
      <c r="H64" s="10" t="s">
        <v>2489</v>
      </c>
      <c r="I64" s="10" t="s">
        <v>2443</v>
      </c>
      <c r="J64" s="10" t="s">
        <v>670</v>
      </c>
      <c r="K64" s="10" t="s">
        <v>2554</v>
      </c>
      <c r="N64" s="10" t="s">
        <v>2492</v>
      </c>
      <c r="O64" s="10" t="s">
        <v>2446</v>
      </c>
      <c r="P64" s="10" t="s">
        <v>2447</v>
      </c>
      <c r="Q64" s="10">
        <v>1</v>
      </c>
      <c r="R64" s="10">
        <v>1</v>
      </c>
      <c r="S64" s="191">
        <v>45323.542519525465</v>
      </c>
      <c r="T64" s="10" t="s">
        <v>2483</v>
      </c>
      <c r="U64" s="10" t="s">
        <v>2484</v>
      </c>
      <c r="V64" s="10" t="s">
        <v>2485</v>
      </c>
      <c r="W64" s="10" t="s">
        <v>2486</v>
      </c>
      <c r="X64" s="10" t="s">
        <v>2487</v>
      </c>
      <c r="Y64" s="10" t="s">
        <v>2453</v>
      </c>
    </row>
    <row r="65" spans="2:25">
      <c r="B65" s="10" t="s">
        <v>2480</v>
      </c>
      <c r="C65" s="10" t="s">
        <v>2455</v>
      </c>
      <c r="D65" s="10" t="s">
        <v>2455</v>
      </c>
      <c r="E65" s="10" t="s">
        <v>2494</v>
      </c>
      <c r="F65" s="10" t="s">
        <v>2495</v>
      </c>
      <c r="G65" s="10" t="s">
        <v>2441</v>
      </c>
      <c r="H65" s="10" t="s">
        <v>2489</v>
      </c>
      <c r="I65" s="10" t="s">
        <v>2443</v>
      </c>
      <c r="J65" s="10" t="s">
        <v>670</v>
      </c>
      <c r="K65" s="10" t="s">
        <v>2554</v>
      </c>
      <c r="N65" s="10" t="s">
        <v>2492</v>
      </c>
      <c r="O65" s="10" t="s">
        <v>2446</v>
      </c>
      <c r="P65" s="10" t="s">
        <v>2447</v>
      </c>
      <c r="Q65" s="10">
        <v>1</v>
      </c>
      <c r="R65" s="10">
        <v>1</v>
      </c>
      <c r="S65" s="191">
        <v>45323.542519525465</v>
      </c>
      <c r="T65" s="10" t="s">
        <v>2483</v>
      </c>
      <c r="U65" s="10" t="s">
        <v>2484</v>
      </c>
      <c r="V65" s="10" t="s">
        <v>2485</v>
      </c>
      <c r="W65" s="10" t="s">
        <v>2486</v>
      </c>
      <c r="X65" s="10" t="s">
        <v>2487</v>
      </c>
      <c r="Y65" s="10" t="s">
        <v>2453</v>
      </c>
    </row>
    <row r="66" spans="2:25">
      <c r="B66" s="10" t="s">
        <v>2480</v>
      </c>
      <c r="C66" s="10" t="s">
        <v>2464</v>
      </c>
      <c r="D66" s="10" t="s">
        <v>2465</v>
      </c>
      <c r="E66" s="10" t="s">
        <v>2550</v>
      </c>
      <c r="F66" s="10" t="s">
        <v>2551</v>
      </c>
      <c r="G66" s="10" t="s">
        <v>2441</v>
      </c>
      <c r="H66" s="10" t="s">
        <v>2489</v>
      </c>
      <c r="I66" s="10" t="s">
        <v>2443</v>
      </c>
      <c r="J66" s="10" t="s">
        <v>670</v>
      </c>
      <c r="K66" s="10" t="s">
        <v>2554</v>
      </c>
      <c r="N66" s="10" t="s">
        <v>2492</v>
      </c>
      <c r="O66" s="10" t="s">
        <v>2446</v>
      </c>
      <c r="P66" s="10" t="s">
        <v>2447</v>
      </c>
      <c r="Q66" s="10">
        <v>1</v>
      </c>
      <c r="R66" s="10">
        <v>1</v>
      </c>
      <c r="S66" s="191">
        <v>45323.542519525465</v>
      </c>
      <c r="T66" s="10" t="s">
        <v>2483</v>
      </c>
      <c r="U66" s="10" t="s">
        <v>2484</v>
      </c>
      <c r="V66" s="10" t="s">
        <v>2485</v>
      </c>
      <c r="W66" s="10" t="s">
        <v>2486</v>
      </c>
      <c r="X66" s="10" t="s">
        <v>2487</v>
      </c>
      <c r="Y66" s="10" t="s">
        <v>2453</v>
      </c>
    </row>
    <row r="67" spans="2:25">
      <c r="B67" s="10" t="s">
        <v>2480</v>
      </c>
      <c r="C67" s="10" t="s">
        <v>2464</v>
      </c>
      <c r="D67" s="10" t="s">
        <v>2465</v>
      </c>
      <c r="E67" s="10" t="s">
        <v>2497</v>
      </c>
      <c r="F67" s="10" t="s">
        <v>2558</v>
      </c>
      <c r="G67" s="10" t="s">
        <v>2441</v>
      </c>
      <c r="H67" s="10" t="s">
        <v>2442</v>
      </c>
      <c r="I67" s="10" t="s">
        <v>2443</v>
      </c>
      <c r="J67" s="10" t="s">
        <v>670</v>
      </c>
      <c r="K67" s="10" t="s">
        <v>2554</v>
      </c>
      <c r="N67" s="10" t="s">
        <v>2499</v>
      </c>
      <c r="O67" s="10" t="s">
        <v>2446</v>
      </c>
      <c r="P67" s="10" t="s">
        <v>2447</v>
      </c>
      <c r="Q67" s="10">
        <v>1</v>
      </c>
      <c r="R67" s="10">
        <v>1</v>
      </c>
      <c r="S67" s="191">
        <v>45323.542519525465</v>
      </c>
      <c r="T67" s="10" t="s">
        <v>2483</v>
      </c>
      <c r="U67" s="10" t="s">
        <v>2484</v>
      </c>
      <c r="V67" s="10" t="s">
        <v>2485</v>
      </c>
      <c r="W67" s="10" t="s">
        <v>2486</v>
      </c>
      <c r="X67" s="10" t="s">
        <v>2487</v>
      </c>
      <c r="Y67" s="10" t="s">
        <v>2453</v>
      </c>
    </row>
    <row r="68" spans="2:25">
      <c r="B68" s="10" t="s">
        <v>2437</v>
      </c>
      <c r="C68" s="10" t="s">
        <v>2455</v>
      </c>
      <c r="D68" s="10" t="s">
        <v>2455</v>
      </c>
      <c r="E68" s="10" t="s">
        <v>2559</v>
      </c>
      <c r="F68" s="10" t="s">
        <v>2560</v>
      </c>
      <c r="G68" s="10" t="s">
        <v>2441</v>
      </c>
      <c r="I68" s="10" t="s">
        <v>2443</v>
      </c>
      <c r="J68" s="10" t="s">
        <v>670</v>
      </c>
      <c r="K68" s="10" t="s">
        <v>2554</v>
      </c>
      <c r="N68" s="10" t="s">
        <v>2445</v>
      </c>
      <c r="O68" s="10" t="s">
        <v>2500</v>
      </c>
      <c r="P68" s="10" t="s">
        <v>2501</v>
      </c>
      <c r="S68" s="191">
        <v>44992.587855868056</v>
      </c>
      <c r="T68" s="10" t="s">
        <v>2448</v>
      </c>
      <c r="U68" s="10" t="s">
        <v>2449</v>
      </c>
      <c r="V68" s="10" t="s">
        <v>2450</v>
      </c>
      <c r="W68" s="10" t="s">
        <v>2451</v>
      </c>
      <c r="X68" s="10" t="s">
        <v>2452</v>
      </c>
      <c r="Y68" s="10" t="s">
        <v>2453</v>
      </c>
    </row>
    <row r="69" spans="2:25">
      <c r="B69" s="10" t="s">
        <v>2437</v>
      </c>
      <c r="C69" s="10" t="s">
        <v>2455</v>
      </c>
      <c r="D69" s="10" t="s">
        <v>2455</v>
      </c>
      <c r="E69" s="10" t="s">
        <v>2552</v>
      </c>
      <c r="F69" s="10" t="s">
        <v>2561</v>
      </c>
      <c r="G69" s="10" t="s">
        <v>2441</v>
      </c>
      <c r="I69" s="10" t="s">
        <v>2443</v>
      </c>
      <c r="J69" s="10" t="s">
        <v>670</v>
      </c>
      <c r="K69" s="10" t="s">
        <v>2554</v>
      </c>
      <c r="N69" s="10" t="s">
        <v>2445</v>
      </c>
      <c r="O69" s="10" t="s">
        <v>2500</v>
      </c>
      <c r="P69" s="10" t="s">
        <v>2501</v>
      </c>
      <c r="S69" s="191">
        <v>44992.587855868056</v>
      </c>
      <c r="T69" s="10" t="s">
        <v>2448</v>
      </c>
      <c r="U69" s="10" t="s">
        <v>2449</v>
      </c>
      <c r="V69" s="10" t="s">
        <v>2450</v>
      </c>
      <c r="W69" s="10" t="s">
        <v>2451</v>
      </c>
      <c r="X69" s="10" t="s">
        <v>2452</v>
      </c>
      <c r="Y69" s="10" t="s">
        <v>2453</v>
      </c>
    </row>
    <row r="70" spans="2:25">
      <c r="B70" s="10" t="s">
        <v>2480</v>
      </c>
      <c r="C70" s="10" t="s">
        <v>2455</v>
      </c>
      <c r="D70" s="10" t="s">
        <v>2455</v>
      </c>
      <c r="E70" s="10" t="s">
        <v>2481</v>
      </c>
      <c r="F70" s="10" t="s">
        <v>2555</v>
      </c>
      <c r="G70" s="10" t="s">
        <v>2441</v>
      </c>
      <c r="H70" s="10" t="s">
        <v>2489</v>
      </c>
      <c r="I70" s="10" t="s">
        <v>2443</v>
      </c>
      <c r="J70" s="10" t="s">
        <v>670</v>
      </c>
      <c r="K70" s="10" t="s">
        <v>2554</v>
      </c>
      <c r="N70" s="10" t="s">
        <v>2492</v>
      </c>
      <c r="O70" s="10" t="s">
        <v>2500</v>
      </c>
      <c r="P70" s="10" t="s">
        <v>2502</v>
      </c>
      <c r="S70" s="191">
        <v>45348.777682719905</v>
      </c>
      <c r="T70" s="10" t="s">
        <v>2483</v>
      </c>
      <c r="U70" s="10" t="s">
        <v>2484</v>
      </c>
      <c r="V70" s="10" t="s">
        <v>2485</v>
      </c>
      <c r="W70" s="10" t="s">
        <v>2486</v>
      </c>
      <c r="X70" s="10" t="s">
        <v>2487</v>
      </c>
      <c r="Y70" s="10" t="s">
        <v>2453</v>
      </c>
    </row>
    <row r="71" spans="2:25">
      <c r="B71" s="10" t="s">
        <v>2480</v>
      </c>
      <c r="C71" s="10" t="s">
        <v>2455</v>
      </c>
      <c r="D71" s="10" t="s">
        <v>2455</v>
      </c>
      <c r="E71" s="10" t="s">
        <v>2481</v>
      </c>
      <c r="F71" s="10" t="s">
        <v>2556</v>
      </c>
      <c r="G71" s="10" t="s">
        <v>2441</v>
      </c>
      <c r="H71" s="10" t="s">
        <v>2542</v>
      </c>
      <c r="I71" s="10" t="s">
        <v>2443</v>
      </c>
      <c r="J71" s="10" t="s">
        <v>670</v>
      </c>
      <c r="K71" s="10" t="s">
        <v>2554</v>
      </c>
      <c r="N71" s="10" t="s">
        <v>2492</v>
      </c>
      <c r="O71" s="10" t="s">
        <v>2500</v>
      </c>
      <c r="P71" s="10" t="s">
        <v>2502</v>
      </c>
      <c r="S71" s="191">
        <v>45348.777682719905</v>
      </c>
      <c r="T71" s="10" t="s">
        <v>2483</v>
      </c>
      <c r="U71" s="10" t="s">
        <v>2484</v>
      </c>
      <c r="V71" s="10" t="s">
        <v>2485</v>
      </c>
      <c r="W71" s="10" t="s">
        <v>2486</v>
      </c>
      <c r="X71" s="10" t="s">
        <v>2487</v>
      </c>
      <c r="Y71" s="10" t="s">
        <v>2453</v>
      </c>
    </row>
    <row r="72" spans="2:25">
      <c r="B72" s="10" t="s">
        <v>2480</v>
      </c>
      <c r="C72" s="10" t="s">
        <v>2455</v>
      </c>
      <c r="D72" s="10" t="s">
        <v>2455</v>
      </c>
      <c r="E72" s="10" t="s">
        <v>2481</v>
      </c>
      <c r="F72" s="10" t="s">
        <v>2482</v>
      </c>
      <c r="G72" s="10" t="s">
        <v>740</v>
      </c>
      <c r="H72" s="10" t="s">
        <v>2442</v>
      </c>
      <c r="I72" s="10" t="s">
        <v>2443</v>
      </c>
      <c r="J72" s="10" t="s">
        <v>670</v>
      </c>
      <c r="K72" s="10" t="s">
        <v>2554</v>
      </c>
      <c r="N72" s="10" t="s">
        <v>2492</v>
      </c>
      <c r="O72" s="10" t="s">
        <v>2500</v>
      </c>
      <c r="P72" s="10" t="s">
        <v>2502</v>
      </c>
      <c r="S72" s="191">
        <v>45348.777682719905</v>
      </c>
      <c r="T72" s="10" t="s">
        <v>2483</v>
      </c>
      <c r="U72" s="10" t="s">
        <v>2484</v>
      </c>
      <c r="V72" s="10" t="s">
        <v>2485</v>
      </c>
      <c r="W72" s="10" t="s">
        <v>2486</v>
      </c>
      <c r="X72" s="10" t="s">
        <v>2487</v>
      </c>
      <c r="Y72" s="10" t="s">
        <v>2453</v>
      </c>
    </row>
    <row r="73" spans="2:25">
      <c r="B73" s="10" t="s">
        <v>2480</v>
      </c>
      <c r="C73" s="10" t="s">
        <v>2455</v>
      </c>
      <c r="D73" s="10" t="s">
        <v>2455</v>
      </c>
      <c r="E73" s="10" t="s">
        <v>2456</v>
      </c>
      <c r="F73" s="10" t="s">
        <v>2488</v>
      </c>
      <c r="G73" s="10" t="s">
        <v>2441</v>
      </c>
      <c r="H73" s="10" t="s">
        <v>2489</v>
      </c>
      <c r="I73" s="10" t="s">
        <v>2443</v>
      </c>
      <c r="J73" s="10" t="s">
        <v>670</v>
      </c>
      <c r="K73" s="10" t="s">
        <v>2554</v>
      </c>
      <c r="N73" s="10" t="s">
        <v>2492</v>
      </c>
      <c r="O73" s="10" t="s">
        <v>2500</v>
      </c>
      <c r="P73" s="10" t="s">
        <v>2502</v>
      </c>
      <c r="S73" s="191">
        <v>45348.777682719905</v>
      </c>
      <c r="T73" s="10" t="s">
        <v>2483</v>
      </c>
      <c r="U73" s="10" t="s">
        <v>2484</v>
      </c>
      <c r="V73" s="10" t="s">
        <v>2485</v>
      </c>
      <c r="W73" s="10" t="s">
        <v>2486</v>
      </c>
      <c r="X73" s="10" t="s">
        <v>2487</v>
      </c>
      <c r="Y73" s="10" t="s">
        <v>2453</v>
      </c>
    </row>
    <row r="74" spans="2:25">
      <c r="B74" s="10" t="s">
        <v>2480</v>
      </c>
      <c r="C74" s="10" t="s">
        <v>2455</v>
      </c>
      <c r="D74" s="10" t="s">
        <v>2455</v>
      </c>
      <c r="E74" s="10" t="s">
        <v>2456</v>
      </c>
      <c r="F74" s="10" t="s">
        <v>2488</v>
      </c>
      <c r="G74" s="10" t="s">
        <v>2441</v>
      </c>
      <c r="H74" s="10" t="s">
        <v>2489</v>
      </c>
      <c r="I74" s="10" t="s">
        <v>2443</v>
      </c>
      <c r="J74" s="10" t="s">
        <v>670</v>
      </c>
      <c r="K74" s="10" t="s">
        <v>2554</v>
      </c>
      <c r="N74" s="10" t="s">
        <v>2496</v>
      </c>
      <c r="O74" s="10" t="s">
        <v>2500</v>
      </c>
      <c r="P74" s="10" t="s">
        <v>2502</v>
      </c>
      <c r="S74" s="191">
        <v>45348.777682719905</v>
      </c>
      <c r="T74" s="10" t="s">
        <v>2483</v>
      </c>
      <c r="U74" s="10" t="s">
        <v>2484</v>
      </c>
      <c r="V74" s="10" t="s">
        <v>2485</v>
      </c>
      <c r="W74" s="10" t="s">
        <v>2486</v>
      </c>
      <c r="X74" s="10" t="s">
        <v>2487</v>
      </c>
      <c r="Y74" s="10" t="s">
        <v>2453</v>
      </c>
    </row>
    <row r="75" spans="2:25">
      <c r="B75" s="10" t="s">
        <v>2480</v>
      </c>
      <c r="C75" s="10" t="s">
        <v>2455</v>
      </c>
      <c r="D75" s="10" t="s">
        <v>2455</v>
      </c>
      <c r="E75" s="10" t="s">
        <v>2490</v>
      </c>
      <c r="F75" s="10" t="s">
        <v>2491</v>
      </c>
      <c r="G75" s="10" t="s">
        <v>2441</v>
      </c>
      <c r="H75" s="10" t="s">
        <v>2489</v>
      </c>
      <c r="I75" s="10" t="s">
        <v>2443</v>
      </c>
      <c r="J75" s="10" t="s">
        <v>670</v>
      </c>
      <c r="K75" s="10" t="s">
        <v>2554</v>
      </c>
      <c r="N75" s="10" t="s">
        <v>2492</v>
      </c>
      <c r="O75" s="10" t="s">
        <v>2500</v>
      </c>
      <c r="P75" s="10" t="s">
        <v>2502</v>
      </c>
      <c r="S75" s="191">
        <v>45348.777682719905</v>
      </c>
      <c r="T75" s="10" t="s">
        <v>2483</v>
      </c>
      <c r="U75" s="10" t="s">
        <v>2484</v>
      </c>
      <c r="V75" s="10" t="s">
        <v>2485</v>
      </c>
      <c r="W75" s="10" t="s">
        <v>2486</v>
      </c>
      <c r="X75" s="10" t="s">
        <v>2487</v>
      </c>
      <c r="Y75" s="10" t="s">
        <v>2453</v>
      </c>
    </row>
    <row r="76" spans="2:25">
      <c r="B76" s="10" t="s">
        <v>2480</v>
      </c>
      <c r="C76" s="10" t="s">
        <v>2455</v>
      </c>
      <c r="D76" s="10" t="s">
        <v>2455</v>
      </c>
      <c r="E76" s="10" t="s">
        <v>2490</v>
      </c>
      <c r="F76" s="10" t="s">
        <v>2557</v>
      </c>
      <c r="G76" s="10" t="s">
        <v>2441</v>
      </c>
      <c r="H76" s="10" t="s">
        <v>2442</v>
      </c>
      <c r="I76" s="10" t="s">
        <v>2443</v>
      </c>
      <c r="J76" s="10" t="s">
        <v>670</v>
      </c>
      <c r="K76" s="10" t="s">
        <v>2554</v>
      </c>
      <c r="N76" s="10" t="s">
        <v>2492</v>
      </c>
      <c r="O76" s="10" t="s">
        <v>2500</v>
      </c>
      <c r="P76" s="10" t="s">
        <v>2502</v>
      </c>
      <c r="S76" s="191">
        <v>45348.777682719905</v>
      </c>
      <c r="T76" s="10" t="s">
        <v>2483</v>
      </c>
      <c r="U76" s="10" t="s">
        <v>2484</v>
      </c>
      <c r="V76" s="10" t="s">
        <v>2485</v>
      </c>
      <c r="W76" s="10" t="s">
        <v>2486</v>
      </c>
      <c r="X76" s="10" t="s">
        <v>2487</v>
      </c>
      <c r="Y76" s="10" t="s">
        <v>2453</v>
      </c>
    </row>
    <row r="77" spans="2:25">
      <c r="B77" s="10" t="s">
        <v>2480</v>
      </c>
      <c r="C77" s="10" t="s">
        <v>2455</v>
      </c>
      <c r="D77" s="10" t="s">
        <v>2455</v>
      </c>
      <c r="E77" s="10" t="s">
        <v>2490</v>
      </c>
      <c r="F77" s="10" t="s">
        <v>2493</v>
      </c>
      <c r="G77" s="10" t="s">
        <v>2441</v>
      </c>
      <c r="H77" s="10" t="s">
        <v>2489</v>
      </c>
      <c r="I77" s="10" t="s">
        <v>2443</v>
      </c>
      <c r="J77" s="10" t="s">
        <v>670</v>
      </c>
      <c r="K77" s="10" t="s">
        <v>2554</v>
      </c>
      <c r="N77" s="10" t="s">
        <v>2492</v>
      </c>
      <c r="O77" s="10" t="s">
        <v>2500</v>
      </c>
      <c r="P77" s="10" t="s">
        <v>2502</v>
      </c>
      <c r="S77" s="191">
        <v>45348.777682719905</v>
      </c>
      <c r="T77" s="10" t="s">
        <v>2483</v>
      </c>
      <c r="U77" s="10" t="s">
        <v>2484</v>
      </c>
      <c r="V77" s="10" t="s">
        <v>2485</v>
      </c>
      <c r="W77" s="10" t="s">
        <v>2486</v>
      </c>
      <c r="X77" s="10" t="s">
        <v>2487</v>
      </c>
      <c r="Y77" s="10" t="s">
        <v>2453</v>
      </c>
    </row>
    <row r="78" spans="2:25">
      <c r="B78" s="10" t="s">
        <v>2480</v>
      </c>
      <c r="C78" s="10" t="s">
        <v>2455</v>
      </c>
      <c r="D78" s="10" t="s">
        <v>2455</v>
      </c>
      <c r="E78" s="10" t="s">
        <v>2494</v>
      </c>
      <c r="F78" s="10" t="s">
        <v>2495</v>
      </c>
      <c r="G78" s="10" t="s">
        <v>2441</v>
      </c>
      <c r="H78" s="10" t="s">
        <v>2489</v>
      </c>
      <c r="I78" s="10" t="s">
        <v>2443</v>
      </c>
      <c r="J78" s="10" t="s">
        <v>670</v>
      </c>
      <c r="K78" s="10" t="s">
        <v>2554</v>
      </c>
      <c r="N78" s="10" t="s">
        <v>2492</v>
      </c>
      <c r="O78" s="10" t="s">
        <v>2500</v>
      </c>
      <c r="P78" s="10" t="s">
        <v>2502</v>
      </c>
      <c r="S78" s="191">
        <v>45348.777682719905</v>
      </c>
      <c r="T78" s="10" t="s">
        <v>2483</v>
      </c>
      <c r="U78" s="10" t="s">
        <v>2484</v>
      </c>
      <c r="V78" s="10" t="s">
        <v>2485</v>
      </c>
      <c r="W78" s="10" t="s">
        <v>2486</v>
      </c>
      <c r="X78" s="10" t="s">
        <v>2487</v>
      </c>
      <c r="Y78" s="10" t="s">
        <v>2453</v>
      </c>
    </row>
    <row r="79" spans="2:25">
      <c r="B79" s="10" t="s">
        <v>2480</v>
      </c>
      <c r="C79" s="10" t="s">
        <v>2464</v>
      </c>
      <c r="D79" s="10" t="s">
        <v>2465</v>
      </c>
      <c r="E79" s="10" t="s">
        <v>2550</v>
      </c>
      <c r="F79" s="10" t="s">
        <v>2551</v>
      </c>
      <c r="G79" s="10" t="s">
        <v>2441</v>
      </c>
      <c r="H79" s="10" t="s">
        <v>2489</v>
      </c>
      <c r="I79" s="10" t="s">
        <v>2443</v>
      </c>
      <c r="J79" s="10" t="s">
        <v>670</v>
      </c>
      <c r="K79" s="10" t="s">
        <v>2554</v>
      </c>
      <c r="N79" s="10" t="s">
        <v>2492</v>
      </c>
      <c r="O79" s="10" t="s">
        <v>2500</v>
      </c>
      <c r="P79" s="10" t="s">
        <v>2502</v>
      </c>
      <c r="S79" s="191">
        <v>45348.777682719905</v>
      </c>
      <c r="T79" s="10" t="s">
        <v>2483</v>
      </c>
      <c r="U79" s="10" t="s">
        <v>2484</v>
      </c>
      <c r="V79" s="10" t="s">
        <v>2485</v>
      </c>
      <c r="W79" s="10" t="s">
        <v>2486</v>
      </c>
      <c r="X79" s="10" t="s">
        <v>2487</v>
      </c>
      <c r="Y79" s="10" t="s">
        <v>2453</v>
      </c>
    </row>
    <row r="80" spans="2:25">
      <c r="B80" s="10" t="s">
        <v>2480</v>
      </c>
      <c r="C80" s="10" t="s">
        <v>2464</v>
      </c>
      <c r="D80" s="10" t="s">
        <v>2465</v>
      </c>
      <c r="E80" s="10" t="s">
        <v>2497</v>
      </c>
      <c r="F80" s="10" t="s">
        <v>2558</v>
      </c>
      <c r="G80" s="10" t="s">
        <v>2441</v>
      </c>
      <c r="H80" s="10" t="s">
        <v>2442</v>
      </c>
      <c r="I80" s="10" t="s">
        <v>2443</v>
      </c>
      <c r="J80" s="10" t="s">
        <v>670</v>
      </c>
      <c r="K80" s="10" t="s">
        <v>2554</v>
      </c>
      <c r="N80" s="10" t="s">
        <v>2499</v>
      </c>
      <c r="O80" s="10" t="s">
        <v>2500</v>
      </c>
      <c r="P80" s="10" t="s">
        <v>2502</v>
      </c>
      <c r="S80" s="191">
        <v>45348.777682719905</v>
      </c>
      <c r="T80" s="10" t="s">
        <v>2483</v>
      </c>
      <c r="U80" s="10" t="s">
        <v>2484</v>
      </c>
      <c r="V80" s="10" t="s">
        <v>2485</v>
      </c>
      <c r="W80" s="10" t="s">
        <v>2486</v>
      </c>
      <c r="X80" s="10" t="s">
        <v>2487</v>
      </c>
      <c r="Y80" s="10" t="s">
        <v>2453</v>
      </c>
    </row>
    <row r="81" spans="2:25">
      <c r="B81" s="10" t="s">
        <v>2562</v>
      </c>
      <c r="C81" s="10" t="s">
        <v>2505</v>
      </c>
      <c r="D81" s="10" t="s">
        <v>2514</v>
      </c>
      <c r="E81" s="10" t="s">
        <v>2515</v>
      </c>
      <c r="F81" s="10" t="s">
        <v>2563</v>
      </c>
      <c r="G81" s="10" t="s">
        <v>2564</v>
      </c>
      <c r="I81" s="10" t="s">
        <v>2443</v>
      </c>
      <c r="J81" s="10" t="s">
        <v>670</v>
      </c>
      <c r="K81" s="10" t="s">
        <v>2554</v>
      </c>
      <c r="N81" s="10" t="s">
        <v>2445</v>
      </c>
      <c r="O81" s="10" t="s">
        <v>2500</v>
      </c>
      <c r="P81" s="10" t="s">
        <v>2501</v>
      </c>
      <c r="S81" s="191">
        <v>44946.432613078701</v>
      </c>
      <c r="T81" s="10" t="s">
        <v>2565</v>
      </c>
      <c r="U81" s="10" t="s">
        <v>2566</v>
      </c>
      <c r="V81" s="10" t="s">
        <v>2567</v>
      </c>
      <c r="W81" s="10" t="s">
        <v>2568</v>
      </c>
      <c r="X81" s="10" t="s">
        <v>2569</v>
      </c>
      <c r="Y81" s="10" t="s">
        <v>2453</v>
      </c>
    </row>
    <row r="82" spans="2:25">
      <c r="B82" s="10" t="s">
        <v>2570</v>
      </c>
      <c r="C82" s="10" t="s">
        <v>2455</v>
      </c>
      <c r="D82" s="10" t="s">
        <v>2455</v>
      </c>
      <c r="E82" s="10" t="s">
        <v>2559</v>
      </c>
      <c r="F82" s="10" t="s">
        <v>2560</v>
      </c>
      <c r="G82" s="10" t="s">
        <v>740</v>
      </c>
      <c r="H82" s="10" t="s">
        <v>2442</v>
      </c>
      <c r="I82" s="10" t="s">
        <v>2443</v>
      </c>
      <c r="J82" s="10" t="s">
        <v>670</v>
      </c>
      <c r="K82" s="10" t="s">
        <v>2554</v>
      </c>
      <c r="N82" s="10" t="s">
        <v>2445</v>
      </c>
      <c r="O82" s="10" t="s">
        <v>2500</v>
      </c>
      <c r="P82" s="10" t="s">
        <v>2501</v>
      </c>
      <c r="S82" s="191">
        <v>44998.554617939815</v>
      </c>
      <c r="T82" s="10" t="s">
        <v>2571</v>
      </c>
      <c r="U82" s="10" t="s">
        <v>2572</v>
      </c>
      <c r="V82" s="10" t="s">
        <v>2573</v>
      </c>
      <c r="W82" s="10" t="s">
        <v>2574</v>
      </c>
      <c r="X82" s="10" t="s">
        <v>2575</v>
      </c>
      <c r="Y82" s="10" t="s">
        <v>2453</v>
      </c>
    </row>
    <row r="83" spans="2:25">
      <c r="B83" s="10" t="s">
        <v>2480</v>
      </c>
      <c r="C83" s="10" t="s">
        <v>2464</v>
      </c>
      <c r="D83" s="10" t="s">
        <v>2465</v>
      </c>
      <c r="E83" s="10" t="s">
        <v>2497</v>
      </c>
      <c r="F83" s="10" t="s">
        <v>2498</v>
      </c>
      <c r="G83" s="10" t="s">
        <v>2441</v>
      </c>
      <c r="H83" s="10" t="s">
        <v>2442</v>
      </c>
      <c r="I83" s="10" t="s">
        <v>2443</v>
      </c>
      <c r="J83" s="10" t="s">
        <v>670</v>
      </c>
      <c r="K83" s="10" t="s">
        <v>2554</v>
      </c>
      <c r="N83" s="10" t="s">
        <v>2499</v>
      </c>
      <c r="O83" s="10" t="s">
        <v>2500</v>
      </c>
      <c r="P83" s="10" t="s">
        <v>2501</v>
      </c>
      <c r="S83" s="191">
        <v>45106.039233368057</v>
      </c>
      <c r="T83" s="10" t="s">
        <v>2483</v>
      </c>
      <c r="U83" s="10" t="s">
        <v>2484</v>
      </c>
      <c r="V83" s="10" t="s">
        <v>2485</v>
      </c>
      <c r="W83" s="10" t="s">
        <v>2486</v>
      </c>
      <c r="X83" s="10" t="s">
        <v>2487</v>
      </c>
      <c r="Y83" s="10" t="s">
        <v>2453</v>
      </c>
    </row>
    <row r="84" spans="2:25">
      <c r="B84" s="10" t="s">
        <v>2576</v>
      </c>
      <c r="C84" s="10" t="s">
        <v>2535</v>
      </c>
      <c r="D84" s="10" t="s">
        <v>2536</v>
      </c>
      <c r="E84" s="10" t="s">
        <v>2577</v>
      </c>
      <c r="F84" s="10" t="s">
        <v>2578</v>
      </c>
      <c r="G84" s="10" t="s">
        <v>1767</v>
      </c>
      <c r="H84" s="10" t="s">
        <v>2442</v>
      </c>
      <c r="I84" s="10" t="s">
        <v>2443</v>
      </c>
      <c r="J84" s="10" t="s">
        <v>670</v>
      </c>
      <c r="K84" s="10" t="s">
        <v>2554</v>
      </c>
      <c r="N84" s="10" t="s">
        <v>2445</v>
      </c>
      <c r="O84" s="10" t="s">
        <v>2500</v>
      </c>
      <c r="P84" s="10" t="s">
        <v>2502</v>
      </c>
      <c r="S84" s="191">
        <v>45319.970647418981</v>
      </c>
      <c r="T84" s="10" t="s">
        <v>2579</v>
      </c>
      <c r="U84" s="10" t="s">
        <v>2580</v>
      </c>
      <c r="V84" s="10" t="s">
        <v>2581</v>
      </c>
      <c r="W84" s="10" t="s">
        <v>2582</v>
      </c>
      <c r="X84" s="10" t="s">
        <v>2583</v>
      </c>
      <c r="Y84" s="10" t="s">
        <v>2453</v>
      </c>
    </row>
    <row r="85" spans="2:25">
      <c r="B85" s="10" t="s">
        <v>2576</v>
      </c>
      <c r="C85" s="10" t="s">
        <v>2535</v>
      </c>
      <c r="D85" s="10" t="s">
        <v>2536</v>
      </c>
      <c r="E85" s="10" t="s">
        <v>2577</v>
      </c>
      <c r="F85" s="10" t="s">
        <v>2578</v>
      </c>
      <c r="G85" s="10" t="s">
        <v>1343</v>
      </c>
      <c r="H85" s="10" t="s">
        <v>2442</v>
      </c>
      <c r="I85" s="10" t="s">
        <v>2443</v>
      </c>
      <c r="J85" s="10" t="s">
        <v>670</v>
      </c>
      <c r="K85" s="10" t="s">
        <v>2554</v>
      </c>
      <c r="N85" s="10" t="s">
        <v>2445</v>
      </c>
      <c r="O85" s="10" t="s">
        <v>2500</v>
      </c>
      <c r="P85" s="10" t="s">
        <v>2502</v>
      </c>
      <c r="S85" s="191">
        <v>45319.970647418981</v>
      </c>
      <c r="T85" s="10" t="s">
        <v>2579</v>
      </c>
      <c r="U85" s="10" t="s">
        <v>2580</v>
      </c>
      <c r="V85" s="10" t="s">
        <v>2581</v>
      </c>
      <c r="W85" s="10" t="s">
        <v>2582</v>
      </c>
      <c r="X85" s="10" t="s">
        <v>2583</v>
      </c>
      <c r="Y85" s="10" t="s">
        <v>2453</v>
      </c>
    </row>
    <row r="86" spans="2:25">
      <c r="B86" s="10" t="s">
        <v>2454</v>
      </c>
      <c r="C86" s="10" t="s">
        <v>2464</v>
      </c>
      <c r="D86" s="10" t="s">
        <v>2465</v>
      </c>
      <c r="E86" s="10" t="s">
        <v>2550</v>
      </c>
      <c r="F86" s="10" t="s">
        <v>2584</v>
      </c>
      <c r="G86" s="10" t="s">
        <v>740</v>
      </c>
      <c r="H86" s="10" t="s">
        <v>2442</v>
      </c>
      <c r="I86" s="10" t="s">
        <v>2443</v>
      </c>
      <c r="J86" s="10" t="s">
        <v>670</v>
      </c>
      <c r="K86" s="10" t="s">
        <v>2585</v>
      </c>
      <c r="N86" s="10" t="s">
        <v>2586</v>
      </c>
      <c r="O86" s="10" t="s">
        <v>2446</v>
      </c>
      <c r="P86" s="10" t="s">
        <v>2447</v>
      </c>
      <c r="Q86" s="10">
        <v>1158</v>
      </c>
      <c r="S86" s="191">
        <v>45322.634336724535</v>
      </c>
      <c r="T86" s="10" t="s">
        <v>2459</v>
      </c>
      <c r="U86" s="10" t="s">
        <v>2460</v>
      </c>
      <c r="V86" s="10" t="s">
        <v>2461</v>
      </c>
      <c r="W86" s="10" t="s">
        <v>2462</v>
      </c>
      <c r="X86" s="10" t="s">
        <v>2463</v>
      </c>
      <c r="Y86" s="10" t="s">
        <v>2453</v>
      </c>
    </row>
    <row r="87" spans="2:25">
      <c r="B87" s="10" t="s">
        <v>2454</v>
      </c>
      <c r="C87" s="10" t="s">
        <v>2464</v>
      </c>
      <c r="D87" s="10" t="s">
        <v>2465</v>
      </c>
      <c r="E87" s="10" t="s">
        <v>2587</v>
      </c>
      <c r="F87" s="10" t="s">
        <v>2588</v>
      </c>
      <c r="G87" s="10" t="s">
        <v>2441</v>
      </c>
      <c r="H87" s="10" t="s">
        <v>2442</v>
      </c>
      <c r="I87" s="10" t="s">
        <v>2443</v>
      </c>
      <c r="J87" s="10" t="s">
        <v>670</v>
      </c>
      <c r="K87" s="10" t="s">
        <v>2585</v>
      </c>
      <c r="N87" s="10" t="s">
        <v>2458</v>
      </c>
      <c r="O87" s="10" t="s">
        <v>2446</v>
      </c>
      <c r="P87" s="10" t="s">
        <v>2447</v>
      </c>
      <c r="Q87" s="10">
        <v>53344</v>
      </c>
      <c r="S87" s="191">
        <v>45322.634336724535</v>
      </c>
      <c r="T87" s="10" t="s">
        <v>2459</v>
      </c>
      <c r="U87" s="10" t="s">
        <v>2460</v>
      </c>
      <c r="V87" s="10" t="s">
        <v>2461</v>
      </c>
      <c r="W87" s="10" t="s">
        <v>2462</v>
      </c>
      <c r="X87" s="10" t="s">
        <v>2463</v>
      </c>
      <c r="Y87" s="10" t="s">
        <v>2453</v>
      </c>
    </row>
    <row r="88" spans="2:25">
      <c r="B88" s="10" t="s">
        <v>2480</v>
      </c>
      <c r="C88" s="10" t="s">
        <v>2455</v>
      </c>
      <c r="D88" s="10" t="s">
        <v>2455</v>
      </c>
      <c r="E88" s="10" t="s">
        <v>2481</v>
      </c>
      <c r="F88" s="10" t="s">
        <v>2555</v>
      </c>
      <c r="G88" s="10" t="s">
        <v>740</v>
      </c>
      <c r="H88" s="10" t="s">
        <v>2489</v>
      </c>
      <c r="I88" s="10" t="s">
        <v>2443</v>
      </c>
      <c r="J88" s="10" t="s">
        <v>670</v>
      </c>
      <c r="K88" s="10" t="s">
        <v>2585</v>
      </c>
      <c r="N88" s="10" t="s">
        <v>2445</v>
      </c>
      <c r="O88" s="10" t="s">
        <v>2446</v>
      </c>
      <c r="P88" s="10" t="s">
        <v>2447</v>
      </c>
      <c r="Q88" s="10">
        <v>1</v>
      </c>
      <c r="R88" s="10">
        <v>1</v>
      </c>
      <c r="S88" s="191">
        <v>45323.542519525465</v>
      </c>
      <c r="T88" s="10" t="s">
        <v>2483</v>
      </c>
      <c r="U88" s="10" t="s">
        <v>2484</v>
      </c>
      <c r="V88" s="10" t="s">
        <v>2485</v>
      </c>
      <c r="W88" s="10" t="s">
        <v>2486</v>
      </c>
      <c r="X88" s="10" t="s">
        <v>2487</v>
      </c>
      <c r="Y88" s="10" t="s">
        <v>2453</v>
      </c>
    </row>
    <row r="89" spans="2:25">
      <c r="B89" s="10" t="s">
        <v>2480</v>
      </c>
      <c r="C89" s="10" t="s">
        <v>2455</v>
      </c>
      <c r="D89" s="10" t="s">
        <v>2455</v>
      </c>
      <c r="E89" s="10" t="s">
        <v>2481</v>
      </c>
      <c r="F89" s="10" t="s">
        <v>2555</v>
      </c>
      <c r="G89" s="10" t="s">
        <v>740</v>
      </c>
      <c r="H89" s="10" t="s">
        <v>2489</v>
      </c>
      <c r="I89" s="10" t="s">
        <v>2443</v>
      </c>
      <c r="J89" s="10" t="s">
        <v>670</v>
      </c>
      <c r="K89" s="10" t="s">
        <v>2585</v>
      </c>
      <c r="N89" s="10" t="s">
        <v>2445</v>
      </c>
      <c r="O89" s="10" t="s">
        <v>2500</v>
      </c>
      <c r="P89" s="10" t="s">
        <v>2502</v>
      </c>
      <c r="S89" s="191">
        <v>45348.777682719905</v>
      </c>
      <c r="T89" s="10" t="s">
        <v>2483</v>
      </c>
      <c r="U89" s="10" t="s">
        <v>2484</v>
      </c>
      <c r="V89" s="10" t="s">
        <v>2485</v>
      </c>
      <c r="W89" s="10" t="s">
        <v>2486</v>
      </c>
      <c r="X89" s="10" t="s">
        <v>2487</v>
      </c>
      <c r="Y89" s="10" t="s">
        <v>2453</v>
      </c>
    </row>
    <row r="90" spans="2:25">
      <c r="B90" s="10" t="s">
        <v>2589</v>
      </c>
      <c r="C90" s="10" t="s">
        <v>2590</v>
      </c>
      <c r="D90" s="10" t="s">
        <v>2590</v>
      </c>
      <c r="E90" s="10" t="s">
        <v>2591</v>
      </c>
      <c r="F90" s="10" t="s">
        <v>2592</v>
      </c>
      <c r="G90" s="10" t="s">
        <v>1343</v>
      </c>
      <c r="H90" s="10" t="s">
        <v>2542</v>
      </c>
      <c r="I90" s="10" t="s">
        <v>2443</v>
      </c>
      <c r="J90" s="10" t="s">
        <v>670</v>
      </c>
      <c r="K90" s="10" t="s">
        <v>2585</v>
      </c>
      <c r="N90" s="10" t="s">
        <v>2593</v>
      </c>
      <c r="O90" s="10" t="s">
        <v>2500</v>
      </c>
      <c r="P90" s="10" t="s">
        <v>2502</v>
      </c>
      <c r="S90" s="191">
        <v>45169.823309375002</v>
      </c>
      <c r="T90" s="10" t="s">
        <v>2594</v>
      </c>
      <c r="V90" s="10" t="s">
        <v>2595</v>
      </c>
      <c r="W90" s="10" t="s">
        <v>2596</v>
      </c>
      <c r="X90" s="10" t="s">
        <v>2597</v>
      </c>
      <c r="Y90" s="10" t="s">
        <v>2453</v>
      </c>
    </row>
    <row r="91" spans="2:25">
      <c r="B91" s="10" t="s">
        <v>2504</v>
      </c>
      <c r="C91" s="10" t="s">
        <v>2505</v>
      </c>
      <c r="D91" s="10" t="s">
        <v>2514</v>
      </c>
      <c r="E91" s="10" t="s">
        <v>2519</v>
      </c>
      <c r="F91" s="10" t="s">
        <v>2520</v>
      </c>
      <c r="G91" s="10" t="s">
        <v>2441</v>
      </c>
      <c r="I91" s="10" t="s">
        <v>2443</v>
      </c>
      <c r="J91" s="10" t="s">
        <v>670</v>
      </c>
      <c r="K91" s="10" t="s">
        <v>2585</v>
      </c>
      <c r="N91" s="10" t="s">
        <v>2499</v>
      </c>
      <c r="O91" s="10" t="s">
        <v>2500</v>
      </c>
      <c r="P91" s="10" t="s">
        <v>2502</v>
      </c>
      <c r="S91" s="191">
        <v>45364.593218553244</v>
      </c>
      <c r="T91" s="10" t="s">
        <v>2509</v>
      </c>
      <c r="U91" s="10" t="s">
        <v>2510</v>
      </c>
      <c r="V91" s="10" t="s">
        <v>2511</v>
      </c>
      <c r="W91" s="10" t="s">
        <v>2512</v>
      </c>
      <c r="X91" s="10" t="s">
        <v>2513</v>
      </c>
      <c r="Y91" s="10" t="s">
        <v>2453</v>
      </c>
    </row>
    <row r="92" spans="2:25">
      <c r="B92" s="10" t="s">
        <v>2504</v>
      </c>
      <c r="C92" s="10" t="s">
        <v>2505</v>
      </c>
      <c r="D92" s="10" t="s">
        <v>2514</v>
      </c>
      <c r="E92" s="10" t="s">
        <v>2522</v>
      </c>
      <c r="F92" s="10" t="s">
        <v>2523</v>
      </c>
      <c r="G92" s="10" t="s">
        <v>2441</v>
      </c>
      <c r="I92" s="10" t="s">
        <v>2443</v>
      </c>
      <c r="J92" s="10" t="s">
        <v>670</v>
      </c>
      <c r="K92" s="10" t="s">
        <v>2585</v>
      </c>
      <c r="N92" s="10" t="s">
        <v>2499</v>
      </c>
      <c r="O92" s="10" t="s">
        <v>2500</v>
      </c>
      <c r="P92" s="10" t="s">
        <v>2502</v>
      </c>
      <c r="S92" s="191">
        <v>45364.593218553244</v>
      </c>
      <c r="T92" s="10" t="s">
        <v>2509</v>
      </c>
      <c r="U92" s="10" t="s">
        <v>2510</v>
      </c>
      <c r="V92" s="10" t="s">
        <v>2511</v>
      </c>
      <c r="W92" s="10" t="s">
        <v>2512</v>
      </c>
      <c r="X92" s="10" t="s">
        <v>2513</v>
      </c>
      <c r="Y92" s="10" t="s">
        <v>2453</v>
      </c>
    </row>
    <row r="93" spans="2:25">
      <c r="B93" s="10" t="s">
        <v>2454</v>
      </c>
      <c r="C93" s="10" t="s">
        <v>2464</v>
      </c>
      <c r="D93" s="10" t="s">
        <v>2465</v>
      </c>
      <c r="E93" s="10" t="s">
        <v>2550</v>
      </c>
      <c r="F93" s="10" t="s">
        <v>2584</v>
      </c>
      <c r="G93" s="10" t="s">
        <v>740</v>
      </c>
      <c r="H93" s="10" t="s">
        <v>2442</v>
      </c>
      <c r="I93" s="10" t="s">
        <v>2443</v>
      </c>
      <c r="J93" s="10" t="s">
        <v>670</v>
      </c>
      <c r="K93" s="10" t="s">
        <v>2585</v>
      </c>
      <c r="N93" s="10" t="s">
        <v>2586</v>
      </c>
      <c r="O93" s="10" t="s">
        <v>2500</v>
      </c>
      <c r="P93" s="10" t="s">
        <v>2502</v>
      </c>
      <c r="S93" s="191">
        <v>45322.539872337962</v>
      </c>
      <c r="T93" s="10" t="s">
        <v>2459</v>
      </c>
      <c r="U93" s="10" t="s">
        <v>2460</v>
      </c>
      <c r="V93" s="10" t="s">
        <v>2461</v>
      </c>
      <c r="W93" s="10" t="s">
        <v>2462</v>
      </c>
      <c r="X93" s="10" t="s">
        <v>2463</v>
      </c>
      <c r="Y93" s="10" t="s">
        <v>2453</v>
      </c>
    </row>
    <row r="94" spans="2:25">
      <c r="B94" s="10" t="s">
        <v>2454</v>
      </c>
      <c r="C94" s="10" t="s">
        <v>2464</v>
      </c>
      <c r="D94" s="10" t="s">
        <v>2465</v>
      </c>
      <c r="E94" s="10" t="s">
        <v>2587</v>
      </c>
      <c r="F94" s="10" t="s">
        <v>2588</v>
      </c>
      <c r="G94" s="10" t="s">
        <v>2441</v>
      </c>
      <c r="H94" s="10" t="s">
        <v>2442</v>
      </c>
      <c r="I94" s="10" t="s">
        <v>2443</v>
      </c>
      <c r="J94" s="10" t="s">
        <v>670</v>
      </c>
      <c r="K94" s="10" t="s">
        <v>2585</v>
      </c>
      <c r="N94" s="10" t="s">
        <v>2458</v>
      </c>
      <c r="O94" s="10" t="s">
        <v>2500</v>
      </c>
      <c r="P94" s="10" t="s">
        <v>2502</v>
      </c>
      <c r="S94" s="191">
        <v>45322.539872337962</v>
      </c>
      <c r="T94" s="10" t="s">
        <v>2459</v>
      </c>
      <c r="U94" s="10" t="s">
        <v>2460</v>
      </c>
      <c r="V94" s="10" t="s">
        <v>2461</v>
      </c>
      <c r="W94" s="10" t="s">
        <v>2462</v>
      </c>
      <c r="X94" s="10" t="s">
        <v>2463</v>
      </c>
      <c r="Y94" s="10" t="s">
        <v>2453</v>
      </c>
    </row>
    <row r="95" spans="2:25">
      <c r="B95" s="10" t="s">
        <v>2480</v>
      </c>
      <c r="C95" s="10" t="s">
        <v>2455</v>
      </c>
      <c r="D95" s="10" t="s">
        <v>2455</v>
      </c>
      <c r="E95" s="10" t="s">
        <v>2481</v>
      </c>
      <c r="F95" s="10" t="s">
        <v>2555</v>
      </c>
      <c r="G95" s="10" t="s">
        <v>740</v>
      </c>
      <c r="H95" s="10" t="s">
        <v>2442</v>
      </c>
      <c r="I95" s="10" t="s">
        <v>2443</v>
      </c>
      <c r="J95" s="10" t="s">
        <v>670</v>
      </c>
      <c r="K95" s="10" t="s">
        <v>2585</v>
      </c>
      <c r="N95" s="10" t="s">
        <v>2445</v>
      </c>
      <c r="O95" s="10" t="s">
        <v>2500</v>
      </c>
      <c r="P95" s="10" t="s">
        <v>2501</v>
      </c>
      <c r="S95" s="191">
        <v>45106.039233368057</v>
      </c>
      <c r="T95" s="10" t="s">
        <v>2483</v>
      </c>
      <c r="U95" s="10" t="s">
        <v>2484</v>
      </c>
      <c r="V95" s="10" t="s">
        <v>2485</v>
      </c>
      <c r="W95" s="10" t="s">
        <v>2486</v>
      </c>
      <c r="X95" s="10" t="s">
        <v>2487</v>
      </c>
      <c r="Y95" s="10" t="s">
        <v>2453</v>
      </c>
    </row>
    <row r="96" spans="2:25">
      <c r="B96" s="10" t="s">
        <v>2480</v>
      </c>
      <c r="C96" s="10" t="s">
        <v>2455</v>
      </c>
      <c r="D96" s="10" t="s">
        <v>2455</v>
      </c>
      <c r="E96" s="10" t="s">
        <v>2456</v>
      </c>
      <c r="F96" s="10" t="s">
        <v>2488</v>
      </c>
      <c r="G96" s="10" t="s">
        <v>740</v>
      </c>
      <c r="H96" s="10" t="s">
        <v>2442</v>
      </c>
      <c r="I96" s="10" t="s">
        <v>2443</v>
      </c>
      <c r="J96" s="10" t="s">
        <v>670</v>
      </c>
      <c r="K96" s="10" t="s">
        <v>2585</v>
      </c>
      <c r="N96" s="10" t="s">
        <v>2445</v>
      </c>
      <c r="O96" s="10" t="s">
        <v>2500</v>
      </c>
      <c r="P96" s="10" t="s">
        <v>2501</v>
      </c>
      <c r="S96" s="191">
        <v>45106.039233368057</v>
      </c>
      <c r="T96" s="10" t="s">
        <v>2483</v>
      </c>
      <c r="U96" s="10" t="s">
        <v>2484</v>
      </c>
      <c r="V96" s="10" t="s">
        <v>2485</v>
      </c>
      <c r="W96" s="10" t="s">
        <v>2486</v>
      </c>
      <c r="X96" s="10" t="s">
        <v>2487</v>
      </c>
      <c r="Y96" s="10" t="s">
        <v>2453</v>
      </c>
    </row>
    <row r="97" spans="2:25">
      <c r="B97" s="10" t="s">
        <v>2454</v>
      </c>
      <c r="C97" s="10" t="s">
        <v>2464</v>
      </c>
      <c r="D97" s="10" t="s">
        <v>2465</v>
      </c>
      <c r="E97" s="10" t="s">
        <v>2550</v>
      </c>
      <c r="F97" s="10" t="s">
        <v>2584</v>
      </c>
      <c r="G97" s="10" t="s">
        <v>740</v>
      </c>
      <c r="H97" s="10" t="s">
        <v>2442</v>
      </c>
      <c r="I97" s="10" t="s">
        <v>2443</v>
      </c>
      <c r="J97" s="10" t="s">
        <v>670</v>
      </c>
      <c r="K97" s="10" t="s">
        <v>2585</v>
      </c>
      <c r="N97" s="10" t="s">
        <v>2586</v>
      </c>
      <c r="O97" s="10" t="s">
        <v>2500</v>
      </c>
      <c r="P97" s="10" t="s">
        <v>2501</v>
      </c>
      <c r="S97" s="191">
        <v>44957.010267094905</v>
      </c>
      <c r="T97" s="10" t="s">
        <v>2459</v>
      </c>
      <c r="U97" s="10" t="s">
        <v>2460</v>
      </c>
      <c r="V97" s="10" t="s">
        <v>2461</v>
      </c>
      <c r="W97" s="10" t="s">
        <v>2462</v>
      </c>
      <c r="X97" s="10" t="s">
        <v>2463</v>
      </c>
      <c r="Y97" s="10" t="s">
        <v>2453</v>
      </c>
    </row>
    <row r="98" spans="2:25">
      <c r="B98" s="10" t="s">
        <v>2454</v>
      </c>
      <c r="C98" s="10" t="s">
        <v>2464</v>
      </c>
      <c r="D98" s="10" t="s">
        <v>2465</v>
      </c>
      <c r="E98" s="10" t="s">
        <v>2587</v>
      </c>
      <c r="F98" s="10" t="s">
        <v>2588</v>
      </c>
      <c r="G98" s="10" t="s">
        <v>2441</v>
      </c>
      <c r="H98" s="10" t="s">
        <v>2442</v>
      </c>
      <c r="I98" s="10" t="s">
        <v>2443</v>
      </c>
      <c r="J98" s="10" t="s">
        <v>670</v>
      </c>
      <c r="K98" s="10" t="s">
        <v>2585</v>
      </c>
      <c r="N98" s="10" t="s">
        <v>2458</v>
      </c>
      <c r="O98" s="10" t="s">
        <v>2500</v>
      </c>
      <c r="P98" s="10" t="s">
        <v>2501</v>
      </c>
      <c r="S98" s="191">
        <v>44957.010267094905</v>
      </c>
      <c r="T98" s="10" t="s">
        <v>2459</v>
      </c>
      <c r="U98" s="10" t="s">
        <v>2460</v>
      </c>
      <c r="V98" s="10" t="s">
        <v>2461</v>
      </c>
      <c r="W98" s="10" t="s">
        <v>2462</v>
      </c>
      <c r="X98" s="10" t="s">
        <v>2463</v>
      </c>
      <c r="Y98" s="10" t="s">
        <v>2453</v>
      </c>
    </row>
    <row r="99" spans="2:25">
      <c r="B99" s="10" t="s">
        <v>2504</v>
      </c>
      <c r="C99" s="10" t="s">
        <v>2505</v>
      </c>
      <c r="D99" s="10" t="s">
        <v>2506</v>
      </c>
      <c r="E99" s="10" t="s">
        <v>2507</v>
      </c>
      <c r="F99" s="10" t="s">
        <v>2508</v>
      </c>
      <c r="G99" s="10" t="s">
        <v>2441</v>
      </c>
      <c r="I99" s="10" t="s">
        <v>2443</v>
      </c>
      <c r="J99" s="10" t="s">
        <v>670</v>
      </c>
      <c r="K99" s="10" t="s">
        <v>2585</v>
      </c>
      <c r="N99" s="10" t="s">
        <v>2499</v>
      </c>
      <c r="O99" s="10" t="s">
        <v>2500</v>
      </c>
      <c r="P99" s="10" t="s">
        <v>2501</v>
      </c>
      <c r="S99" s="191">
        <v>44945.449588773146</v>
      </c>
      <c r="T99" s="10" t="s">
        <v>2509</v>
      </c>
      <c r="U99" s="10" t="s">
        <v>2510</v>
      </c>
      <c r="V99" s="10" t="s">
        <v>2511</v>
      </c>
      <c r="W99" s="10" t="s">
        <v>2512</v>
      </c>
      <c r="X99" s="10" t="s">
        <v>2513</v>
      </c>
      <c r="Y99" s="10" t="s">
        <v>2453</v>
      </c>
    </row>
    <row r="100" spans="2:25">
      <c r="B100" s="10" t="s">
        <v>2504</v>
      </c>
      <c r="C100" s="10" t="s">
        <v>2505</v>
      </c>
      <c r="D100" s="10" t="s">
        <v>2514</v>
      </c>
      <c r="E100" s="10" t="s">
        <v>2515</v>
      </c>
      <c r="F100" s="10" t="s">
        <v>2516</v>
      </c>
      <c r="G100" s="10" t="s">
        <v>2441</v>
      </c>
      <c r="I100" s="10" t="s">
        <v>2443</v>
      </c>
      <c r="J100" s="10" t="s">
        <v>670</v>
      </c>
      <c r="K100" s="10" t="s">
        <v>2585</v>
      </c>
      <c r="N100" s="10" t="s">
        <v>2499</v>
      </c>
      <c r="O100" s="10" t="s">
        <v>2500</v>
      </c>
      <c r="P100" s="10" t="s">
        <v>2501</v>
      </c>
      <c r="S100" s="191">
        <v>44945.449588773146</v>
      </c>
      <c r="T100" s="10" t="s">
        <v>2509</v>
      </c>
      <c r="U100" s="10" t="s">
        <v>2510</v>
      </c>
      <c r="V100" s="10" t="s">
        <v>2511</v>
      </c>
      <c r="W100" s="10" t="s">
        <v>2512</v>
      </c>
      <c r="X100" s="10" t="s">
        <v>2513</v>
      </c>
      <c r="Y100" s="10" t="s">
        <v>2453</v>
      </c>
    </row>
    <row r="101" spans="2:25">
      <c r="B101" s="10" t="s">
        <v>2504</v>
      </c>
      <c r="C101" s="10" t="s">
        <v>2505</v>
      </c>
      <c r="D101" s="10" t="s">
        <v>2514</v>
      </c>
      <c r="E101" s="10" t="s">
        <v>2515</v>
      </c>
      <c r="F101" s="10" t="s">
        <v>2517</v>
      </c>
      <c r="G101" s="10" t="s">
        <v>2441</v>
      </c>
      <c r="I101" s="10" t="s">
        <v>2443</v>
      </c>
      <c r="J101" s="10" t="s">
        <v>670</v>
      </c>
      <c r="K101" s="10" t="s">
        <v>2585</v>
      </c>
      <c r="N101" s="10" t="s">
        <v>2499</v>
      </c>
      <c r="O101" s="10" t="s">
        <v>2500</v>
      </c>
      <c r="P101" s="10" t="s">
        <v>2501</v>
      </c>
      <c r="S101" s="191">
        <v>44945.449588773146</v>
      </c>
      <c r="T101" s="10" t="s">
        <v>2509</v>
      </c>
      <c r="U101" s="10" t="s">
        <v>2510</v>
      </c>
      <c r="V101" s="10" t="s">
        <v>2511</v>
      </c>
      <c r="W101" s="10" t="s">
        <v>2512</v>
      </c>
      <c r="X101" s="10" t="s">
        <v>2513</v>
      </c>
      <c r="Y101" s="10" t="s">
        <v>2453</v>
      </c>
    </row>
    <row r="102" spans="2:25">
      <c r="B102" s="10" t="s">
        <v>2504</v>
      </c>
      <c r="C102" s="10" t="s">
        <v>2505</v>
      </c>
      <c r="D102" s="10" t="s">
        <v>2514</v>
      </c>
      <c r="E102" s="10" t="s">
        <v>2515</v>
      </c>
      <c r="F102" s="10" t="s">
        <v>2518</v>
      </c>
      <c r="G102" s="10" t="s">
        <v>2441</v>
      </c>
      <c r="I102" s="10" t="s">
        <v>2443</v>
      </c>
      <c r="J102" s="10" t="s">
        <v>670</v>
      </c>
      <c r="K102" s="10" t="s">
        <v>2585</v>
      </c>
      <c r="N102" s="10" t="s">
        <v>2499</v>
      </c>
      <c r="O102" s="10" t="s">
        <v>2500</v>
      </c>
      <c r="P102" s="10" t="s">
        <v>2501</v>
      </c>
      <c r="S102" s="191">
        <v>44945.449588773146</v>
      </c>
      <c r="T102" s="10" t="s">
        <v>2509</v>
      </c>
      <c r="U102" s="10" t="s">
        <v>2510</v>
      </c>
      <c r="V102" s="10" t="s">
        <v>2511</v>
      </c>
      <c r="W102" s="10" t="s">
        <v>2512</v>
      </c>
      <c r="X102" s="10" t="s">
        <v>2513</v>
      </c>
      <c r="Y102" s="10" t="s">
        <v>2453</v>
      </c>
    </row>
    <row r="103" spans="2:25">
      <c r="B103" s="10" t="s">
        <v>2504</v>
      </c>
      <c r="C103" s="10" t="s">
        <v>2505</v>
      </c>
      <c r="D103" s="10" t="s">
        <v>2514</v>
      </c>
      <c r="E103" s="10" t="s">
        <v>2519</v>
      </c>
      <c r="F103" s="10" t="s">
        <v>2520</v>
      </c>
      <c r="G103" s="10" t="s">
        <v>2441</v>
      </c>
      <c r="I103" s="10" t="s">
        <v>2443</v>
      </c>
      <c r="J103" s="10" t="s">
        <v>670</v>
      </c>
      <c r="K103" s="10" t="s">
        <v>2585</v>
      </c>
      <c r="N103" s="10" t="s">
        <v>2499</v>
      </c>
      <c r="O103" s="10" t="s">
        <v>2500</v>
      </c>
      <c r="P103" s="10" t="s">
        <v>2501</v>
      </c>
      <c r="S103" s="191">
        <v>44945.449588773146</v>
      </c>
      <c r="T103" s="10" t="s">
        <v>2509</v>
      </c>
      <c r="U103" s="10" t="s">
        <v>2510</v>
      </c>
      <c r="V103" s="10" t="s">
        <v>2511</v>
      </c>
      <c r="W103" s="10" t="s">
        <v>2512</v>
      </c>
      <c r="X103" s="10" t="s">
        <v>2513</v>
      </c>
      <c r="Y103" s="10" t="s">
        <v>2453</v>
      </c>
    </row>
    <row r="104" spans="2:25">
      <c r="B104" s="10" t="s">
        <v>2504</v>
      </c>
      <c r="C104" s="10" t="s">
        <v>2505</v>
      </c>
      <c r="D104" s="10" t="s">
        <v>2514</v>
      </c>
      <c r="E104" s="10" t="s">
        <v>2519</v>
      </c>
      <c r="F104" s="10" t="s">
        <v>2521</v>
      </c>
      <c r="G104" s="10" t="s">
        <v>2441</v>
      </c>
      <c r="I104" s="10" t="s">
        <v>2443</v>
      </c>
      <c r="J104" s="10" t="s">
        <v>670</v>
      </c>
      <c r="K104" s="10" t="s">
        <v>2585</v>
      </c>
      <c r="N104" s="10" t="s">
        <v>2499</v>
      </c>
      <c r="O104" s="10" t="s">
        <v>2500</v>
      </c>
      <c r="P104" s="10" t="s">
        <v>2501</v>
      </c>
      <c r="S104" s="191">
        <v>44945.449588773146</v>
      </c>
      <c r="T104" s="10" t="s">
        <v>2509</v>
      </c>
      <c r="U104" s="10" t="s">
        <v>2510</v>
      </c>
      <c r="V104" s="10" t="s">
        <v>2511</v>
      </c>
      <c r="W104" s="10" t="s">
        <v>2512</v>
      </c>
      <c r="X104" s="10" t="s">
        <v>2513</v>
      </c>
      <c r="Y104" s="10" t="s">
        <v>2453</v>
      </c>
    </row>
    <row r="105" spans="2:25">
      <c r="B105" s="10" t="s">
        <v>2504</v>
      </c>
      <c r="C105" s="10" t="s">
        <v>2505</v>
      </c>
      <c r="D105" s="10" t="s">
        <v>2514</v>
      </c>
      <c r="E105" s="10" t="s">
        <v>2522</v>
      </c>
      <c r="F105" s="10" t="s">
        <v>2523</v>
      </c>
      <c r="G105" s="10" t="s">
        <v>2441</v>
      </c>
      <c r="I105" s="10" t="s">
        <v>2443</v>
      </c>
      <c r="J105" s="10" t="s">
        <v>670</v>
      </c>
      <c r="K105" s="10" t="s">
        <v>2585</v>
      </c>
      <c r="N105" s="10" t="s">
        <v>2499</v>
      </c>
      <c r="O105" s="10" t="s">
        <v>2500</v>
      </c>
      <c r="P105" s="10" t="s">
        <v>2501</v>
      </c>
      <c r="S105" s="191">
        <v>44945.449588773146</v>
      </c>
      <c r="T105" s="10" t="s">
        <v>2509</v>
      </c>
      <c r="U105" s="10" t="s">
        <v>2510</v>
      </c>
      <c r="V105" s="10" t="s">
        <v>2511</v>
      </c>
      <c r="W105" s="10" t="s">
        <v>2512</v>
      </c>
      <c r="X105" s="10" t="s">
        <v>2513</v>
      </c>
      <c r="Y105" s="10" t="s">
        <v>2453</v>
      </c>
    </row>
    <row r="106" spans="2:25">
      <c r="B106" s="10" t="s">
        <v>2504</v>
      </c>
      <c r="C106" s="10" t="s">
        <v>2438</v>
      </c>
      <c r="D106" s="10" t="s">
        <v>2438</v>
      </c>
      <c r="E106" s="10" t="s">
        <v>2439</v>
      </c>
      <c r="F106" s="10" t="s">
        <v>2440</v>
      </c>
      <c r="G106" s="10" t="s">
        <v>2441</v>
      </c>
      <c r="I106" s="10" t="s">
        <v>2443</v>
      </c>
      <c r="J106" s="10" t="s">
        <v>670</v>
      </c>
      <c r="K106" s="10" t="s">
        <v>2585</v>
      </c>
      <c r="N106" s="10" t="s">
        <v>2499</v>
      </c>
      <c r="O106" s="10" t="s">
        <v>2500</v>
      </c>
      <c r="P106" s="10" t="s">
        <v>2501</v>
      </c>
      <c r="S106" s="191">
        <v>44945.449588773146</v>
      </c>
      <c r="T106" s="10" t="s">
        <v>2509</v>
      </c>
      <c r="U106" s="10" t="s">
        <v>2510</v>
      </c>
      <c r="V106" s="10" t="s">
        <v>2511</v>
      </c>
      <c r="W106" s="10" t="s">
        <v>2512</v>
      </c>
      <c r="X106" s="10" t="s">
        <v>2513</v>
      </c>
      <c r="Y106" s="10" t="s">
        <v>2453</v>
      </c>
    </row>
    <row r="107" spans="2:25">
      <c r="B107" s="10" t="s">
        <v>2504</v>
      </c>
      <c r="C107" s="10" t="s">
        <v>2438</v>
      </c>
      <c r="D107" s="10" t="s">
        <v>2438</v>
      </c>
      <c r="E107" s="10" t="s">
        <v>2439</v>
      </c>
      <c r="F107" s="10" t="s">
        <v>2524</v>
      </c>
      <c r="G107" s="10" t="s">
        <v>2441</v>
      </c>
      <c r="I107" s="10" t="s">
        <v>2443</v>
      </c>
      <c r="J107" s="10" t="s">
        <v>670</v>
      </c>
      <c r="K107" s="10" t="s">
        <v>2585</v>
      </c>
      <c r="N107" s="10" t="s">
        <v>2499</v>
      </c>
      <c r="O107" s="10" t="s">
        <v>2500</v>
      </c>
      <c r="P107" s="10" t="s">
        <v>2501</v>
      </c>
      <c r="S107" s="191">
        <v>44945.449588773146</v>
      </c>
      <c r="T107" s="10" t="s">
        <v>2509</v>
      </c>
      <c r="U107" s="10" t="s">
        <v>2510</v>
      </c>
      <c r="V107" s="10" t="s">
        <v>2511</v>
      </c>
      <c r="W107" s="10" t="s">
        <v>2512</v>
      </c>
      <c r="X107" s="10" t="s">
        <v>2513</v>
      </c>
      <c r="Y107" s="10" t="s">
        <v>2453</v>
      </c>
    </row>
    <row r="108" spans="2:25">
      <c r="B108" s="10" t="s">
        <v>2504</v>
      </c>
      <c r="C108" s="10" t="s">
        <v>2438</v>
      </c>
      <c r="D108" s="10" t="s">
        <v>2438</v>
      </c>
      <c r="E108" s="10" t="s">
        <v>2439</v>
      </c>
      <c r="F108" s="10" t="s">
        <v>2525</v>
      </c>
      <c r="G108" s="10" t="s">
        <v>2441</v>
      </c>
      <c r="I108" s="10" t="s">
        <v>2443</v>
      </c>
      <c r="J108" s="10" t="s">
        <v>670</v>
      </c>
      <c r="K108" s="10" t="s">
        <v>2585</v>
      </c>
      <c r="N108" s="10" t="s">
        <v>2499</v>
      </c>
      <c r="O108" s="10" t="s">
        <v>2500</v>
      </c>
      <c r="P108" s="10" t="s">
        <v>2501</v>
      </c>
      <c r="S108" s="191">
        <v>44945.449588773146</v>
      </c>
      <c r="T108" s="10" t="s">
        <v>2509</v>
      </c>
      <c r="U108" s="10" t="s">
        <v>2510</v>
      </c>
      <c r="V108" s="10" t="s">
        <v>2511</v>
      </c>
      <c r="W108" s="10" t="s">
        <v>2512</v>
      </c>
      <c r="X108" s="10" t="s">
        <v>2513</v>
      </c>
      <c r="Y108" s="10" t="s">
        <v>2453</v>
      </c>
    </row>
    <row r="109" spans="2:25">
      <c r="B109" s="10" t="s">
        <v>2504</v>
      </c>
      <c r="C109" s="10" t="s">
        <v>2438</v>
      </c>
      <c r="D109" s="10" t="s">
        <v>2438</v>
      </c>
      <c r="E109" s="10" t="s">
        <v>2439</v>
      </c>
      <c r="F109" s="10" t="s">
        <v>2526</v>
      </c>
      <c r="G109" s="10" t="s">
        <v>2441</v>
      </c>
      <c r="I109" s="10" t="s">
        <v>2443</v>
      </c>
      <c r="J109" s="10" t="s">
        <v>670</v>
      </c>
      <c r="K109" s="10" t="s">
        <v>2585</v>
      </c>
      <c r="N109" s="10" t="s">
        <v>2499</v>
      </c>
      <c r="O109" s="10" t="s">
        <v>2500</v>
      </c>
      <c r="P109" s="10" t="s">
        <v>2501</v>
      </c>
      <c r="S109" s="191">
        <v>44945.449588773146</v>
      </c>
      <c r="T109" s="10" t="s">
        <v>2509</v>
      </c>
      <c r="U109" s="10" t="s">
        <v>2510</v>
      </c>
      <c r="V109" s="10" t="s">
        <v>2511</v>
      </c>
      <c r="W109" s="10" t="s">
        <v>2512</v>
      </c>
      <c r="X109" s="10" t="s">
        <v>2513</v>
      </c>
      <c r="Y109" s="10" t="s">
        <v>2453</v>
      </c>
    </row>
    <row r="110" spans="2:25">
      <c r="B110" s="10" t="s">
        <v>2504</v>
      </c>
      <c r="C110" s="10" t="s">
        <v>2438</v>
      </c>
      <c r="D110" s="10" t="s">
        <v>2438</v>
      </c>
      <c r="E110" s="10" t="s">
        <v>2439</v>
      </c>
      <c r="F110" s="10" t="s">
        <v>2527</v>
      </c>
      <c r="G110" s="10" t="s">
        <v>2441</v>
      </c>
      <c r="I110" s="10" t="s">
        <v>2443</v>
      </c>
      <c r="J110" s="10" t="s">
        <v>670</v>
      </c>
      <c r="K110" s="10" t="s">
        <v>2585</v>
      </c>
      <c r="N110" s="10" t="s">
        <v>2499</v>
      </c>
      <c r="O110" s="10" t="s">
        <v>2500</v>
      </c>
      <c r="P110" s="10" t="s">
        <v>2501</v>
      </c>
      <c r="S110" s="191">
        <v>44945.449588773146</v>
      </c>
      <c r="T110" s="10" t="s">
        <v>2509</v>
      </c>
      <c r="U110" s="10" t="s">
        <v>2510</v>
      </c>
      <c r="V110" s="10" t="s">
        <v>2511</v>
      </c>
      <c r="W110" s="10" t="s">
        <v>2512</v>
      </c>
      <c r="X110" s="10" t="s">
        <v>2513</v>
      </c>
      <c r="Y110" s="10" t="s">
        <v>2453</v>
      </c>
    </row>
    <row r="111" spans="2:25">
      <c r="B111" s="10" t="s">
        <v>2504</v>
      </c>
      <c r="C111" s="10" t="s">
        <v>2438</v>
      </c>
      <c r="D111" s="10" t="s">
        <v>2438</v>
      </c>
      <c r="E111" s="10" t="s">
        <v>2528</v>
      </c>
      <c r="F111" s="10" t="s">
        <v>2529</v>
      </c>
      <c r="G111" s="10" t="s">
        <v>2441</v>
      </c>
      <c r="I111" s="10" t="s">
        <v>2443</v>
      </c>
      <c r="J111" s="10" t="s">
        <v>670</v>
      </c>
      <c r="K111" s="10" t="s">
        <v>2585</v>
      </c>
      <c r="N111" s="10" t="s">
        <v>2499</v>
      </c>
      <c r="O111" s="10" t="s">
        <v>2500</v>
      </c>
      <c r="P111" s="10" t="s">
        <v>2501</v>
      </c>
      <c r="S111" s="191">
        <v>44945.449588773146</v>
      </c>
      <c r="T111" s="10" t="s">
        <v>2509</v>
      </c>
      <c r="U111" s="10" t="s">
        <v>2510</v>
      </c>
      <c r="V111" s="10" t="s">
        <v>2511</v>
      </c>
      <c r="W111" s="10" t="s">
        <v>2512</v>
      </c>
      <c r="X111" s="10" t="s">
        <v>2513</v>
      </c>
      <c r="Y111" s="10" t="s">
        <v>2453</v>
      </c>
    </row>
    <row r="112" spans="2:25">
      <c r="B112" s="10" t="s">
        <v>2504</v>
      </c>
      <c r="C112" s="10" t="s">
        <v>2530</v>
      </c>
      <c r="D112" s="10" t="s">
        <v>2530</v>
      </c>
      <c r="E112" s="10" t="s">
        <v>2531</v>
      </c>
      <c r="F112" s="10" t="s">
        <v>2532</v>
      </c>
      <c r="G112" s="10" t="s">
        <v>2441</v>
      </c>
      <c r="I112" s="10" t="s">
        <v>2443</v>
      </c>
      <c r="J112" s="10" t="s">
        <v>670</v>
      </c>
      <c r="K112" s="10" t="s">
        <v>2585</v>
      </c>
      <c r="N112" s="10" t="s">
        <v>2499</v>
      </c>
      <c r="O112" s="10" t="s">
        <v>2500</v>
      </c>
      <c r="P112" s="10" t="s">
        <v>2501</v>
      </c>
      <c r="S112" s="191">
        <v>44945.449588773146</v>
      </c>
      <c r="T112" s="10" t="s">
        <v>2509</v>
      </c>
      <c r="U112" s="10" t="s">
        <v>2510</v>
      </c>
      <c r="V112" s="10" t="s">
        <v>2511</v>
      </c>
      <c r="W112" s="10" t="s">
        <v>2512</v>
      </c>
      <c r="X112" s="10" t="s">
        <v>2513</v>
      </c>
      <c r="Y112" s="10" t="s">
        <v>2453</v>
      </c>
    </row>
    <row r="113" spans="2:25">
      <c r="B113" s="10" t="s">
        <v>2504</v>
      </c>
      <c r="C113" s="10" t="s">
        <v>2530</v>
      </c>
      <c r="D113" s="10" t="s">
        <v>2530</v>
      </c>
      <c r="E113" s="10" t="s">
        <v>2531</v>
      </c>
      <c r="F113" s="10" t="s">
        <v>2533</v>
      </c>
      <c r="G113" s="10" t="s">
        <v>2441</v>
      </c>
      <c r="I113" s="10" t="s">
        <v>2443</v>
      </c>
      <c r="J113" s="10" t="s">
        <v>670</v>
      </c>
      <c r="K113" s="10" t="s">
        <v>2585</v>
      </c>
      <c r="N113" s="10" t="s">
        <v>2499</v>
      </c>
      <c r="O113" s="10" t="s">
        <v>2500</v>
      </c>
      <c r="P113" s="10" t="s">
        <v>2501</v>
      </c>
      <c r="S113" s="191">
        <v>44945.449588773146</v>
      </c>
      <c r="T113" s="10" t="s">
        <v>2509</v>
      </c>
      <c r="U113" s="10" t="s">
        <v>2510</v>
      </c>
      <c r="V113" s="10" t="s">
        <v>2511</v>
      </c>
      <c r="W113" s="10" t="s">
        <v>2512</v>
      </c>
      <c r="X113" s="10" t="s">
        <v>2513</v>
      </c>
      <c r="Y113" s="10" t="s">
        <v>2453</v>
      </c>
    </row>
    <row r="114" spans="2:25">
      <c r="B114" s="10" t="s">
        <v>2504</v>
      </c>
      <c r="C114" s="10" t="s">
        <v>2530</v>
      </c>
      <c r="D114" s="10" t="s">
        <v>2530</v>
      </c>
      <c r="E114" s="10" t="s">
        <v>2531</v>
      </c>
      <c r="F114" s="10" t="s">
        <v>2534</v>
      </c>
      <c r="G114" s="10" t="s">
        <v>2441</v>
      </c>
      <c r="I114" s="10" t="s">
        <v>2443</v>
      </c>
      <c r="J114" s="10" t="s">
        <v>670</v>
      </c>
      <c r="K114" s="10" t="s">
        <v>2585</v>
      </c>
      <c r="N114" s="10" t="s">
        <v>2499</v>
      </c>
      <c r="O114" s="10" t="s">
        <v>2500</v>
      </c>
      <c r="P114" s="10" t="s">
        <v>2501</v>
      </c>
      <c r="S114" s="191">
        <v>44945.449588773146</v>
      </c>
      <c r="T114" s="10" t="s">
        <v>2509</v>
      </c>
      <c r="U114" s="10" t="s">
        <v>2510</v>
      </c>
      <c r="V114" s="10" t="s">
        <v>2511</v>
      </c>
      <c r="W114" s="10" t="s">
        <v>2512</v>
      </c>
      <c r="X114" s="10" t="s">
        <v>2513</v>
      </c>
      <c r="Y114" s="10" t="s">
        <v>2453</v>
      </c>
    </row>
    <row r="115" spans="2:25">
      <c r="B115" s="10" t="s">
        <v>2504</v>
      </c>
      <c r="C115" s="10" t="s">
        <v>2535</v>
      </c>
      <c r="D115" s="10" t="s">
        <v>2536</v>
      </c>
      <c r="E115" s="10" t="s">
        <v>2537</v>
      </c>
      <c r="F115" s="10" t="s">
        <v>2538</v>
      </c>
      <c r="G115" s="10" t="s">
        <v>2441</v>
      </c>
      <c r="I115" s="10" t="s">
        <v>2443</v>
      </c>
      <c r="J115" s="10" t="s">
        <v>670</v>
      </c>
      <c r="K115" s="10" t="s">
        <v>2585</v>
      </c>
      <c r="N115" s="10" t="s">
        <v>2499</v>
      </c>
      <c r="O115" s="10" t="s">
        <v>2500</v>
      </c>
      <c r="P115" s="10" t="s">
        <v>2501</v>
      </c>
      <c r="S115" s="191">
        <v>44945.449588773146</v>
      </c>
      <c r="T115" s="10" t="s">
        <v>2509</v>
      </c>
      <c r="U115" s="10" t="s">
        <v>2510</v>
      </c>
      <c r="V115" s="10" t="s">
        <v>2511</v>
      </c>
      <c r="W115" s="10" t="s">
        <v>2512</v>
      </c>
      <c r="X115" s="10" t="s">
        <v>2513</v>
      </c>
      <c r="Y115" s="10" t="s">
        <v>2453</v>
      </c>
    </row>
    <row r="116" spans="2:25">
      <c r="B116" s="10" t="s">
        <v>2504</v>
      </c>
      <c r="C116" s="10" t="s">
        <v>2455</v>
      </c>
      <c r="D116" s="10" t="s">
        <v>2455</v>
      </c>
      <c r="E116" s="10" t="s">
        <v>2490</v>
      </c>
      <c r="F116" s="10" t="s">
        <v>2491</v>
      </c>
      <c r="G116" s="10" t="s">
        <v>2441</v>
      </c>
      <c r="I116" s="10" t="s">
        <v>2443</v>
      </c>
      <c r="J116" s="10" t="s">
        <v>670</v>
      </c>
      <c r="K116" s="10" t="s">
        <v>2585</v>
      </c>
      <c r="N116" s="10" t="s">
        <v>2499</v>
      </c>
      <c r="O116" s="10" t="s">
        <v>2500</v>
      </c>
      <c r="P116" s="10" t="s">
        <v>2501</v>
      </c>
      <c r="S116" s="191">
        <v>44945.449588773146</v>
      </c>
      <c r="T116" s="10" t="s">
        <v>2509</v>
      </c>
      <c r="U116" s="10" t="s">
        <v>2510</v>
      </c>
      <c r="V116" s="10" t="s">
        <v>2511</v>
      </c>
      <c r="W116" s="10" t="s">
        <v>2512</v>
      </c>
      <c r="X116" s="10" t="s">
        <v>2513</v>
      </c>
      <c r="Y116" s="10" t="s">
        <v>2453</v>
      </c>
    </row>
    <row r="117" spans="2:25">
      <c r="B117" s="10" t="s">
        <v>2504</v>
      </c>
      <c r="C117" s="10" t="s">
        <v>2455</v>
      </c>
      <c r="D117" s="10" t="s">
        <v>2455</v>
      </c>
      <c r="E117" s="10" t="s">
        <v>2490</v>
      </c>
      <c r="F117" s="10" t="s">
        <v>2539</v>
      </c>
      <c r="G117" s="10" t="s">
        <v>2441</v>
      </c>
      <c r="I117" s="10" t="s">
        <v>2443</v>
      </c>
      <c r="J117" s="10" t="s">
        <v>670</v>
      </c>
      <c r="K117" s="10" t="s">
        <v>2585</v>
      </c>
      <c r="N117" s="10" t="s">
        <v>2499</v>
      </c>
      <c r="O117" s="10" t="s">
        <v>2500</v>
      </c>
      <c r="P117" s="10" t="s">
        <v>2501</v>
      </c>
      <c r="S117" s="191">
        <v>44945.449588773146</v>
      </c>
      <c r="T117" s="10" t="s">
        <v>2509</v>
      </c>
      <c r="U117" s="10" t="s">
        <v>2510</v>
      </c>
      <c r="V117" s="10" t="s">
        <v>2511</v>
      </c>
      <c r="W117" s="10" t="s">
        <v>2512</v>
      </c>
      <c r="X117" s="10" t="s">
        <v>2513</v>
      </c>
      <c r="Y117" s="10" t="s">
        <v>2453</v>
      </c>
    </row>
    <row r="118" spans="2:25">
      <c r="B118" s="192" t="s">
        <v>2598</v>
      </c>
      <c r="C118" s="192" t="s">
        <v>2455</v>
      </c>
      <c r="D118" s="192" t="s">
        <v>2455</v>
      </c>
      <c r="E118" s="192" t="s">
        <v>2494</v>
      </c>
      <c r="F118" s="192" t="s">
        <v>2495</v>
      </c>
      <c r="G118" s="192" t="s">
        <v>2441</v>
      </c>
      <c r="H118" s="192" t="s">
        <v>2442</v>
      </c>
      <c r="I118" s="192" t="s">
        <v>2443</v>
      </c>
      <c r="J118" s="192" t="s">
        <v>670</v>
      </c>
      <c r="K118" s="192" t="s">
        <v>2599</v>
      </c>
      <c r="L118" s="192">
        <v>5000</v>
      </c>
      <c r="M118" s="193">
        <f t="shared" ref="M118:M119" si="0">L118/1000000</f>
        <v>5.0000000000000001E-3</v>
      </c>
      <c r="N118" s="192" t="s">
        <v>2445</v>
      </c>
      <c r="O118" s="192" t="s">
        <v>2446</v>
      </c>
      <c r="P118" s="192" t="s">
        <v>2447</v>
      </c>
      <c r="Q118" s="192">
        <v>0</v>
      </c>
      <c r="R118" s="192">
        <v>70</v>
      </c>
      <c r="S118" s="194">
        <v>45356.92525925926</v>
      </c>
      <c r="T118" s="10" t="s">
        <v>2600</v>
      </c>
      <c r="U118" s="10" t="s">
        <v>2601</v>
      </c>
      <c r="V118" s="10" t="s">
        <v>2602</v>
      </c>
      <c r="W118" s="10" t="s">
        <v>2603</v>
      </c>
      <c r="X118" s="10" t="s">
        <v>2604</v>
      </c>
      <c r="Y118" s="10" t="s">
        <v>2453</v>
      </c>
    </row>
    <row r="119" spans="2:25">
      <c r="B119" s="192" t="s">
        <v>2598</v>
      </c>
      <c r="C119" s="192" t="s">
        <v>2455</v>
      </c>
      <c r="D119" s="192" t="s">
        <v>2455</v>
      </c>
      <c r="E119" s="192" t="s">
        <v>2494</v>
      </c>
      <c r="F119" s="192" t="s">
        <v>2495</v>
      </c>
      <c r="G119" s="192" t="s">
        <v>2441</v>
      </c>
      <c r="H119" s="192" t="s">
        <v>2442</v>
      </c>
      <c r="I119" s="192" t="s">
        <v>2443</v>
      </c>
      <c r="J119" s="192" t="s">
        <v>670</v>
      </c>
      <c r="K119" s="192" t="s">
        <v>2599</v>
      </c>
      <c r="L119" s="192">
        <v>5000</v>
      </c>
      <c r="M119" s="193">
        <f t="shared" si="0"/>
        <v>5.0000000000000001E-3</v>
      </c>
      <c r="N119" s="192" t="s">
        <v>2445</v>
      </c>
      <c r="O119" s="192" t="s">
        <v>2500</v>
      </c>
      <c r="P119" s="192" t="s">
        <v>2502</v>
      </c>
      <c r="Q119" s="192"/>
      <c r="R119" s="192"/>
      <c r="S119" s="194">
        <v>45301.887069872682</v>
      </c>
      <c r="T119" s="10" t="s">
        <v>2600</v>
      </c>
      <c r="U119" s="10" t="s">
        <v>2601</v>
      </c>
      <c r="V119" s="10" t="s">
        <v>2602</v>
      </c>
      <c r="W119" s="10" t="s">
        <v>2603</v>
      </c>
      <c r="X119" s="10" t="s">
        <v>2604</v>
      </c>
      <c r="Y119" s="10" t="s">
        <v>2453</v>
      </c>
    </row>
  </sheetData>
  <sheetProtection sheet="1" objects="1" scenarios="1" formatCells="0" formatColumns="0" formatRows="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D678-B423-49FE-9EB9-DEF4C69CB6C3}">
  <sheetPr codeName="Sheet10"/>
  <dimension ref="A1:AV47"/>
  <sheetViews>
    <sheetView topLeftCell="R1" zoomScale="98" zoomScaleNormal="90" workbookViewId="0">
      <pane ySplit="1" topLeftCell="A2" activePane="bottomLeft" state="frozen"/>
      <selection pane="bottomLeft" activeCell="T2" sqref="T2"/>
      <selection activeCell="G24" sqref="G24"/>
    </sheetView>
  </sheetViews>
  <sheetFormatPr defaultColWidth="9.140625" defaultRowHeight="15" outlineLevelCol="1"/>
  <cols>
    <col min="1" max="1" width="16.7109375" style="198" customWidth="1"/>
    <col min="2" max="2" width="25.140625" style="206" customWidth="1"/>
    <col min="3" max="4" width="16.7109375" style="198" customWidth="1"/>
    <col min="5" max="5" width="12.140625" style="198" customWidth="1"/>
    <col min="6" max="6" width="16.7109375" style="125" customWidth="1"/>
    <col min="7" max="7" width="12.28515625" style="198" customWidth="1"/>
    <col min="8" max="8" width="37.42578125" style="198" customWidth="1" outlineLevel="1"/>
    <col min="9" max="9" width="48.140625" style="198" customWidth="1"/>
    <col min="10" max="10" width="23.5703125" style="198" customWidth="1"/>
    <col min="11" max="11" width="18.7109375" style="198" customWidth="1" outlineLevel="1"/>
    <col min="12" max="14" width="8.7109375" style="198" customWidth="1" outlineLevel="1"/>
    <col min="15" max="17" width="8.7109375" style="198" customWidth="1"/>
    <col min="18" max="18" width="14" style="198" customWidth="1"/>
    <col min="19" max="19" width="8.85546875" style="198" customWidth="1"/>
    <col min="20" max="20" width="29" style="198" customWidth="1"/>
    <col min="21" max="21" width="14.42578125" style="198" customWidth="1"/>
    <col min="22" max="22" width="16" style="198" customWidth="1"/>
    <col min="23" max="23" width="98.140625" style="206" customWidth="1"/>
    <col min="24" max="24" width="25.85546875" style="198" customWidth="1" collapsed="1"/>
    <col min="25" max="25" width="9.85546875" style="198" customWidth="1"/>
    <col min="26" max="28" width="9.140625" style="198" customWidth="1"/>
    <col min="29" max="29" width="9.85546875" style="198" customWidth="1"/>
    <col min="30" max="33" width="9.140625" style="198" customWidth="1"/>
    <col min="34" max="34" width="12" style="198" customWidth="1"/>
    <col min="35" max="35" width="11.85546875" style="198" customWidth="1"/>
    <col min="36" max="36" width="9.85546875" style="198" customWidth="1"/>
    <col min="37" max="38" width="9.140625" style="198" customWidth="1"/>
    <col min="39" max="44" width="9.140625" style="198"/>
    <col min="45" max="45" width="11.42578125" style="198" bestFit="1" customWidth="1"/>
    <col min="46" max="47" width="9.140625" style="198"/>
    <col min="48" max="48" width="10.42578125" style="198" bestFit="1" customWidth="1"/>
    <col min="49" max="16384" width="9.140625" style="198"/>
  </cols>
  <sheetData>
    <row r="1" spans="1:48" ht="45" customHeight="1" thickBot="1">
      <c r="A1" s="195" t="s">
        <v>2605</v>
      </c>
      <c r="B1" s="196" t="s">
        <v>2606</v>
      </c>
      <c r="C1" s="197" t="s">
        <v>2607</v>
      </c>
      <c r="D1" s="197" t="s">
        <v>2608</v>
      </c>
      <c r="E1" s="197" t="s">
        <v>2609</v>
      </c>
      <c r="F1" s="135" t="s">
        <v>549</v>
      </c>
      <c r="G1" s="195" t="s">
        <v>2610</v>
      </c>
      <c r="H1" s="195" t="s">
        <v>281</v>
      </c>
      <c r="I1" s="195" t="s">
        <v>2611</v>
      </c>
      <c r="J1" s="195" t="s">
        <v>371</v>
      </c>
      <c r="K1" s="195" t="s">
        <v>285</v>
      </c>
      <c r="L1" s="195" t="s">
        <v>286</v>
      </c>
      <c r="M1" s="195" t="s">
        <v>287</v>
      </c>
      <c r="N1" s="195" t="s">
        <v>288</v>
      </c>
      <c r="O1" s="195" t="s">
        <v>289</v>
      </c>
      <c r="P1" s="195" t="s">
        <v>290</v>
      </c>
      <c r="Q1" s="195" t="s">
        <v>291</v>
      </c>
      <c r="R1" s="195" t="s">
        <v>2612</v>
      </c>
      <c r="S1" s="195" t="s">
        <v>294</v>
      </c>
      <c r="T1" s="195" t="s">
        <v>295</v>
      </c>
      <c r="U1" s="195" t="s">
        <v>2613</v>
      </c>
      <c r="V1" s="195" t="s">
        <v>297</v>
      </c>
      <c r="W1" s="196" t="s">
        <v>298</v>
      </c>
      <c r="X1" s="195" t="s">
        <v>299</v>
      </c>
      <c r="Z1" s="199"/>
      <c r="AA1" s="659" t="s">
        <v>2614</v>
      </c>
      <c r="AB1" s="659"/>
      <c r="AC1" s="659"/>
      <c r="AD1" s="659"/>
      <c r="AE1" s="659"/>
      <c r="AF1" s="659"/>
      <c r="AG1" s="659"/>
      <c r="AH1" s="659"/>
      <c r="AI1" s="659"/>
      <c r="AJ1" s="659"/>
      <c r="AK1" s="660"/>
      <c r="AO1" s="657" t="s">
        <v>2615</v>
      </c>
      <c r="AP1" s="658"/>
      <c r="AQ1" s="658"/>
      <c r="AR1" s="658"/>
      <c r="AS1" s="658"/>
      <c r="AT1" s="658"/>
    </row>
    <row r="2" spans="1:48" ht="150">
      <c r="A2" s="662" t="s">
        <v>243</v>
      </c>
      <c r="B2" s="665" t="s">
        <v>244</v>
      </c>
      <c r="C2" s="628" t="s">
        <v>2616</v>
      </c>
      <c r="D2" s="639" t="s">
        <v>2617</v>
      </c>
      <c r="E2" s="639" t="s">
        <v>70</v>
      </c>
      <c r="F2" s="200" t="s">
        <v>2618</v>
      </c>
      <c r="G2" s="576" t="s">
        <v>560</v>
      </c>
      <c r="H2" s="576" t="s">
        <v>322</v>
      </c>
      <c r="I2" s="576" t="s">
        <v>2619</v>
      </c>
      <c r="J2" s="578" t="s">
        <v>324</v>
      </c>
      <c r="K2" s="578" t="s">
        <v>325</v>
      </c>
      <c r="L2" s="578">
        <v>3.85</v>
      </c>
      <c r="M2" s="578">
        <f t="shared" ref="M2:M18" si="0">AVERAGE(L2,N2)</f>
        <v>3.85</v>
      </c>
      <c r="N2" s="578">
        <v>3.85</v>
      </c>
      <c r="O2" s="578">
        <f t="shared" ref="O2:O18" si="1">L2/100</f>
        <v>3.85E-2</v>
      </c>
      <c r="P2" s="578">
        <f t="shared" ref="P2:P18" si="2">M2/100</f>
        <v>3.85E-2</v>
      </c>
      <c r="Q2" s="578">
        <f t="shared" ref="Q2:Q18" si="3">N2/100</f>
        <v>3.85E-2</v>
      </c>
      <c r="R2" s="578" t="s">
        <v>307</v>
      </c>
      <c r="S2" s="578" t="s">
        <v>308</v>
      </c>
      <c r="T2" s="578" t="s">
        <v>326</v>
      </c>
      <c r="U2" s="578" t="s">
        <v>327</v>
      </c>
      <c r="V2" s="201" t="s">
        <v>311</v>
      </c>
      <c r="W2" s="202" t="s">
        <v>2620</v>
      </c>
      <c r="X2" s="198" t="s">
        <v>329</v>
      </c>
      <c r="Z2" s="203"/>
      <c r="AA2" s="583" t="str">
        <f>C2</f>
        <v>Adhesives for Small Projects</v>
      </c>
      <c r="AB2" s="611" t="str">
        <f>C22</f>
        <v>Automotive lubricants</v>
      </c>
      <c r="AC2" s="583" t="str">
        <f>C4</f>
        <v>Caulking Products</v>
      </c>
      <c r="AD2" s="195" t="str">
        <f>C27</f>
        <v>Crafting Resin (Cured)</v>
      </c>
      <c r="AE2" s="611" t="str">
        <f>C28</f>
        <v>Inks and Dyes</v>
      </c>
      <c r="AF2" s="611" t="str">
        <f>C24</f>
        <v>Interior car care</v>
      </c>
      <c r="AG2" s="611" t="str">
        <f>C9</f>
        <v>Patching and Repair Products for Exterior Surfaces</v>
      </c>
      <c r="AH2" s="611" t="str">
        <f>C14</f>
        <v>Touch up auto paint</v>
      </c>
      <c r="AI2" s="611" t="str">
        <f>C15</f>
        <v>Peel Off Protective Coating</v>
      </c>
      <c r="AJ2" s="611" t="str">
        <f>C16</f>
        <v>Sealing and Refinishing Sprays (Indoor Use)</v>
      </c>
      <c r="AK2" s="583" t="str">
        <f>C18</f>
        <v>Sealing and Refinishing Sprays (Outdoor Use)</v>
      </c>
      <c r="AO2" s="611" t="str">
        <f>C26</f>
        <v>Adult Toys</v>
      </c>
      <c r="AP2" s="611" t="str">
        <f>C25</f>
        <v>Car mat</v>
      </c>
      <c r="AQ2" s="611" t="str">
        <f>C30</f>
        <v>Children's Toys (Legacy)</v>
      </c>
      <c r="AR2" s="611" t="str">
        <f>C31</f>
        <v>Children's Toys (New)</v>
      </c>
      <c r="AS2" s="195" t="str">
        <f>C20</f>
        <v>Clothing (Synthetic Leather)</v>
      </c>
      <c r="AT2" s="611" t="str">
        <f>C19</f>
        <v>Furniture (Synthetic Leather)</v>
      </c>
      <c r="AU2" s="611" t="str">
        <f>C32</f>
        <v>Small articles with the potetial for semi-routine contact</v>
      </c>
      <c r="AV2" s="195" t="str">
        <f>C21</f>
        <v>Vinyl Flooring</v>
      </c>
    </row>
    <row r="3" spans="1:48" ht="90.75" thickBot="1">
      <c r="A3" s="663"/>
      <c r="B3" s="669"/>
      <c r="C3" s="629"/>
      <c r="D3" s="641"/>
      <c r="E3" s="641"/>
      <c r="F3" s="204" t="s">
        <v>2618</v>
      </c>
      <c r="G3" s="577" t="s">
        <v>560</v>
      </c>
      <c r="H3" s="577" t="s">
        <v>384</v>
      </c>
      <c r="I3" s="577" t="s">
        <v>2621</v>
      </c>
      <c r="J3" s="579" t="s">
        <v>416</v>
      </c>
      <c r="K3" s="579" t="s">
        <v>2622</v>
      </c>
      <c r="L3" s="579">
        <v>10</v>
      </c>
      <c r="M3" s="579">
        <f t="shared" si="0"/>
        <v>15</v>
      </c>
      <c r="N3" s="579">
        <v>20</v>
      </c>
      <c r="O3" s="579">
        <f t="shared" si="1"/>
        <v>0.1</v>
      </c>
      <c r="P3" s="579">
        <f t="shared" si="2"/>
        <v>0.15</v>
      </c>
      <c r="Q3" s="579">
        <f t="shared" si="3"/>
        <v>0.2</v>
      </c>
      <c r="R3" s="579" t="s">
        <v>307</v>
      </c>
      <c r="S3" s="579"/>
      <c r="T3" s="579" t="s">
        <v>2623</v>
      </c>
      <c r="U3" s="579" t="s">
        <v>320</v>
      </c>
      <c r="V3" s="205" t="s">
        <v>336</v>
      </c>
      <c r="W3" s="206" t="s">
        <v>419</v>
      </c>
      <c r="X3" s="198" t="s">
        <v>420</v>
      </c>
      <c r="Z3" s="207" t="s">
        <v>2624</v>
      </c>
      <c r="AA3" s="575">
        <f>MAX(Q2:Q3)</f>
        <v>0.2</v>
      </c>
      <c r="AB3" s="575">
        <f>MAX(Q22:Q23)</f>
        <v>0.1</v>
      </c>
      <c r="AC3" s="575">
        <f>MAX(Q4:Q8)</f>
        <v>0.4</v>
      </c>
      <c r="AD3" s="575">
        <f>Q27</f>
        <v>0.15</v>
      </c>
      <c r="AE3" s="575">
        <f>MAX(Q28:Q29)</f>
        <v>0.6</v>
      </c>
      <c r="AF3" s="575">
        <f>Q24</f>
        <v>1E-4</v>
      </c>
      <c r="AG3" s="575">
        <f>MAX(Q9:Q13)</f>
        <v>0.3</v>
      </c>
      <c r="AH3" s="575">
        <f>Q14</f>
        <v>0.05</v>
      </c>
      <c r="AI3" s="575">
        <f>Q15</f>
        <v>0.02</v>
      </c>
      <c r="AJ3" s="575">
        <f>MAX(Q16:Q17)</f>
        <v>0.01</v>
      </c>
      <c r="AK3" s="575">
        <f>Q18</f>
        <v>0.05</v>
      </c>
      <c r="AN3" s="207" t="s">
        <v>2624</v>
      </c>
      <c r="AO3" s="208">
        <f>Q26</f>
        <v>2.5999999999999998E-5</v>
      </c>
      <c r="AP3" s="208">
        <f>Q25</f>
        <v>5.0000000000000002E-5</v>
      </c>
      <c r="AQ3" s="575">
        <f>Q30</f>
        <v>5.0000000000000001E-3</v>
      </c>
      <c r="AR3" s="575">
        <f>Q31</f>
        <v>1E-3</v>
      </c>
      <c r="AS3" s="208">
        <f>Q20</f>
        <v>6.5200000000000002E-4</v>
      </c>
      <c r="AT3" s="208">
        <f>Q19</f>
        <v>6.5200000000000002E-4</v>
      </c>
      <c r="AU3" s="575">
        <f>MAX(Q32:Q36)</f>
        <v>3.9820000000000001E-2</v>
      </c>
      <c r="AV3" s="575">
        <f>Q21</f>
        <v>8.8999999999999999E-3</v>
      </c>
    </row>
    <row r="4" spans="1:48" ht="39" customHeight="1">
      <c r="A4" s="663"/>
      <c r="B4" s="669"/>
      <c r="C4" s="630" t="s">
        <v>2625</v>
      </c>
      <c r="D4" s="633" t="s">
        <v>2626</v>
      </c>
      <c r="E4" s="639" t="s">
        <v>2627</v>
      </c>
      <c r="F4" s="200" t="s">
        <v>2618</v>
      </c>
      <c r="G4" s="576" t="s">
        <v>560</v>
      </c>
      <c r="H4" s="576" t="s">
        <v>384</v>
      </c>
      <c r="I4" s="576" t="s">
        <v>2628</v>
      </c>
      <c r="J4" s="578" t="s">
        <v>495</v>
      </c>
      <c r="K4" s="578" t="s">
        <v>496</v>
      </c>
      <c r="L4" s="578">
        <v>10</v>
      </c>
      <c r="M4" s="578">
        <f t="shared" si="0"/>
        <v>20</v>
      </c>
      <c r="N4" s="578">
        <v>30</v>
      </c>
      <c r="O4" s="578">
        <f t="shared" si="1"/>
        <v>0.1</v>
      </c>
      <c r="P4" s="578">
        <f t="shared" si="2"/>
        <v>0.2</v>
      </c>
      <c r="Q4" s="578">
        <f t="shared" si="3"/>
        <v>0.3</v>
      </c>
      <c r="R4" s="578" t="s">
        <v>333</v>
      </c>
      <c r="S4" s="578">
        <v>1.51</v>
      </c>
      <c r="T4" s="578" t="s">
        <v>350</v>
      </c>
      <c r="U4" s="578" t="s">
        <v>320</v>
      </c>
      <c r="V4" s="201" t="s">
        <v>336</v>
      </c>
      <c r="W4" s="206" t="s">
        <v>498</v>
      </c>
      <c r="Z4" s="207" t="s">
        <v>2629</v>
      </c>
      <c r="AA4" s="575">
        <f>AVERAGE(P2:P3)</f>
        <v>9.425E-2</v>
      </c>
      <c r="AB4" s="575">
        <f>AVERAGE(P22:P23)</f>
        <v>5.2499999999999998E-2</v>
      </c>
      <c r="AC4" s="575">
        <f>AVERAGE(P4:P8)</f>
        <v>0.14499999999999999</v>
      </c>
      <c r="AD4" s="575">
        <f>P27</f>
        <v>0.1</v>
      </c>
      <c r="AE4" s="575">
        <f>AVERAGE(P28:P29)</f>
        <v>0.32500000000000001</v>
      </c>
      <c r="AF4" s="575">
        <f>P24</f>
        <v>1E-4</v>
      </c>
      <c r="AG4" s="575">
        <f>AVERAGE(P9:P13)</f>
        <v>6.3E-2</v>
      </c>
      <c r="AH4" s="575">
        <f>P14</f>
        <v>0.05</v>
      </c>
      <c r="AI4" s="575">
        <f>P15</f>
        <v>0.02</v>
      </c>
      <c r="AJ4" s="575">
        <f>AVERAGE(P16:P17)</f>
        <v>5.5000000000000005E-3</v>
      </c>
      <c r="AK4" s="575">
        <f>P18</f>
        <v>0.03</v>
      </c>
      <c r="AN4" s="207" t="s">
        <v>2629</v>
      </c>
      <c r="AO4" s="208">
        <f>P26</f>
        <v>2.5999999999999998E-5</v>
      </c>
      <c r="AP4" s="575">
        <f>P25</f>
        <v>5.0000000000000002E-5</v>
      </c>
      <c r="AQ4" s="575">
        <f>P30</f>
        <v>3.0000000000000001E-3</v>
      </c>
      <c r="AR4" s="575">
        <f>P31</f>
        <v>1E-3</v>
      </c>
      <c r="AS4" s="209">
        <f>P20</f>
        <v>3.88E-4</v>
      </c>
      <c r="AT4" s="209">
        <f>P19</f>
        <v>3.88E-4</v>
      </c>
      <c r="AU4" s="575">
        <f>AVERAGE(P32:P36)</f>
        <v>8.29008E-3</v>
      </c>
      <c r="AV4" s="575">
        <f>P21</f>
        <v>4.9532500000000002E-3</v>
      </c>
    </row>
    <row r="5" spans="1:48" ht="39" customHeight="1">
      <c r="A5" s="663"/>
      <c r="B5" s="669"/>
      <c r="C5" s="631"/>
      <c r="D5" s="634"/>
      <c r="E5" s="640"/>
      <c r="F5" s="210" t="s">
        <v>2618</v>
      </c>
      <c r="G5" s="575" t="s">
        <v>560</v>
      </c>
      <c r="H5" s="575" t="s">
        <v>384</v>
      </c>
      <c r="I5" s="575" t="s">
        <v>2630</v>
      </c>
      <c r="J5" s="198" t="s">
        <v>425</v>
      </c>
      <c r="K5" s="198" t="s">
        <v>426</v>
      </c>
      <c r="L5" s="198">
        <v>15</v>
      </c>
      <c r="M5" s="198">
        <f t="shared" si="0"/>
        <v>27.5</v>
      </c>
      <c r="N5" s="198">
        <v>40</v>
      </c>
      <c r="O5" s="198">
        <f t="shared" si="1"/>
        <v>0.15</v>
      </c>
      <c r="P5" s="198">
        <f t="shared" si="2"/>
        <v>0.27500000000000002</v>
      </c>
      <c r="Q5" s="198">
        <f t="shared" si="3"/>
        <v>0.4</v>
      </c>
      <c r="R5" s="198" t="s">
        <v>333</v>
      </c>
      <c r="S5" s="198">
        <v>1.5269999999999999</v>
      </c>
      <c r="T5" s="198" t="s">
        <v>350</v>
      </c>
      <c r="U5" s="198" t="s">
        <v>320</v>
      </c>
      <c r="V5" s="211" t="s">
        <v>311</v>
      </c>
      <c r="W5" s="212" t="s">
        <v>427</v>
      </c>
      <c r="Z5" s="207" t="s">
        <v>2631</v>
      </c>
      <c r="AA5" s="575">
        <f>MIN(O2:O3)</f>
        <v>3.85E-2</v>
      </c>
      <c r="AB5" s="575">
        <f>MIN(O22:O23)</f>
        <v>0.03</v>
      </c>
      <c r="AC5" s="575">
        <f>MIN(O4:O8)</f>
        <v>0.05</v>
      </c>
      <c r="AD5" s="575">
        <f>O27</f>
        <v>0.05</v>
      </c>
      <c r="AE5" s="575">
        <f>MIN(O28:O29)</f>
        <v>0.15</v>
      </c>
      <c r="AF5" s="575">
        <f>O24</f>
        <v>1E-4</v>
      </c>
      <c r="AG5" s="575">
        <f>MIN(O9:O13)</f>
        <v>0.01</v>
      </c>
      <c r="AH5" s="575">
        <f>O14</f>
        <v>0.05</v>
      </c>
      <c r="AI5" s="575">
        <f>O15</f>
        <v>0.02</v>
      </c>
      <c r="AJ5" s="575">
        <f>MIN(O16:O17)</f>
        <v>1E-3</v>
      </c>
      <c r="AK5" s="575">
        <f>O18</f>
        <v>0.01</v>
      </c>
      <c r="AN5" s="207" t="s">
        <v>2631</v>
      </c>
      <c r="AO5" s="575">
        <f>O26</f>
        <v>2.5999999999999998E-5</v>
      </c>
      <c r="AP5" s="575">
        <f>O25</f>
        <v>5.0000000000000002E-5</v>
      </c>
      <c r="AQ5" s="575">
        <f>O30</f>
        <v>1E-3</v>
      </c>
      <c r="AR5" s="575">
        <f>O31</f>
        <v>1E-3</v>
      </c>
      <c r="AS5" s="208">
        <f>O20</f>
        <v>1.2400000000000001E-4</v>
      </c>
      <c r="AT5" s="208">
        <f>O19</f>
        <v>1.2400000000000001E-4</v>
      </c>
      <c r="AU5" s="575">
        <f>MIN(O32:O36)</f>
        <v>1.29E-5</v>
      </c>
      <c r="AV5" s="575">
        <f>O21</f>
        <v>1.13E-4</v>
      </c>
    </row>
    <row r="6" spans="1:48" ht="90">
      <c r="A6" s="663"/>
      <c r="B6" s="669"/>
      <c r="C6" s="631"/>
      <c r="D6" s="634"/>
      <c r="E6" s="640"/>
      <c r="F6" s="210" t="s">
        <v>2618</v>
      </c>
      <c r="G6" s="575" t="s">
        <v>560</v>
      </c>
      <c r="H6" s="575" t="s">
        <v>384</v>
      </c>
      <c r="I6" s="575" t="s">
        <v>2632</v>
      </c>
      <c r="J6" s="198" t="s">
        <v>438</v>
      </c>
      <c r="K6" s="198" t="s">
        <v>439</v>
      </c>
      <c r="L6" s="198">
        <v>5</v>
      </c>
      <c r="M6" s="198">
        <f t="shared" si="0"/>
        <v>7.5</v>
      </c>
      <c r="N6" s="198">
        <v>10</v>
      </c>
      <c r="O6" s="198">
        <f t="shared" si="1"/>
        <v>0.05</v>
      </c>
      <c r="P6" s="198">
        <f t="shared" si="2"/>
        <v>7.4999999999999997E-2</v>
      </c>
      <c r="Q6" s="198">
        <f t="shared" si="3"/>
        <v>0.1</v>
      </c>
      <c r="R6" s="198" t="s">
        <v>333</v>
      </c>
      <c r="S6" s="198">
        <v>1.4</v>
      </c>
      <c r="T6" s="198" t="s">
        <v>350</v>
      </c>
      <c r="U6" s="198" t="s">
        <v>320</v>
      </c>
      <c r="V6" s="211" t="s">
        <v>336</v>
      </c>
      <c r="W6" s="212" t="s">
        <v>440</v>
      </c>
      <c r="X6" s="198" t="s">
        <v>441</v>
      </c>
      <c r="Z6" s="213" t="s">
        <v>2633</v>
      </c>
      <c r="AA6" s="573" t="str">
        <f>D2</f>
        <v>Dermal</v>
      </c>
      <c r="AB6" s="573" t="str">
        <f>D22</f>
        <v>Dermal</v>
      </c>
      <c r="AC6" s="573" t="str">
        <f>D4</f>
        <v>Inhalation, Dermal</v>
      </c>
      <c r="AD6" s="575" t="str">
        <f>D27</f>
        <v>Inhalation, Dermal</v>
      </c>
      <c r="AE6" s="573" t="str">
        <f>D28</f>
        <v>Dermal</v>
      </c>
      <c r="AF6" s="573" t="str">
        <f>D24</f>
        <v>Inhalation, Dermal</v>
      </c>
      <c r="AG6" s="573" t="str">
        <f>D9</f>
        <v>Dermal</v>
      </c>
      <c r="AH6" s="573" t="str">
        <f>D14</f>
        <v>Qualitative, No significant potential for Exposure</v>
      </c>
      <c r="AI6" s="573" t="str">
        <f>D15</f>
        <v>Qualitative, Not likely to be purchased by consumers</v>
      </c>
      <c r="AJ6" s="573" t="str">
        <f>D16</f>
        <v>Inhalation, Dermal</v>
      </c>
      <c r="AK6" s="573" t="str">
        <f>D18</f>
        <v>Inhalation, Dermal</v>
      </c>
    </row>
    <row r="7" spans="1:48" ht="39" customHeight="1">
      <c r="A7" s="663"/>
      <c r="B7" s="669"/>
      <c r="C7" s="631"/>
      <c r="D7" s="634"/>
      <c r="E7" s="640"/>
      <c r="F7" s="210" t="s">
        <v>2618</v>
      </c>
      <c r="G7" s="575" t="s">
        <v>560</v>
      </c>
      <c r="H7" s="575" t="s">
        <v>450</v>
      </c>
      <c r="I7" s="575" t="s">
        <v>2634</v>
      </c>
      <c r="J7" s="198" t="s">
        <v>452</v>
      </c>
      <c r="K7" s="198" t="s">
        <v>453</v>
      </c>
      <c r="L7" s="198">
        <v>5</v>
      </c>
      <c r="M7" s="198">
        <f t="shared" si="0"/>
        <v>7.5</v>
      </c>
      <c r="N7" s="198">
        <v>10</v>
      </c>
      <c r="O7" s="198">
        <f t="shared" si="1"/>
        <v>0.05</v>
      </c>
      <c r="P7" s="198">
        <f t="shared" si="2"/>
        <v>7.4999999999999997E-2</v>
      </c>
      <c r="Q7" s="198">
        <f t="shared" si="3"/>
        <v>0.1</v>
      </c>
      <c r="R7" s="198" t="s">
        <v>333</v>
      </c>
      <c r="S7" s="198">
        <v>1.5</v>
      </c>
      <c r="T7" s="198" t="s">
        <v>309</v>
      </c>
      <c r="U7" s="198" t="s">
        <v>320</v>
      </c>
      <c r="V7" s="211" t="s">
        <v>336</v>
      </c>
      <c r="W7" s="212" t="s">
        <v>454</v>
      </c>
      <c r="Z7" s="213" t="s">
        <v>294</v>
      </c>
      <c r="AA7" s="214" t="s">
        <v>2635</v>
      </c>
      <c r="AB7" s="214" t="s">
        <v>2635</v>
      </c>
      <c r="AC7" s="215">
        <f>AVERAGE(S4:S8)</f>
        <v>1.4994000000000001</v>
      </c>
      <c r="AD7" s="575">
        <f>S27</f>
        <v>1.2</v>
      </c>
      <c r="AE7" s="214" t="s">
        <v>2635</v>
      </c>
      <c r="AF7" s="573">
        <f>S24</f>
        <v>1</v>
      </c>
      <c r="AG7" s="214" t="s">
        <v>2635</v>
      </c>
      <c r="AH7" s="214" t="s">
        <v>2635</v>
      </c>
      <c r="AI7" s="215">
        <f>S15</f>
        <v>1.1263700000000001</v>
      </c>
      <c r="AJ7" s="215">
        <f>AVERAGE(S16:S17)</f>
        <v>0.89115149999999987</v>
      </c>
      <c r="AK7" s="573">
        <f>S18</f>
        <v>1.4</v>
      </c>
    </row>
    <row r="8" spans="1:48" ht="39" customHeight="1" thickBot="1">
      <c r="A8" s="663"/>
      <c r="B8" s="669"/>
      <c r="C8" s="632"/>
      <c r="D8" s="635"/>
      <c r="E8" s="641"/>
      <c r="F8" s="204" t="s">
        <v>2618</v>
      </c>
      <c r="G8" s="577" t="s">
        <v>560</v>
      </c>
      <c r="H8" s="577" t="s">
        <v>450</v>
      </c>
      <c r="I8" s="577" t="s">
        <v>2636</v>
      </c>
      <c r="J8" s="579" t="s">
        <v>540</v>
      </c>
      <c r="K8" s="579" t="s">
        <v>515</v>
      </c>
      <c r="L8" s="579">
        <v>7</v>
      </c>
      <c r="M8" s="579">
        <f t="shared" si="0"/>
        <v>10</v>
      </c>
      <c r="N8" s="579">
        <v>13</v>
      </c>
      <c r="O8" s="579">
        <f t="shared" si="1"/>
        <v>7.0000000000000007E-2</v>
      </c>
      <c r="P8" s="579">
        <f t="shared" si="2"/>
        <v>0.1</v>
      </c>
      <c r="Q8" s="579">
        <f t="shared" si="3"/>
        <v>0.13</v>
      </c>
      <c r="R8" s="579" t="s">
        <v>333</v>
      </c>
      <c r="S8" s="579">
        <v>1.56</v>
      </c>
      <c r="T8" s="579" t="s">
        <v>541</v>
      </c>
      <c r="U8" s="579" t="s">
        <v>320</v>
      </c>
      <c r="V8" s="205" t="s">
        <v>336</v>
      </c>
      <c r="W8" s="206" t="s">
        <v>542</v>
      </c>
      <c r="Z8" s="213" t="s">
        <v>2637</v>
      </c>
      <c r="AA8" s="214" t="s">
        <v>2635</v>
      </c>
      <c r="AB8" s="214" t="s">
        <v>2635</v>
      </c>
      <c r="AC8" s="216">
        <f>10.5*AN11*AC7</f>
        <v>466.01352000000003</v>
      </c>
      <c r="AD8" s="217">
        <f>1*AN10*AD7</f>
        <v>4542.4919999999993</v>
      </c>
      <c r="AE8" s="214" t="s">
        <v>2635</v>
      </c>
      <c r="AF8" s="595">
        <v>200</v>
      </c>
      <c r="AG8" s="214" t="s">
        <v>2635</v>
      </c>
      <c r="AH8" s="214" t="s">
        <v>2635</v>
      </c>
      <c r="AI8" s="214" t="s">
        <v>2635</v>
      </c>
      <c r="AJ8" s="216">
        <f>5*AN10*AJ7</f>
        <v>16866.868998074999</v>
      </c>
      <c r="AK8" s="216">
        <f>5*AN10*AK7</f>
        <v>26497.87</v>
      </c>
    </row>
    <row r="9" spans="1:48" ht="105">
      <c r="A9" s="663"/>
      <c r="B9" s="669"/>
      <c r="C9" s="630" t="s">
        <v>2638</v>
      </c>
      <c r="D9" s="633" t="s">
        <v>2617</v>
      </c>
      <c r="E9" s="636" t="s">
        <v>2639</v>
      </c>
      <c r="F9" s="200" t="s">
        <v>2618</v>
      </c>
      <c r="G9" s="576" t="s">
        <v>560</v>
      </c>
      <c r="H9" s="576" t="s">
        <v>301</v>
      </c>
      <c r="I9" s="576" t="s">
        <v>2640</v>
      </c>
      <c r="J9" s="578" t="s">
        <v>304</v>
      </c>
      <c r="K9" s="578" t="s">
        <v>305</v>
      </c>
      <c r="L9" s="578">
        <v>4</v>
      </c>
      <c r="M9" s="578">
        <f t="shared" si="0"/>
        <v>7</v>
      </c>
      <c r="N9" s="578">
        <v>10</v>
      </c>
      <c r="O9" s="578">
        <f t="shared" si="1"/>
        <v>0.04</v>
      </c>
      <c r="P9" s="578">
        <f t="shared" si="2"/>
        <v>7.0000000000000007E-2</v>
      </c>
      <c r="Q9" s="578">
        <f t="shared" si="3"/>
        <v>0.1</v>
      </c>
      <c r="R9" s="578" t="s">
        <v>307</v>
      </c>
      <c r="S9" s="578" t="s">
        <v>308</v>
      </c>
      <c r="T9" s="578" t="s">
        <v>309</v>
      </c>
      <c r="U9" s="578" t="s">
        <v>310</v>
      </c>
      <c r="V9" s="201" t="s">
        <v>311</v>
      </c>
      <c r="W9" s="202" t="s">
        <v>2641</v>
      </c>
      <c r="X9" s="198" t="s">
        <v>313</v>
      </c>
      <c r="Z9" s="213" t="s">
        <v>2642</v>
      </c>
      <c r="AA9" s="214" t="s">
        <v>2635</v>
      </c>
      <c r="AB9" s="214" t="s">
        <v>2635</v>
      </c>
      <c r="AC9" s="216">
        <f>AC8*0.5</f>
        <v>233.00676000000001</v>
      </c>
      <c r="AD9" s="217">
        <f>AVERAGE(AD8,AD10)</f>
        <v>2555.1517499999995</v>
      </c>
      <c r="AE9" s="214" t="s">
        <v>2635</v>
      </c>
      <c r="AF9" s="595">
        <v>150</v>
      </c>
      <c r="AG9" s="214" t="s">
        <v>2635</v>
      </c>
      <c r="AH9" s="214" t="s">
        <v>2635</v>
      </c>
      <c r="AI9" s="214" t="s">
        <v>2635</v>
      </c>
      <c r="AJ9" s="216">
        <f>1*AN10*AJ7</f>
        <v>3373.3737996149994</v>
      </c>
      <c r="AK9" s="216">
        <f>0.5*AK8</f>
        <v>13248.934999999999</v>
      </c>
      <c r="AL9" s="195"/>
      <c r="AM9" s="198" t="s">
        <v>2643</v>
      </c>
    </row>
    <row r="10" spans="1:48" ht="150">
      <c r="A10" s="663"/>
      <c r="B10" s="669"/>
      <c r="C10" s="631"/>
      <c r="D10" s="634"/>
      <c r="E10" s="637"/>
      <c r="F10" s="210" t="s">
        <v>2618</v>
      </c>
      <c r="G10" s="575" t="s">
        <v>560</v>
      </c>
      <c r="H10" s="575" t="s">
        <v>314</v>
      </c>
      <c r="I10" s="575" t="s">
        <v>2644</v>
      </c>
      <c r="J10" s="198" t="s">
        <v>316</v>
      </c>
      <c r="K10" s="198" t="s">
        <v>317</v>
      </c>
      <c r="L10" s="198">
        <v>1</v>
      </c>
      <c r="M10" s="198">
        <f t="shared" si="0"/>
        <v>1.5</v>
      </c>
      <c r="N10" s="198">
        <v>2</v>
      </c>
      <c r="O10" s="198">
        <f t="shared" si="1"/>
        <v>0.01</v>
      </c>
      <c r="P10" s="198">
        <f t="shared" si="2"/>
        <v>1.4999999999999999E-2</v>
      </c>
      <c r="Q10" s="198">
        <f t="shared" si="3"/>
        <v>0.02</v>
      </c>
      <c r="R10" s="198" t="s">
        <v>307</v>
      </c>
      <c r="S10" s="198" t="s">
        <v>318</v>
      </c>
      <c r="T10" s="198" t="s">
        <v>319</v>
      </c>
      <c r="U10" s="198" t="s">
        <v>310</v>
      </c>
      <c r="V10" s="211" t="s">
        <v>311</v>
      </c>
      <c r="W10" s="202" t="s">
        <v>321</v>
      </c>
      <c r="Z10" s="207" t="s">
        <v>2645</v>
      </c>
      <c r="AA10" s="214" t="s">
        <v>2635</v>
      </c>
      <c r="AB10" s="214" t="s">
        <v>2635</v>
      </c>
      <c r="AC10" s="216">
        <f>AC9*0.5</f>
        <v>116.50338000000001</v>
      </c>
      <c r="AD10" s="217">
        <f>AD8/8</f>
        <v>567.81149999999991</v>
      </c>
      <c r="AE10" s="214" t="s">
        <v>2635</v>
      </c>
      <c r="AF10" s="595">
        <v>100</v>
      </c>
      <c r="AG10" s="214" t="s">
        <v>2635</v>
      </c>
      <c r="AH10" s="214" t="s">
        <v>2635</v>
      </c>
      <c r="AI10" s="214" t="s">
        <v>2635</v>
      </c>
      <c r="AJ10" s="216">
        <f>12*AN11*AJ7</f>
        <v>316.53701280000001</v>
      </c>
      <c r="AK10" s="216">
        <f>0.5*AK9</f>
        <v>6624.4674999999997</v>
      </c>
      <c r="AM10" s="198" t="s">
        <v>2646</v>
      </c>
      <c r="AN10" s="198">
        <v>3785.41</v>
      </c>
    </row>
    <row r="11" spans="1:48" ht="39" customHeight="1">
      <c r="A11" s="663"/>
      <c r="B11" s="669"/>
      <c r="C11" s="631"/>
      <c r="D11" s="634"/>
      <c r="E11" s="637"/>
      <c r="F11" s="210" t="s">
        <v>2618</v>
      </c>
      <c r="G11" s="575" t="s">
        <v>560</v>
      </c>
      <c r="H11" s="575" t="s">
        <v>330</v>
      </c>
      <c r="I11" s="575" t="s">
        <v>2647</v>
      </c>
      <c r="J11" s="198" t="s">
        <v>316</v>
      </c>
      <c r="K11" s="198" t="s">
        <v>332</v>
      </c>
      <c r="L11" s="198">
        <v>1</v>
      </c>
      <c r="M11" s="198">
        <f t="shared" si="0"/>
        <v>1.5</v>
      </c>
      <c r="N11" s="198">
        <v>2</v>
      </c>
      <c r="O11" s="198">
        <f t="shared" si="1"/>
        <v>0.01</v>
      </c>
      <c r="P11" s="198">
        <f t="shared" si="2"/>
        <v>1.4999999999999999E-2</v>
      </c>
      <c r="Q11" s="198">
        <f t="shared" si="3"/>
        <v>0.02</v>
      </c>
      <c r="R11" s="198" t="s">
        <v>333</v>
      </c>
      <c r="S11" s="198" t="s">
        <v>334</v>
      </c>
      <c r="T11" s="198" t="s">
        <v>335</v>
      </c>
      <c r="U11" s="198" t="s">
        <v>310</v>
      </c>
      <c r="V11" s="211" t="s">
        <v>336</v>
      </c>
      <c r="W11" s="212" t="s">
        <v>2648</v>
      </c>
      <c r="AM11" s="198" t="s">
        <v>2649</v>
      </c>
      <c r="AN11" s="198">
        <v>29.6</v>
      </c>
    </row>
    <row r="12" spans="1:48" ht="105">
      <c r="A12" s="663"/>
      <c r="B12" s="669"/>
      <c r="C12" s="631"/>
      <c r="D12" s="634"/>
      <c r="E12" s="637"/>
      <c r="F12" s="210" t="s">
        <v>2618</v>
      </c>
      <c r="G12" s="575" t="s">
        <v>560</v>
      </c>
      <c r="H12" s="575" t="s">
        <v>352</v>
      </c>
      <c r="I12" s="575" t="s">
        <v>2650</v>
      </c>
      <c r="J12" s="198" t="s">
        <v>316</v>
      </c>
      <c r="K12" s="198" t="s">
        <v>354</v>
      </c>
      <c r="L12" s="198">
        <v>1</v>
      </c>
      <c r="M12" s="198">
        <f t="shared" si="0"/>
        <v>1.5</v>
      </c>
      <c r="N12" s="198">
        <v>2</v>
      </c>
      <c r="O12" s="198">
        <f t="shared" si="1"/>
        <v>0.01</v>
      </c>
      <c r="P12" s="198">
        <f t="shared" si="2"/>
        <v>1.4999999999999999E-2</v>
      </c>
      <c r="Q12" s="198">
        <f t="shared" si="3"/>
        <v>0.02</v>
      </c>
      <c r="R12" s="198" t="s">
        <v>307</v>
      </c>
      <c r="S12" s="198" t="s">
        <v>355</v>
      </c>
      <c r="T12" s="198" t="s">
        <v>319</v>
      </c>
      <c r="U12" s="198" t="s">
        <v>310</v>
      </c>
      <c r="V12" s="211" t="s">
        <v>336</v>
      </c>
      <c r="W12" s="206" t="s">
        <v>356</v>
      </c>
    </row>
    <row r="13" spans="1:48" ht="195.75" thickBot="1">
      <c r="A13" s="663"/>
      <c r="B13" s="666"/>
      <c r="C13" s="632"/>
      <c r="D13" s="635"/>
      <c r="E13" s="638"/>
      <c r="F13" s="204" t="s">
        <v>2618</v>
      </c>
      <c r="G13" s="577" t="s">
        <v>560</v>
      </c>
      <c r="H13" s="577" t="s">
        <v>346</v>
      </c>
      <c r="I13" s="577" t="s">
        <v>2651</v>
      </c>
      <c r="J13" s="579" t="s">
        <v>348</v>
      </c>
      <c r="K13" s="579" t="s">
        <v>349</v>
      </c>
      <c r="L13" s="579">
        <v>10</v>
      </c>
      <c r="M13" s="579">
        <f t="shared" si="0"/>
        <v>20</v>
      </c>
      <c r="N13" s="579">
        <v>30</v>
      </c>
      <c r="O13" s="579">
        <f t="shared" si="1"/>
        <v>0.1</v>
      </c>
      <c r="P13" s="579">
        <f t="shared" si="2"/>
        <v>0.2</v>
      </c>
      <c r="Q13" s="579">
        <f t="shared" si="3"/>
        <v>0.3</v>
      </c>
      <c r="R13" s="579" t="s">
        <v>333</v>
      </c>
      <c r="S13" s="579" t="s">
        <v>308</v>
      </c>
      <c r="T13" s="579" t="s">
        <v>350</v>
      </c>
      <c r="U13" s="579" t="s">
        <v>310</v>
      </c>
      <c r="V13" s="205" t="s">
        <v>311</v>
      </c>
      <c r="W13" s="202" t="s">
        <v>2652</v>
      </c>
    </row>
    <row r="14" spans="1:48" ht="75.75" thickBot="1">
      <c r="A14" s="663"/>
      <c r="B14" s="649" t="s">
        <v>247</v>
      </c>
      <c r="C14" s="218" t="s">
        <v>2653</v>
      </c>
      <c r="D14" s="219" t="s">
        <v>2654</v>
      </c>
      <c r="E14" s="219" t="s">
        <v>2655</v>
      </c>
      <c r="F14" s="220" t="s">
        <v>2618</v>
      </c>
      <c r="G14" s="219" t="s">
        <v>560</v>
      </c>
      <c r="H14" s="219" t="s">
        <v>458</v>
      </c>
      <c r="I14" s="219" t="s">
        <v>2656</v>
      </c>
      <c r="J14" s="221" t="s">
        <v>469</v>
      </c>
      <c r="K14" s="221" t="s">
        <v>470</v>
      </c>
      <c r="L14" s="221">
        <v>5</v>
      </c>
      <c r="M14" s="221">
        <f t="shared" si="0"/>
        <v>5</v>
      </c>
      <c r="N14" s="221">
        <v>5</v>
      </c>
      <c r="O14" s="221">
        <f t="shared" si="1"/>
        <v>0.05</v>
      </c>
      <c r="P14" s="221">
        <f t="shared" si="2"/>
        <v>0.05</v>
      </c>
      <c r="Q14" s="221">
        <f t="shared" si="3"/>
        <v>0.05</v>
      </c>
      <c r="R14" s="221" t="s">
        <v>471</v>
      </c>
      <c r="S14" s="221"/>
      <c r="T14" s="221" t="s">
        <v>472</v>
      </c>
      <c r="U14" s="221" t="s">
        <v>320</v>
      </c>
      <c r="V14" s="222" t="s">
        <v>336</v>
      </c>
      <c r="W14" s="206" t="s">
        <v>473</v>
      </c>
    </row>
    <row r="15" spans="1:48" ht="90.75" thickBot="1">
      <c r="A15" s="663"/>
      <c r="B15" s="650"/>
      <c r="C15" s="218" t="s">
        <v>2657</v>
      </c>
      <c r="D15" s="219" t="s">
        <v>2658</v>
      </c>
      <c r="E15" s="219" t="s">
        <v>2659</v>
      </c>
      <c r="F15" s="220" t="s">
        <v>2618</v>
      </c>
      <c r="G15" s="219" t="s">
        <v>560</v>
      </c>
      <c r="H15" s="219" t="s">
        <v>458</v>
      </c>
      <c r="I15" s="219" t="s">
        <v>2660</v>
      </c>
      <c r="J15" s="221" t="s">
        <v>465</v>
      </c>
      <c r="K15" s="221" t="s">
        <v>466</v>
      </c>
      <c r="L15" s="221">
        <v>2</v>
      </c>
      <c r="M15" s="221">
        <f t="shared" si="0"/>
        <v>2</v>
      </c>
      <c r="N15" s="221">
        <v>2</v>
      </c>
      <c r="O15" s="221">
        <f t="shared" si="1"/>
        <v>0.02</v>
      </c>
      <c r="P15" s="221">
        <f t="shared" si="2"/>
        <v>0.02</v>
      </c>
      <c r="Q15" s="221">
        <f t="shared" si="3"/>
        <v>0.02</v>
      </c>
      <c r="R15" s="221" t="s">
        <v>471</v>
      </c>
      <c r="S15" s="221">
        <v>1.1263700000000001</v>
      </c>
      <c r="T15" s="221" t="s">
        <v>389</v>
      </c>
      <c r="U15" s="221" t="s">
        <v>320</v>
      </c>
      <c r="V15" s="222" t="s">
        <v>336</v>
      </c>
      <c r="W15" s="206" t="s">
        <v>467</v>
      </c>
    </row>
    <row r="16" spans="1:48" ht="90.75" thickBot="1">
      <c r="A16" s="663"/>
      <c r="B16" s="650"/>
      <c r="C16" s="630" t="s">
        <v>2661</v>
      </c>
      <c r="D16" s="219" t="s">
        <v>2626</v>
      </c>
      <c r="E16" s="576" t="s">
        <v>2627</v>
      </c>
      <c r="F16" s="200" t="s">
        <v>2618</v>
      </c>
      <c r="G16" s="576" t="s">
        <v>560</v>
      </c>
      <c r="H16" s="576" t="s">
        <v>499</v>
      </c>
      <c r="I16" s="576" t="s">
        <v>2662</v>
      </c>
      <c r="J16" s="578" t="s">
        <v>501</v>
      </c>
      <c r="K16" s="578" t="s">
        <v>502</v>
      </c>
      <c r="L16" s="578">
        <v>0.1</v>
      </c>
      <c r="M16" s="578">
        <f t="shared" si="0"/>
        <v>0.55000000000000004</v>
      </c>
      <c r="N16" s="578">
        <v>1</v>
      </c>
      <c r="O16" s="578">
        <f t="shared" si="1"/>
        <v>1E-3</v>
      </c>
      <c r="P16" s="578">
        <f t="shared" si="2"/>
        <v>5.5000000000000005E-3</v>
      </c>
      <c r="Q16" s="578">
        <f t="shared" si="3"/>
        <v>0.01</v>
      </c>
      <c r="R16" s="578" t="s">
        <v>388</v>
      </c>
      <c r="S16" s="578">
        <v>0.75730299999999995</v>
      </c>
      <c r="T16" s="578" t="s">
        <v>503</v>
      </c>
      <c r="U16" s="578" t="s">
        <v>327</v>
      </c>
      <c r="V16" s="201" t="s">
        <v>311</v>
      </c>
      <c r="W16" s="212" t="s">
        <v>2663</v>
      </c>
      <c r="X16" s="198" t="s">
        <v>505</v>
      </c>
    </row>
    <row r="17" spans="1:37" ht="105.75" thickBot="1">
      <c r="A17" s="663"/>
      <c r="B17" s="650"/>
      <c r="C17" s="632"/>
      <c r="D17" s="219" t="s">
        <v>2626</v>
      </c>
      <c r="E17" s="580" t="s">
        <v>2659</v>
      </c>
      <c r="F17" s="204" t="s">
        <v>2618</v>
      </c>
      <c r="G17" s="577" t="s">
        <v>560</v>
      </c>
      <c r="H17" s="577" t="s">
        <v>458</v>
      </c>
      <c r="I17" s="577" t="s">
        <v>2664</v>
      </c>
      <c r="J17" s="579" t="s">
        <v>460</v>
      </c>
      <c r="K17" s="579" t="s">
        <v>507</v>
      </c>
      <c r="L17" s="579">
        <v>0.1</v>
      </c>
      <c r="M17" s="579">
        <f t="shared" si="0"/>
        <v>0.55000000000000004</v>
      </c>
      <c r="N17" s="579">
        <v>1</v>
      </c>
      <c r="O17" s="579">
        <f t="shared" si="1"/>
        <v>1E-3</v>
      </c>
      <c r="P17" s="579">
        <f t="shared" si="2"/>
        <v>5.5000000000000005E-3</v>
      </c>
      <c r="Q17" s="579">
        <f t="shared" si="3"/>
        <v>0.01</v>
      </c>
      <c r="R17" s="579" t="s">
        <v>471</v>
      </c>
      <c r="S17" s="579">
        <v>1.0249999999999999</v>
      </c>
      <c r="T17" s="579" t="s">
        <v>508</v>
      </c>
      <c r="U17" s="579" t="s">
        <v>310</v>
      </c>
      <c r="V17" s="205" t="s">
        <v>336</v>
      </c>
      <c r="W17" s="206" t="s">
        <v>509</v>
      </c>
    </row>
    <row r="18" spans="1:37" ht="75.75" thickBot="1">
      <c r="A18" s="664"/>
      <c r="B18" s="651"/>
      <c r="C18" s="218" t="s">
        <v>2665</v>
      </c>
      <c r="D18" s="219" t="s">
        <v>2626</v>
      </c>
      <c r="E18" s="223" t="s">
        <v>2639</v>
      </c>
      <c r="F18" s="220" t="s">
        <v>2618</v>
      </c>
      <c r="G18" s="219" t="s">
        <v>560</v>
      </c>
      <c r="H18" s="219" t="s">
        <v>384</v>
      </c>
      <c r="I18" s="219" t="s">
        <v>2666</v>
      </c>
      <c r="J18" s="221" t="s">
        <v>386</v>
      </c>
      <c r="K18" s="221" t="s">
        <v>387</v>
      </c>
      <c r="L18" s="221">
        <v>1</v>
      </c>
      <c r="M18" s="221">
        <f t="shared" si="0"/>
        <v>3</v>
      </c>
      <c r="N18" s="221">
        <v>5</v>
      </c>
      <c r="O18" s="221">
        <f t="shared" si="1"/>
        <v>0.01</v>
      </c>
      <c r="P18" s="221">
        <f t="shared" si="2"/>
        <v>0.03</v>
      </c>
      <c r="Q18" s="221">
        <f t="shared" si="3"/>
        <v>0.05</v>
      </c>
      <c r="R18" s="221" t="s">
        <v>471</v>
      </c>
      <c r="S18" s="221">
        <v>1.4</v>
      </c>
      <c r="T18" s="221" t="s">
        <v>389</v>
      </c>
      <c r="U18" s="221" t="s">
        <v>310</v>
      </c>
      <c r="V18" s="222" t="s">
        <v>336</v>
      </c>
      <c r="W18" s="206" t="s">
        <v>391</v>
      </c>
      <c r="X18" s="198" t="s">
        <v>392</v>
      </c>
    </row>
    <row r="19" spans="1:37" ht="60">
      <c r="A19" s="670" t="s">
        <v>250</v>
      </c>
      <c r="B19" s="662" t="s">
        <v>251</v>
      </c>
      <c r="C19" s="224" t="s">
        <v>2667</v>
      </c>
      <c r="D19" s="225" t="s">
        <v>2668</v>
      </c>
      <c r="E19" s="225" t="s">
        <v>2669</v>
      </c>
      <c r="F19" s="226">
        <v>1062241</v>
      </c>
      <c r="G19" s="225" t="s">
        <v>576</v>
      </c>
      <c r="H19" s="227"/>
      <c r="I19" s="228" t="s">
        <v>2670</v>
      </c>
      <c r="J19" s="198" t="s">
        <v>2671</v>
      </c>
      <c r="O19" s="229">
        <v>1.2400000000000001E-4</v>
      </c>
      <c r="P19" s="230">
        <v>3.88E-4</v>
      </c>
      <c r="Q19" s="229">
        <v>6.5200000000000002E-4</v>
      </c>
      <c r="R19" s="231"/>
      <c r="S19" s="231"/>
      <c r="T19" s="231"/>
      <c r="U19" s="231"/>
      <c r="V19" s="231"/>
      <c r="W19" s="232"/>
    </row>
    <row r="20" spans="1:37" ht="39" customHeight="1">
      <c r="A20" s="671"/>
      <c r="B20" s="664"/>
      <c r="C20" s="224" t="s">
        <v>2672</v>
      </c>
      <c r="D20" s="225" t="s">
        <v>2673</v>
      </c>
      <c r="E20" s="225" t="s">
        <v>70</v>
      </c>
      <c r="F20" s="226">
        <v>1062241</v>
      </c>
      <c r="G20" s="225" t="s">
        <v>576</v>
      </c>
      <c r="H20" s="227"/>
      <c r="I20" s="228" t="s">
        <v>2674</v>
      </c>
      <c r="J20" s="198" t="s">
        <v>2671</v>
      </c>
      <c r="O20" s="229">
        <v>1.2400000000000001E-4</v>
      </c>
      <c r="P20" s="230">
        <v>3.88E-4</v>
      </c>
      <c r="Q20" s="229">
        <v>6.5200000000000002E-4</v>
      </c>
      <c r="R20" s="231"/>
      <c r="S20" s="231"/>
      <c r="T20" s="231"/>
      <c r="U20" s="231"/>
      <c r="V20" s="231"/>
      <c r="W20" s="232"/>
    </row>
    <row r="21" spans="1:37" ht="90" thickBot="1">
      <c r="A21" s="672"/>
      <c r="B21" s="120" t="s">
        <v>254</v>
      </c>
      <c r="C21" s="233" t="s">
        <v>45</v>
      </c>
      <c r="D21" s="225" t="s">
        <v>2675</v>
      </c>
      <c r="E21" s="234" t="s">
        <v>2659</v>
      </c>
      <c r="F21" s="235" t="s">
        <v>2676</v>
      </c>
      <c r="G21" s="225" t="s">
        <v>576</v>
      </c>
      <c r="H21" s="227"/>
      <c r="I21" s="236" t="s">
        <v>2677</v>
      </c>
      <c r="J21" s="198" t="s">
        <v>2671</v>
      </c>
      <c r="O21" s="237">
        <v>1.13E-4</v>
      </c>
      <c r="P21" s="237">
        <v>4.9532500000000002E-3</v>
      </c>
      <c r="Q21" s="237">
        <v>8.8999999999999999E-3</v>
      </c>
      <c r="R21" s="231"/>
      <c r="S21" s="231"/>
      <c r="T21" s="231"/>
      <c r="U21" s="231"/>
      <c r="V21" s="231"/>
      <c r="W21" s="232"/>
    </row>
    <row r="22" spans="1:37" ht="45">
      <c r="A22" s="662" t="s">
        <v>257</v>
      </c>
      <c r="B22" s="642" t="s">
        <v>258</v>
      </c>
      <c r="C22" s="630" t="s">
        <v>2678</v>
      </c>
      <c r="D22" s="639" t="s">
        <v>2617</v>
      </c>
      <c r="E22" s="639" t="s">
        <v>2679</v>
      </c>
      <c r="F22" s="200" t="s">
        <v>2618</v>
      </c>
      <c r="G22" s="576" t="s">
        <v>560</v>
      </c>
      <c r="H22" s="576" t="s">
        <v>339</v>
      </c>
      <c r="I22" s="576" t="s">
        <v>2680</v>
      </c>
      <c r="J22" s="578" t="s">
        <v>341</v>
      </c>
      <c r="K22" s="578" t="s">
        <v>342</v>
      </c>
      <c r="L22" s="578">
        <v>3</v>
      </c>
      <c r="M22" s="578">
        <v>3</v>
      </c>
      <c r="N22" s="578">
        <v>3</v>
      </c>
      <c r="O22" s="578">
        <f t="shared" ref="O22:Q23" si="4">L22/100</f>
        <v>0.03</v>
      </c>
      <c r="P22" s="578">
        <f t="shared" si="4"/>
        <v>0.03</v>
      </c>
      <c r="Q22" s="578">
        <f t="shared" si="4"/>
        <v>0.03</v>
      </c>
      <c r="R22" s="578" t="s">
        <v>343</v>
      </c>
      <c r="S22" s="578">
        <v>0.88</v>
      </c>
      <c r="T22" s="578" t="s">
        <v>344</v>
      </c>
      <c r="U22" s="578" t="s">
        <v>320</v>
      </c>
      <c r="V22" s="201" t="s">
        <v>311</v>
      </c>
      <c r="W22" s="212" t="s">
        <v>345</v>
      </c>
      <c r="Z22" s="238"/>
      <c r="AK22" s="239"/>
    </row>
    <row r="23" spans="1:37" ht="60.75" thickBot="1">
      <c r="A23" s="663"/>
      <c r="B23" s="643"/>
      <c r="C23" s="632"/>
      <c r="D23" s="641"/>
      <c r="E23" s="641"/>
      <c r="F23" s="204" t="s">
        <v>2618</v>
      </c>
      <c r="G23" s="577" t="s">
        <v>560</v>
      </c>
      <c r="H23" s="577" t="s">
        <v>357</v>
      </c>
      <c r="I23" s="577" t="s">
        <v>2681</v>
      </c>
      <c r="J23" s="579" t="s">
        <v>360</v>
      </c>
      <c r="K23" s="579" t="s">
        <v>361</v>
      </c>
      <c r="L23" s="579">
        <v>5</v>
      </c>
      <c r="M23" s="579">
        <f>AVERAGE(L23,N23)</f>
        <v>7.5</v>
      </c>
      <c r="N23" s="579">
        <v>10</v>
      </c>
      <c r="O23" s="579">
        <f t="shared" si="4"/>
        <v>0.05</v>
      </c>
      <c r="P23" s="579">
        <f t="shared" si="4"/>
        <v>7.4999999999999997E-2</v>
      </c>
      <c r="Q23" s="579">
        <f t="shared" si="4"/>
        <v>0.1</v>
      </c>
      <c r="R23" s="579" t="s">
        <v>343</v>
      </c>
      <c r="S23" s="579">
        <v>0.91</v>
      </c>
      <c r="T23" s="579" t="s">
        <v>362</v>
      </c>
      <c r="U23" s="579" t="s">
        <v>320</v>
      </c>
      <c r="V23" s="205" t="s">
        <v>311</v>
      </c>
      <c r="W23" s="212" t="s">
        <v>363</v>
      </c>
      <c r="Z23" s="238"/>
      <c r="AK23" s="239"/>
    </row>
    <row r="24" spans="1:37" ht="90.75" thickBot="1">
      <c r="A24" s="663"/>
      <c r="B24" s="644"/>
      <c r="C24" s="240" t="s">
        <v>2682</v>
      </c>
      <c r="D24" s="219" t="s">
        <v>2626</v>
      </c>
      <c r="E24" s="219" t="s">
        <v>2655</v>
      </c>
      <c r="F24" s="220">
        <v>1325358</v>
      </c>
      <c r="G24" s="219" t="s">
        <v>560</v>
      </c>
      <c r="H24" s="219"/>
      <c r="I24" s="219" t="s">
        <v>2683</v>
      </c>
      <c r="J24" s="221" t="s">
        <v>2684</v>
      </c>
      <c r="K24" s="221"/>
      <c r="L24" s="221"/>
      <c r="M24" s="221"/>
      <c r="N24" s="221"/>
      <c r="O24" s="221">
        <f>'[1]BBP literature'!G19</f>
        <v>1E-4</v>
      </c>
      <c r="P24" s="221">
        <f>O24</f>
        <v>1E-4</v>
      </c>
      <c r="Q24" s="221">
        <f>P24</f>
        <v>1E-4</v>
      </c>
      <c r="R24" s="221" t="s">
        <v>388</v>
      </c>
      <c r="S24" s="221">
        <v>1</v>
      </c>
      <c r="T24" s="221" t="s">
        <v>2685</v>
      </c>
      <c r="U24" s="221" t="s">
        <v>2686</v>
      </c>
      <c r="V24" s="241"/>
      <c r="W24" s="206" t="s">
        <v>2687</v>
      </c>
    </row>
    <row r="25" spans="1:37" ht="45">
      <c r="A25" s="663"/>
      <c r="B25" s="121" t="s">
        <v>261</v>
      </c>
      <c r="C25" s="233" t="s">
        <v>605</v>
      </c>
      <c r="D25" s="225" t="s">
        <v>2688</v>
      </c>
      <c r="E25" s="225" t="s">
        <v>2689</v>
      </c>
      <c r="F25" s="242">
        <v>11374030</v>
      </c>
      <c r="G25" s="234" t="s">
        <v>576</v>
      </c>
      <c r="H25" s="227"/>
      <c r="I25" s="236" t="s">
        <v>2690</v>
      </c>
      <c r="J25" s="243" t="s">
        <v>2671</v>
      </c>
      <c r="K25" s="243"/>
      <c r="L25" s="243"/>
      <c r="M25" s="243"/>
      <c r="O25" s="198">
        <f>'[1]BBP literature'!G29</f>
        <v>5.0000000000000002E-5</v>
      </c>
      <c r="P25" s="198">
        <f>O25</f>
        <v>5.0000000000000002E-5</v>
      </c>
      <c r="Q25" s="244">
        <f>O25</f>
        <v>5.0000000000000002E-5</v>
      </c>
      <c r="R25" s="231"/>
      <c r="S25" s="231"/>
      <c r="T25" s="231"/>
      <c r="U25" s="231"/>
      <c r="V25" s="231"/>
      <c r="W25" s="232"/>
    </row>
    <row r="26" spans="1:37" ht="24.75" customHeight="1">
      <c r="A26" s="664"/>
      <c r="B26" s="609" t="s">
        <v>2691</v>
      </c>
      <c r="C26" s="233" t="s">
        <v>2692</v>
      </c>
      <c r="D26" s="234" t="s">
        <v>2693</v>
      </c>
      <c r="E26" s="234" t="s">
        <v>70</v>
      </c>
      <c r="F26" s="242" t="s">
        <v>587</v>
      </c>
      <c r="G26" s="234" t="s">
        <v>560</v>
      </c>
      <c r="H26" s="227"/>
      <c r="I26" s="236" t="s">
        <v>586</v>
      </c>
      <c r="J26" s="198" t="s">
        <v>2671</v>
      </c>
      <c r="O26" s="243">
        <f>'[1]BBP literature'!G17</f>
        <v>2.5999999999999998E-5</v>
      </c>
      <c r="P26" s="245">
        <f>O26</f>
        <v>2.5999999999999998E-5</v>
      </c>
      <c r="Q26" s="245">
        <f>P26</f>
        <v>2.5999999999999998E-5</v>
      </c>
      <c r="R26" s="231"/>
      <c r="S26" s="231"/>
      <c r="T26" s="231"/>
      <c r="U26" s="231"/>
      <c r="V26" s="231"/>
      <c r="W26" s="232"/>
    </row>
    <row r="27" spans="1:37" ht="33.6" customHeight="1" thickBot="1">
      <c r="A27" s="574" t="s">
        <v>267</v>
      </c>
      <c r="B27" s="609" t="s">
        <v>268</v>
      </c>
      <c r="C27" s="246" t="s">
        <v>2694</v>
      </c>
      <c r="D27" s="246" t="s">
        <v>2626</v>
      </c>
      <c r="E27" s="246" t="s">
        <v>2695</v>
      </c>
      <c r="F27" s="247" t="s">
        <v>2618</v>
      </c>
      <c r="G27" s="248" t="s">
        <v>560</v>
      </c>
      <c r="H27" s="248" t="s">
        <v>384</v>
      </c>
      <c r="I27" s="249" t="s">
        <v>476</v>
      </c>
      <c r="J27" s="198" t="s">
        <v>435</v>
      </c>
      <c r="K27" s="198" t="s">
        <v>477</v>
      </c>
      <c r="L27" s="198">
        <v>5</v>
      </c>
      <c r="M27" s="198">
        <f t="shared" ref="M27" si="5">AVERAGE(L27,N27)</f>
        <v>10</v>
      </c>
      <c r="N27" s="198">
        <v>15</v>
      </c>
      <c r="O27" s="198">
        <f t="shared" ref="O27:Q27" si="6">L27/100</f>
        <v>0.05</v>
      </c>
      <c r="P27" s="198">
        <f t="shared" si="6"/>
        <v>0.1</v>
      </c>
      <c r="Q27" s="198">
        <f t="shared" si="6"/>
        <v>0.15</v>
      </c>
      <c r="R27" s="198" t="s">
        <v>343</v>
      </c>
      <c r="S27" s="198">
        <v>1.2</v>
      </c>
      <c r="T27" s="198" t="s">
        <v>2696</v>
      </c>
      <c r="U27" s="198" t="s">
        <v>479</v>
      </c>
      <c r="V27" s="198" t="s">
        <v>320</v>
      </c>
      <c r="W27" s="250" t="s">
        <v>311</v>
      </c>
      <c r="X27" s="206" t="s">
        <v>480</v>
      </c>
      <c r="Z27" s="251"/>
    </row>
    <row r="28" spans="1:37" ht="105">
      <c r="A28" s="662" t="s">
        <v>267</v>
      </c>
      <c r="B28" s="665" t="s">
        <v>271</v>
      </c>
      <c r="C28" s="645" t="s">
        <v>2697</v>
      </c>
      <c r="D28" s="647" t="s">
        <v>2617</v>
      </c>
      <c r="E28" s="655" t="s">
        <v>2698</v>
      </c>
      <c r="F28" s="252" t="s">
        <v>2618</v>
      </c>
      <c r="G28" s="578" t="s">
        <v>560</v>
      </c>
      <c r="H28" s="578" t="s">
        <v>366</v>
      </c>
      <c r="I28" s="253" t="s">
        <v>2699</v>
      </c>
      <c r="J28" s="578" t="s">
        <v>368</v>
      </c>
      <c r="K28" s="578" t="s">
        <v>2700</v>
      </c>
      <c r="L28" s="578">
        <v>30</v>
      </c>
      <c r="M28" s="578">
        <f>AVERAGE(L28,N28)</f>
        <v>45</v>
      </c>
      <c r="N28" s="578">
        <v>60</v>
      </c>
      <c r="O28" s="578">
        <f t="shared" ref="O28:Q29" si="7">L28/100</f>
        <v>0.3</v>
      </c>
      <c r="P28" s="578">
        <f t="shared" si="7"/>
        <v>0.45</v>
      </c>
      <c r="Q28" s="578">
        <f t="shared" si="7"/>
        <v>0.6</v>
      </c>
      <c r="R28" s="578" t="s">
        <v>343</v>
      </c>
      <c r="S28" s="578">
        <v>1.36</v>
      </c>
      <c r="T28" s="578" t="s">
        <v>370</v>
      </c>
      <c r="U28" s="578" t="s">
        <v>320</v>
      </c>
      <c r="V28" s="201" t="s">
        <v>371</v>
      </c>
      <c r="W28" s="206" t="s">
        <v>372</v>
      </c>
      <c r="X28" s="198" t="s">
        <v>373</v>
      </c>
    </row>
    <row r="29" spans="1:37" ht="39.6" customHeight="1" thickBot="1">
      <c r="A29" s="663"/>
      <c r="B29" s="666"/>
      <c r="C29" s="646"/>
      <c r="D29" s="648"/>
      <c r="E29" s="656"/>
      <c r="F29" s="254" t="s">
        <v>2618</v>
      </c>
      <c r="G29" s="255" t="s">
        <v>560</v>
      </c>
      <c r="H29" s="255" t="s">
        <v>366</v>
      </c>
      <c r="I29" s="256" t="s">
        <v>2701</v>
      </c>
      <c r="J29" s="579" t="s">
        <v>443</v>
      </c>
      <c r="K29" s="579" t="s">
        <v>444</v>
      </c>
      <c r="L29" s="579">
        <v>15</v>
      </c>
      <c r="M29" s="579">
        <f>AVERAGE(L29,N29)</f>
        <v>20</v>
      </c>
      <c r="N29" s="579">
        <v>25</v>
      </c>
      <c r="O29" s="579">
        <f t="shared" si="7"/>
        <v>0.15</v>
      </c>
      <c r="P29" s="579">
        <f t="shared" si="7"/>
        <v>0.2</v>
      </c>
      <c r="Q29" s="579">
        <f t="shared" si="7"/>
        <v>0.25</v>
      </c>
      <c r="R29" s="579" t="s">
        <v>445</v>
      </c>
      <c r="S29" s="579" t="s">
        <v>446</v>
      </c>
      <c r="T29" s="579" t="s">
        <v>447</v>
      </c>
      <c r="U29" s="579" t="s">
        <v>320</v>
      </c>
      <c r="V29" s="205" t="s">
        <v>448</v>
      </c>
      <c r="W29" s="206" t="s">
        <v>449</v>
      </c>
    </row>
    <row r="30" spans="1:37" ht="60">
      <c r="A30" s="663"/>
      <c r="B30" s="662" t="s">
        <v>277</v>
      </c>
      <c r="C30" s="257" t="s">
        <v>2702</v>
      </c>
      <c r="D30" s="225" t="s">
        <v>2703</v>
      </c>
      <c r="E30" s="258" t="s">
        <v>2704</v>
      </c>
      <c r="F30" s="226" t="s">
        <v>2705</v>
      </c>
      <c r="G30" s="225" t="s">
        <v>560</v>
      </c>
      <c r="H30" s="227" t="s">
        <v>2706</v>
      </c>
      <c r="I30" s="228" t="s">
        <v>2707</v>
      </c>
      <c r="J30" s="198" t="s">
        <v>2708</v>
      </c>
      <c r="O30" s="198">
        <f>0.1/100</f>
        <v>1E-3</v>
      </c>
      <c r="P30" s="198">
        <f>AVERAGE(O30,Q30)</f>
        <v>3.0000000000000001E-3</v>
      </c>
      <c r="Q30" s="198">
        <v>5.0000000000000001E-3</v>
      </c>
      <c r="R30" s="231"/>
      <c r="S30" s="231"/>
      <c r="T30" s="231"/>
      <c r="U30" s="231"/>
      <c r="V30" s="231"/>
      <c r="W30" s="232"/>
    </row>
    <row r="31" spans="1:37" ht="60">
      <c r="A31" s="664"/>
      <c r="B31" s="664"/>
      <c r="C31" s="257" t="s">
        <v>2709</v>
      </c>
      <c r="D31" s="225" t="s">
        <v>2703</v>
      </c>
      <c r="E31" s="258" t="s">
        <v>2704</v>
      </c>
      <c r="F31" s="226" t="s">
        <v>2710</v>
      </c>
      <c r="G31" s="225" t="s">
        <v>560</v>
      </c>
      <c r="H31" s="227" t="s">
        <v>2706</v>
      </c>
      <c r="I31" s="228" t="s">
        <v>2707</v>
      </c>
      <c r="J31" s="198" t="s">
        <v>70</v>
      </c>
      <c r="O31" s="198">
        <f>0.1/100</f>
        <v>1E-3</v>
      </c>
      <c r="P31" s="198">
        <f>0.1/100</f>
        <v>1E-3</v>
      </c>
      <c r="Q31" s="198">
        <f>0.1/100</f>
        <v>1E-3</v>
      </c>
      <c r="R31" s="231"/>
      <c r="S31" s="231"/>
      <c r="T31" s="231"/>
      <c r="U31" s="231"/>
      <c r="V31" s="231"/>
      <c r="W31" s="232"/>
    </row>
    <row r="32" spans="1:37" ht="89.25">
      <c r="A32" s="667" t="s">
        <v>267</v>
      </c>
      <c r="B32" s="609" t="s">
        <v>274</v>
      </c>
      <c r="C32" s="661" t="s">
        <v>2711</v>
      </c>
      <c r="D32" s="652" t="s">
        <v>2617</v>
      </c>
      <c r="E32" s="573" t="s">
        <v>2698</v>
      </c>
      <c r="F32" s="210" t="s">
        <v>2712</v>
      </c>
      <c r="G32" s="575" t="s">
        <v>560</v>
      </c>
      <c r="H32" s="575"/>
      <c r="I32" s="575" t="s">
        <v>2713</v>
      </c>
      <c r="O32" s="198">
        <f>'[1]WA PTD'!Z15</f>
        <v>3.6999999999999998E-5</v>
      </c>
      <c r="P32" s="198">
        <f>'[1]WA PTD'!AA15</f>
        <v>3.6999999999999998E-5</v>
      </c>
      <c r="Q32" s="198">
        <f>'[1]WA PTD'!AB15</f>
        <v>3.6999999999999998E-5</v>
      </c>
      <c r="R32" s="231"/>
      <c r="S32" s="231"/>
      <c r="T32" s="231"/>
      <c r="U32" s="231"/>
      <c r="V32" s="231"/>
      <c r="W32" s="232"/>
    </row>
    <row r="33" spans="1:23" ht="43.5" customHeight="1">
      <c r="A33" s="667"/>
      <c r="B33" s="668" t="s">
        <v>2714</v>
      </c>
      <c r="C33" s="661"/>
      <c r="D33" s="653"/>
      <c r="E33" s="573" t="s">
        <v>2698</v>
      </c>
      <c r="F33" s="210" t="s">
        <v>2712</v>
      </c>
      <c r="G33" s="575" t="s">
        <v>560</v>
      </c>
      <c r="H33" s="575"/>
      <c r="I33" s="575" t="s">
        <v>694</v>
      </c>
      <c r="O33" s="198">
        <f>'[1]WA PTD'!Z16</f>
        <v>1.2999999999999999E-5</v>
      </c>
      <c r="P33" s="198">
        <f>'[1]WA PTD'!AA16</f>
        <v>1.2999999999999999E-5</v>
      </c>
      <c r="Q33" s="198">
        <f>'[1]WA PTD'!AB16</f>
        <v>1.2999999999999999E-5</v>
      </c>
      <c r="R33" s="231"/>
      <c r="S33" s="231"/>
      <c r="T33" s="231"/>
      <c r="U33" s="231"/>
      <c r="V33" s="231"/>
      <c r="W33" s="232"/>
    </row>
    <row r="34" spans="1:23" ht="39" customHeight="1">
      <c r="A34" s="667"/>
      <c r="B34" s="668"/>
      <c r="C34" s="661"/>
      <c r="D34" s="653"/>
      <c r="E34" s="573" t="s">
        <v>2698</v>
      </c>
      <c r="F34" s="259" t="s">
        <v>2715</v>
      </c>
      <c r="G34" s="575" t="s">
        <v>560</v>
      </c>
      <c r="H34" s="575"/>
      <c r="I34" s="575" t="s">
        <v>2716</v>
      </c>
      <c r="J34" s="198" t="s">
        <v>2671</v>
      </c>
      <c r="O34" s="260">
        <f>'[1]BBP literature'!G4</f>
        <v>1.73E-3</v>
      </c>
      <c r="P34" s="260">
        <f>AVERAGE('[1]BBP literature'!G3:G6)</f>
        <v>1.4637500000000001E-2</v>
      </c>
      <c r="Q34" s="260">
        <f>'[1]BBP literature'!G3</f>
        <v>3.9820000000000001E-2</v>
      </c>
      <c r="R34" s="231"/>
      <c r="S34" s="231"/>
      <c r="T34" s="231"/>
      <c r="U34" s="231"/>
      <c r="V34" s="231"/>
      <c r="W34" s="232"/>
    </row>
    <row r="35" spans="1:23" ht="57.95" customHeight="1">
      <c r="A35" s="640" t="s">
        <v>2717</v>
      </c>
      <c r="B35" s="668" t="s">
        <v>2718</v>
      </c>
      <c r="C35" s="661"/>
      <c r="D35" s="653"/>
      <c r="E35" s="573" t="s">
        <v>2698</v>
      </c>
      <c r="F35" s="210" t="s">
        <v>2712</v>
      </c>
      <c r="G35" s="575" t="s">
        <v>560</v>
      </c>
      <c r="H35" s="575"/>
      <c r="I35" s="575" t="s">
        <v>2719</v>
      </c>
      <c r="O35" s="198">
        <f>'[1]WA PTD'!Z17</f>
        <v>1.29E-5</v>
      </c>
      <c r="P35" s="198">
        <f>'[1]WA PTD'!AA17</f>
        <v>1.29E-5</v>
      </c>
      <c r="Q35" s="198">
        <f>'[1]WA PTD'!AB17</f>
        <v>1.29E-5</v>
      </c>
      <c r="R35" s="231"/>
      <c r="S35" s="231"/>
      <c r="T35" s="231"/>
      <c r="U35" s="231"/>
      <c r="V35" s="231"/>
      <c r="W35" s="232"/>
    </row>
    <row r="36" spans="1:23" ht="57.95" customHeight="1">
      <c r="A36" s="640"/>
      <c r="B36" s="668"/>
      <c r="C36" s="661"/>
      <c r="D36" s="654"/>
      <c r="E36" s="573" t="s">
        <v>2698</v>
      </c>
      <c r="F36" s="210" t="s">
        <v>599</v>
      </c>
      <c r="G36" s="575" t="s">
        <v>600</v>
      </c>
      <c r="H36" s="575"/>
      <c r="I36" s="575" t="s">
        <v>601</v>
      </c>
      <c r="O36" s="198">
        <f>'[1]BBP literature'!G25</f>
        <v>0.02</v>
      </c>
      <c r="P36" s="198">
        <f>'[1]BBP literature'!G26</f>
        <v>2.6749999999999999E-2</v>
      </c>
      <c r="Q36" s="198">
        <f>'[1]BBP literature'!G27</f>
        <v>3.3000000000000002E-2</v>
      </c>
      <c r="R36" s="231"/>
      <c r="S36" s="231"/>
      <c r="T36" s="231"/>
      <c r="U36" s="231"/>
      <c r="V36" s="231"/>
      <c r="W36" s="232"/>
    </row>
    <row r="37" spans="1:23">
      <c r="R37" s="231"/>
      <c r="S37" s="231"/>
      <c r="T37" s="231"/>
      <c r="U37" s="231"/>
      <c r="V37" s="231"/>
      <c r="W37" s="232"/>
    </row>
    <row r="38" spans="1:23">
      <c r="R38" s="231"/>
      <c r="S38" s="231"/>
      <c r="T38" s="231"/>
      <c r="U38" s="231"/>
      <c r="V38" s="231"/>
      <c r="W38" s="232"/>
    </row>
    <row r="39" spans="1:23">
      <c r="R39" s="231"/>
      <c r="S39" s="231"/>
      <c r="T39" s="231"/>
      <c r="U39" s="231"/>
      <c r="V39" s="231"/>
      <c r="W39" s="232"/>
    </row>
    <row r="40" spans="1:23">
      <c r="R40" s="231"/>
      <c r="S40" s="231"/>
      <c r="T40" s="231"/>
      <c r="U40" s="231"/>
      <c r="V40" s="231"/>
      <c r="W40" s="232"/>
    </row>
    <row r="41" spans="1:23">
      <c r="R41" s="231"/>
      <c r="S41" s="231"/>
      <c r="T41" s="231"/>
      <c r="U41" s="231"/>
      <c r="V41" s="231"/>
      <c r="W41" s="232"/>
    </row>
    <row r="42" spans="1:23">
      <c r="R42" s="231"/>
      <c r="S42" s="231"/>
      <c r="T42" s="231"/>
      <c r="U42" s="231"/>
      <c r="V42" s="231"/>
      <c r="W42" s="232"/>
    </row>
    <row r="43" spans="1:23">
      <c r="R43" s="231"/>
      <c r="S43" s="231"/>
      <c r="T43" s="231"/>
      <c r="U43" s="231"/>
      <c r="V43" s="231"/>
      <c r="W43" s="232"/>
    </row>
    <row r="44" spans="1:23">
      <c r="R44" s="231"/>
      <c r="S44" s="231"/>
      <c r="T44" s="231"/>
      <c r="U44" s="231"/>
      <c r="V44" s="231"/>
      <c r="W44" s="232"/>
    </row>
    <row r="45" spans="1:23">
      <c r="R45" s="231"/>
      <c r="S45" s="231"/>
      <c r="T45" s="231"/>
      <c r="U45" s="231"/>
      <c r="V45" s="231"/>
      <c r="W45" s="232"/>
    </row>
    <row r="46" spans="1:23">
      <c r="R46" s="231"/>
      <c r="S46" s="231"/>
      <c r="T46" s="231"/>
      <c r="U46" s="231"/>
      <c r="V46" s="231"/>
      <c r="W46" s="232"/>
    </row>
    <row r="47" spans="1:23">
      <c r="R47" s="231"/>
      <c r="S47" s="231"/>
      <c r="T47" s="231"/>
      <c r="U47" s="231"/>
      <c r="V47" s="231"/>
      <c r="W47" s="232"/>
    </row>
  </sheetData>
  <sheetProtection sheet="1" objects="1" scenarios="1" formatCells="0" formatColumns="0" formatRows="0"/>
  <autoFilter ref="A1:Y29" xr:uid="{254709D9-9C10-44C2-91E2-9C475BD7B72B}"/>
  <mergeCells count="34">
    <mergeCell ref="A2:A18"/>
    <mergeCell ref="B2:B13"/>
    <mergeCell ref="A19:A21"/>
    <mergeCell ref="B19:B20"/>
    <mergeCell ref="A22:A26"/>
    <mergeCell ref="C32:C36"/>
    <mergeCell ref="A28:A31"/>
    <mergeCell ref="B28:B29"/>
    <mergeCell ref="B30:B31"/>
    <mergeCell ref="A32:A34"/>
    <mergeCell ref="B33:B34"/>
    <mergeCell ref="A35:A36"/>
    <mergeCell ref="B35:B36"/>
    <mergeCell ref="E22:E23"/>
    <mergeCell ref="D22:D23"/>
    <mergeCell ref="D32:D36"/>
    <mergeCell ref="E28:E29"/>
    <mergeCell ref="AO1:AT1"/>
    <mergeCell ref="AA1:AK1"/>
    <mergeCell ref="D2:D3"/>
    <mergeCell ref="E2:E3"/>
    <mergeCell ref="C22:C23"/>
    <mergeCell ref="C16:C17"/>
    <mergeCell ref="B22:B24"/>
    <mergeCell ref="C28:C29"/>
    <mergeCell ref="D28:D29"/>
    <mergeCell ref="B14:B18"/>
    <mergeCell ref="C2:C3"/>
    <mergeCell ref="C9:C13"/>
    <mergeCell ref="D9:D13"/>
    <mergeCell ref="E9:E13"/>
    <mergeCell ref="D4:D8"/>
    <mergeCell ref="E4:E8"/>
    <mergeCell ref="C4:C8"/>
  </mergeCells>
  <dataValidations count="2">
    <dataValidation type="list" allowBlank="1" showInputMessage="1" showErrorMessage="1" sqref="R34 R2:R26 R28:R31 R27" xr:uid="{EAFF9A18-BE0B-4D2A-86FD-2F342F4479F7}">
      <formula1>"Paste (caulk gun), Paste (putty knife or hand application), Liquid (rolled or brushed on), Liquid (sprayed on), Liquid (added to water), Liquid (poured), Solid, Other"</formula1>
    </dataValidation>
    <dataValidation type="list" allowBlank="1" showInputMessage="1" showErrorMessage="1" sqref="U34 U2:U26 U28:U31 V27" xr:uid="{01E44936-C17C-4543-8998-83682D11ED42}">
      <formula1>"Indoor, Outdoor, Indoor/Outdoor, Unclear"</formula1>
    </dataValidation>
  </dataValidations>
  <hyperlinks>
    <hyperlink ref="V9" r:id="rId1" xr:uid="{7788D681-1700-4F8F-8508-E325ABABE617}"/>
    <hyperlink ref="V10" r:id="rId2" xr:uid="{EEBEE89B-C8F1-4E96-AA82-1BBF572BBBD3}"/>
    <hyperlink ref="V2" r:id="rId3" xr:uid="{25EA6450-9095-4CC6-A67A-875E783A5D65}"/>
    <hyperlink ref="V11" r:id="rId4" xr:uid="{850A81AC-6A1F-4ED2-96C9-8A9F18EBE67A}"/>
    <hyperlink ref="V22" r:id="rId5" xr:uid="{8D5C9E8A-16F6-45ED-8443-C0EF5DCA568C}"/>
    <hyperlink ref="V13" r:id="rId6" xr:uid="{6711289C-73B8-4E1A-9F51-747CC5C784E6}"/>
    <hyperlink ref="V12" r:id="rId7" xr:uid="{80D6F591-DD99-4C6B-BF9E-6C4268D6DDED}"/>
    <hyperlink ref="V23" r:id="rId8" xr:uid="{D2F9C112-DEBC-4617-945E-77FD878EA328}"/>
    <hyperlink ref="V28" r:id="rId9" xr:uid="{F17DF128-6D2D-45A2-B418-A780DA1E7893}"/>
    <hyperlink ref="V18" r:id="rId10" xr:uid="{48034080-2BBC-4F10-A5DA-FF64138F7355}"/>
    <hyperlink ref="V3" r:id="rId11" xr:uid="{1AB1B1B7-F851-4E38-B3ED-8C57BA47B17C}"/>
    <hyperlink ref="V5" r:id="rId12" xr:uid="{2C878E05-D75F-4FB3-A9B9-572EFF79DACC}"/>
    <hyperlink ref="V6" r:id="rId13" xr:uid="{FD00053F-AF37-4C67-81F3-AA236A34DC07}"/>
    <hyperlink ref="V7" r:id="rId14" xr:uid="{7AB4DA97-2A3F-4E15-A89C-BEC9A6140EEB}"/>
    <hyperlink ref="V15" r:id="rId15" xr:uid="{CD7A6C1C-4364-4875-9FAA-334BF4ECE05D}"/>
    <hyperlink ref="V14" r:id="rId16" xr:uid="{15603ABC-7AB9-4CDF-87C3-DC1DDFA9EDC7}"/>
    <hyperlink ref="V4" r:id="rId17" xr:uid="{3F123EE9-DBBA-4393-9BC6-10310ADAB6F5}"/>
    <hyperlink ref="V16" r:id="rId18" xr:uid="{A2BA0DB4-746F-4D1E-ABC2-55C92AC48187}"/>
    <hyperlink ref="V17" r:id="rId19" xr:uid="{3E2ADDE6-A1AD-47D5-9CF4-2A7C830BCC7C}"/>
    <hyperlink ref="V8" r:id="rId20" xr:uid="{13A1A533-2D6D-4F06-9912-AC7DB5393F11}"/>
    <hyperlink ref="V29" r:id="rId21" location="Description" xr:uid="{DB01261A-4A9A-4B49-871B-6FAA7F242088}"/>
    <hyperlink ref="F34" r:id="rId22" xr:uid="{1816B6CE-4ED2-4730-AB15-D921376B144E}"/>
    <hyperlink ref="W27" r:id="rId23" xr:uid="{E30A29CE-7233-495D-B5FE-7E0D46CAB341}"/>
  </hyperlinks>
  <pageMargins left="0.7" right="0.7" top="0.75" bottom="0.75" header="0.3" footer="0.3"/>
  <pageSetup orientation="portrait"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2024-10-10T15:08:25+00:00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ermInfo xmlns="http://schemas.microsoft.com/office/infopath/2007/PartnerControls">
          <TermName xmlns="http://schemas.microsoft.com/office/infopath/2007/PartnerControls">consumer exposure</TermName>
          <TermId xmlns="http://schemas.microsoft.com/office/infopath/2007/PartnerControls">c4236f11-4fb2-4664-b6b0-2aff6702c2a0</TermId>
        </TermInfo>
        <TermInfo xmlns="http://schemas.microsoft.com/office/infopath/2007/PartnerControls">
          <TermName xmlns="http://schemas.microsoft.com/office/infopath/2007/PartnerControls">Risk Evaluation</TermName>
          <TermId xmlns="http://schemas.microsoft.com/office/infopath/2007/PartnerControls">e0192f2c-b9d6-4806-9f21-c02a4a962ad2</TermId>
        </TermInfo>
        <TermInfo xmlns="http://schemas.microsoft.com/office/infopath/2007/PartnerControls">
          <TermName xmlns="http://schemas.microsoft.com/office/infopath/2007/PartnerControls">BBP</TermName>
          <TermId xmlns="http://schemas.microsoft.com/office/infopath/2007/PartnerControls">a3f980b0-e8f6-47a2-b4b1-8a9fd108f5ff</TermId>
        </TermInfo>
      </Terms>
    </TaxKeywordTaxHTField>
    <Rights xmlns="4ffa91fb-a0ff-4ac5-b2db-65c790d184a4" xsi:nil="true"/>
    <External_x0020_Contributor xmlns="4ffa91fb-a0ff-4ac5-b2db-65c790d184a4" xsi:nil="true"/>
    <Identifier xmlns="4ffa91fb-a0ff-4ac5-b2db-65c790d184a4" xsi:nil="true"/>
    <_ip_UnifiedCompliancePolicyUIAction xmlns="http://schemas.microsoft.com/sharepoint/v3" xsi:nil="true"/>
    <Creator xmlns="4ffa91fb-a0ff-4ac5-b2db-65c790d184a4">
      <UserInfo>
        <DisplayName/>
        <AccountId xsi:nil="true"/>
        <AccountType/>
      </UserInfo>
    </Creator>
    <_ip_UnifiedCompliancePolicyProperties xmlns="http://schemas.microsoft.com/sharepoint/v3" xsi:nil="true"/>
    <Language xmlns="http://schemas.microsoft.com/sharepoint/v3">English</Language>
    <j747ac98061d40f0aa7bd47e1db5675d xmlns="4ffa91fb-a0ff-4ac5-b2db-65c790d184a4">
      <Terms xmlns="http://schemas.microsoft.com/office/infopath/2007/PartnerControls"/>
    </j747ac98061d40f0aa7bd47e1db5675d>
    <lcf76f155ced4ddcb4097134ff3c332f xmlns="ead8da0f-3542-4e50-96c8-f1f698624e86">
      <Terms xmlns="http://schemas.microsoft.com/office/infopath/2007/PartnerControls"/>
    </lcf76f155ced4ddcb4097134ff3c332f>
    <TaxCatchAll xmlns="4ffa91fb-a0ff-4ac5-b2db-65c790d184a4">
      <Value>1207</Value>
      <Value>1164</Value>
      <Value>1765</Value>
    </TaxCatchAll>
    <e3f09c3df709400db2417a7161762d62 xmlns="4ffa91fb-a0ff-4ac5-b2db-65c790d184a4">
      <Terms xmlns="http://schemas.microsoft.com/office/infopath/2007/PartnerControls"/>
    </e3f09c3df709400db2417a7161762d6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6ac47ccbc9efb37c530411a1abf678b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d7d0fad56e7f41310fc88016d86f57c2"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9A821-84D8-48D7-B39F-7F73394B2039}"/>
</file>

<file path=customXml/itemProps2.xml><?xml version="1.0" encoding="utf-8"?>
<ds:datastoreItem xmlns:ds="http://schemas.openxmlformats.org/officeDocument/2006/customXml" ds:itemID="{A4C28681-2F96-4241-8EFA-4ED4F56FFADA}"/>
</file>

<file path=customXml/itemProps3.xml><?xml version="1.0" encoding="utf-8"?>
<ds:datastoreItem xmlns:ds="http://schemas.openxmlformats.org/officeDocument/2006/customXml" ds:itemID="{1FFEF866-D0EB-4477-BECA-63B637032378}"/>
</file>

<file path=customXml/itemProps4.xml><?xml version="1.0" encoding="utf-8"?>
<ds:datastoreItem xmlns:ds="http://schemas.openxmlformats.org/officeDocument/2006/customXml" ds:itemID="{816DA3DB-98F6-4ECA-9C8B-F4A01AF2AED7}"/>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Exposure Analysis for Butyl Benzyl Phthalate (BBP)</dc:title>
  <dc:subject>BBP Consumer Exposure Analysis</dc:subject>
  <dc:creator/>
  <cp:keywords>BBP ; consumer exposure ; Risk Evaluation</cp:keywords>
  <dc:description/>
  <cp:lastModifiedBy>Guthrie, Christina</cp:lastModifiedBy>
  <cp:revision>1</cp:revision>
  <dcterms:created xsi:type="dcterms:W3CDTF">2025-08-01T03:31:47Z</dcterms:created>
  <dcterms:modified xsi:type="dcterms:W3CDTF">2025-12-22T15:12:43Z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1207;#consumer exposure|c4236f11-4fb2-4664-b6b0-2aff6702c2a0;#1164;#Risk Evaluation|e0192f2c-b9d6-4806-9f21-c02a4a962ad2;#1765;#BBP|a3f980b0-e8f6-47a2-b4b1-8a9fd108f5ff</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0x010100D723352F79007E408EFF44D6142FFCE2</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