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usepa-my.sharepoint.com/personal/farber_kit_epa_gov/Documents/drupal fldr/wifia fldr/requirements updates-2-17-2026 fldr/"/>
    </mc:Choice>
  </mc:AlternateContent>
  <xr:revisionPtr revIDLastSave="4" documentId="8_{11130BDA-903E-40AC-8B6D-DC89DF0DE0D7}" xr6:coauthVersionLast="47" xr6:coauthVersionMax="47" xr10:uidLastSave="{2673510E-2D39-4674-9810-A2A5871F66EC}"/>
  <bookViews>
    <workbookView xWindow="2820" yWindow="5440" windowWidth="32030" windowHeight="14830" xr2:uid="{F13CA694-739D-45BA-8DB2-4FD8B1061F78}"/>
  </bookViews>
  <sheets>
    <sheet name="Note" sheetId="4" r:id="rId1"/>
    <sheet name="Total Materials Cost" sheetId="3" r:id="rId2"/>
    <sheet name="De Minimis List" sheetId="1" r:id="rId3"/>
  </sheets>
  <definedNames>
    <definedName name="_xlnm.Print_Area" localSheetId="1">'Total Materials Cost'!$A$1:$D$98</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3" l="1"/>
  <c r="D14" i="1"/>
  <c r="D13" i="1"/>
  <c r="E14" i="1"/>
  <c r="B4" i="1"/>
  <c r="B3" i="1"/>
  <c r="C5" i="1"/>
  <c r="C7" i="1"/>
  <c r="C5" i="3"/>
  <c r="D91" i="3"/>
  <c r="B54" i="3"/>
  <c r="D54" i="3"/>
  <c r="B50" i="3"/>
  <c r="D50" i="3"/>
  <c r="D49" i="3"/>
  <c r="B48" i="3"/>
  <c r="D48" i="3"/>
  <c r="B46" i="3"/>
  <c r="D46" i="3"/>
  <c r="B10" i="3"/>
  <c r="D10" i="3"/>
  <c r="B81" i="3"/>
  <c r="D81" i="3"/>
  <c r="B83" i="3"/>
  <c r="D83" i="3"/>
  <c r="B11" i="3"/>
  <c r="D11" i="3"/>
  <c r="B19" i="3"/>
  <c r="D19" i="3"/>
  <c r="B36" i="3"/>
  <c r="D36" i="3"/>
  <c r="B40" i="3"/>
  <c r="D40" i="3"/>
  <c r="B68" i="3"/>
  <c r="D68" i="3"/>
  <c r="B66" i="3"/>
  <c r="D66" i="3"/>
  <c r="B64" i="3"/>
  <c r="D64" i="3"/>
  <c r="B43" i="3"/>
  <c r="D43" i="3"/>
  <c r="B52" i="3"/>
  <c r="D52" i="3"/>
  <c r="B79" i="3"/>
  <c r="D79" i="3"/>
  <c r="B89" i="3"/>
  <c r="D89" i="3"/>
  <c r="B22" i="3"/>
  <c r="D22" i="3"/>
  <c r="B41" i="3"/>
  <c r="D41" i="3"/>
  <c r="B70" i="3"/>
  <c r="D70" i="3"/>
  <c r="D15" i="3"/>
  <c r="D14" i="3"/>
  <c r="B13" i="3"/>
  <c r="D13" i="3"/>
  <c r="B71" i="3"/>
  <c r="D71" i="3"/>
  <c r="B51" i="3"/>
  <c r="D51" i="3"/>
  <c r="D47" i="3"/>
  <c r="D34" i="3"/>
  <c r="B33" i="3"/>
  <c r="D33" i="3"/>
  <c r="B44" i="3"/>
  <c r="D44" i="3"/>
  <c r="B45" i="3"/>
  <c r="D45" i="3"/>
  <c r="B42" i="3"/>
  <c r="D42" i="3"/>
  <c r="B60" i="3"/>
  <c r="D60" i="3"/>
  <c r="B24" i="3"/>
  <c r="D24" i="3"/>
  <c r="B20" i="3"/>
  <c r="D20" i="3"/>
  <c r="B17" i="3"/>
  <c r="D17" i="3"/>
  <c r="B16" i="3"/>
  <c r="D16" i="3"/>
  <c r="B35" i="3"/>
  <c r="D35" i="3"/>
  <c r="B76" i="3"/>
  <c r="D76" i="3"/>
  <c r="D80" i="3"/>
  <c r="D82" i="3"/>
  <c r="B65" i="3"/>
  <c r="D65" i="3"/>
  <c r="D87" i="3"/>
  <c r="D88" i="3"/>
  <c r="D90" i="3"/>
  <c r="D86" i="3"/>
  <c r="D56" i="3"/>
  <c r="B59" i="3"/>
  <c r="D59" i="3"/>
  <c r="B53" i="3"/>
  <c r="D53" i="3"/>
  <c r="D72" i="3"/>
  <c r="D23" i="3"/>
  <c r="B62" i="3"/>
  <c r="D62" i="3"/>
  <c r="D18" i="3"/>
  <c r="D58" i="3"/>
  <c r="B61" i="3"/>
  <c r="D61" i="3"/>
  <c r="D21" i="3"/>
  <c r="D26" i="3"/>
  <c r="B13" i="1"/>
  <c r="E13" i="1"/>
  <c r="B9" i="3"/>
  <c r="D38" i="3"/>
  <c r="D25" i="3"/>
  <c r="B32" i="3"/>
  <c r="D32" i="3"/>
  <c r="B37" i="3"/>
  <c r="D37" i="3"/>
  <c r="B39" i="3"/>
  <c r="D39" i="3"/>
  <c r="D55" i="3"/>
  <c r="D57" i="3"/>
  <c r="D63" i="3"/>
  <c r="D67" i="3"/>
  <c r="D69" i="3"/>
  <c r="D73" i="3"/>
  <c r="D74" i="3"/>
  <c r="D75" i="3"/>
  <c r="D77" i="3"/>
  <c r="D78" i="3"/>
  <c r="B12" i="3"/>
  <c r="D12" i="3"/>
  <c r="D27" i="3"/>
  <c r="D28" i="3"/>
  <c r="D29" i="3"/>
  <c r="D30" i="3"/>
  <c r="D31" i="3"/>
  <c r="D84" i="3"/>
  <c r="D85" i="3"/>
  <c r="E16" i="1"/>
  <c r="C8" i="1"/>
  <c r="C9" i="1"/>
  <c r="D9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tc={B45573E7-6B5C-4224-99E6-905B7699E4C2}</author>
  </authors>
  <commentList>
    <comment ref="A7" authorId="0" shapeId="0" xr:uid="{B45573E7-6B5C-4224-99E6-905B7699E4C2}">
      <text>
        <t>[Threaded comment]
Your version of Excel allows you to read this threaded comment; however, any edits to it will get removed if the file is opened in a newer version of Excel. Learn more: https://go.microsoft.com/fwlink/?linkid=870924
Comment:
    id make separation between two tables stronger</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Ramsland, Samuel</author>
    <author>tc={1A003020-5E2F-471A-9A11-D4F4880F1596}</author>
    <author>tc={090CCD5C-1A1C-4F72-BB86-3B46819F925F}</author>
  </authors>
  <commentList>
    <comment ref="A7" authorId="0" shapeId="0" xr:uid="{54C678A3-80A7-4DD4-84F1-6CDC67A0D1D1}">
      <text>
        <r>
          <rPr>
            <b/>
            <sz val="9"/>
            <color indexed="81"/>
            <rFont val="Tahoma"/>
            <charset val="1"/>
          </rPr>
          <t>Ramsland, Samuel:</t>
        </r>
        <r>
          <rPr>
            <sz val="9"/>
            <color indexed="81"/>
            <rFont val="Tahoma"/>
            <charset val="1"/>
          </rPr>
          <t xml:space="preserve">
maybe add definitions for these components, similar to the CMR tables?
</t>
        </r>
      </text>
    </comment>
    <comment ref="A9" authorId="1" shapeId="0" xr:uid="{1A003020-5E2F-471A-9A11-D4F4880F1596}">
      <text>
        <t>[Threaded comment]
Your version of Excel allows you to read this threaded comment; however, any edits to it will get removed if the file is opened in a newer version of Excel. Learn more: https://go.microsoft.com/fwlink/?linkid=870924
Comment:
    include definitions of each component here
Reply:
    similar to CMR table definitions we made</t>
      </text>
    </comment>
    <comment ref="A11" authorId="2" shapeId="0" xr:uid="{090CCD5C-1A1C-4F72-BB86-3B46819F925F}">
      <text>
        <t>[Threaded comment]
Your version of Excel allows you to read this threaded comment; however, any edits to it will get removed if the file is opened in a newer version of Excel. Learn more: https://go.microsoft.com/fwlink/?linkid=870924
Comment:
    I'd make this more clear that its pointing to the table below, maybe make the borders between the two tables stronger</t>
      </text>
    </comment>
  </commentList>
</comments>
</file>

<file path=xl/sharedStrings.xml><?xml version="1.0" encoding="utf-8"?>
<sst xmlns="http://schemas.openxmlformats.org/spreadsheetml/2006/main" count="118" uniqueCount="114">
  <si>
    <t xml:space="preserve">This example AIS De Minimis list provides a simplistic approach for compliance documentation regarding the AIS De Minimis Waiver. </t>
  </si>
  <si>
    <t xml:space="preserve">It is not a mandatory WIFIA format for tracking products covered under the waiver. </t>
  </si>
  <si>
    <t xml:space="preserve">It can be adjusted accordingly to capture other details that the borrower wants to track or be incorporated into a broader AIS tracking sheet. </t>
  </si>
  <si>
    <r>
      <t>Total Materials Cost Tab</t>
    </r>
    <r>
      <rPr>
        <i/>
        <sz val="10"/>
        <rFont val="Arial"/>
        <family val="2"/>
      </rPr>
      <t xml:space="preserve"> - to calculate the total cost of materials used on the project, which is used in determining cost threshold criteria of the AIS De Minimis waiver. Some fields require "input" and others are "calculated" (or referenced) as noted in the field names.</t>
    </r>
  </si>
  <si>
    <r>
      <t>De Minimis List Tab</t>
    </r>
    <r>
      <rPr>
        <i/>
        <sz val="10"/>
        <rFont val="Arial"/>
        <family val="2"/>
      </rPr>
      <t xml:space="preserve"> - to calculate the cost of materials that are intended to be covered by the AIS De Minimis waiver, which is used in determining if cost threshold criteria are met for the project. Some fields require "input" and others are "calculated" (or referenced) as noted in the field names.</t>
    </r>
  </si>
  <si>
    <t xml:space="preserve">AIS - Total Materials Cost </t>
  </si>
  <si>
    <t>Project Name (input):</t>
  </si>
  <si>
    <t>Example: Waterline Replacement Project</t>
  </si>
  <si>
    <t>Contract Identifier (input):</t>
  </si>
  <si>
    <t>Example: C2025-001A</t>
  </si>
  <si>
    <t xml:space="preserve">Total Materials Cost ($, calculated): </t>
  </si>
  <si>
    <t>List all items used on the project to track your total materials cost</t>
  </si>
  <si>
    <t>Item (Input)</t>
  </si>
  <si>
    <t>Quantity 
(input)</t>
  </si>
  <si>
    <t>Cost per Item 
($, input)</t>
  </si>
  <si>
    <t>Total Item Cost 
($, calculated)</t>
  </si>
  <si>
    <t>Example: 6" HYMAX WIDE RANGE TRANS COUP</t>
  </si>
  <si>
    <t>6" X 2" PUSH ON TAP PLUG</t>
  </si>
  <si>
    <t>8" X 2" M.J. TAP CAP</t>
  </si>
  <si>
    <t>2" GALVENIZED PLUG</t>
  </si>
  <si>
    <t>8" M.J. 45 BEND DOMESTIC</t>
  </si>
  <si>
    <t>8" M.J. 11-1/4 BEND DOMESTIC</t>
  </si>
  <si>
    <t>8" M.J. 22-1/2 BEND DOMESTIC</t>
  </si>
  <si>
    <t>8" M.J. SOLID PLUG DOMESTIC</t>
  </si>
  <si>
    <t>8" M.J. TAP PLUG</t>
  </si>
  <si>
    <t>8" M.J. SOLID CAP</t>
  </si>
  <si>
    <t>8" M.J. SLEEVE LONG DOMESTIC</t>
  </si>
  <si>
    <t>8" M.J. GASKET</t>
  </si>
  <si>
    <t>6" M.J. GASKET</t>
  </si>
  <si>
    <t>6" MEGAPLUG FOR PVC PIPE DOMESTIC</t>
  </si>
  <si>
    <t>8" MEGAPLUG FOR DUCTILE PIPE DOMESTIC</t>
  </si>
  <si>
    <t>3/4" X 4" TEFLON T-BOLT/NUTS AIS</t>
  </si>
  <si>
    <t>3/4" X 1" CTS COMP COUP NO LEAD</t>
  </si>
  <si>
    <t>2" CTS COMP X COMP COUP. NO LEAD</t>
  </si>
  <si>
    <t>PROBE ROD - INSULATED</t>
  </si>
  <si>
    <t>1 COMP X SWIVEL CURB STOP NO LEAD</t>
  </si>
  <si>
    <t>1 COMP X 3/4" METER SWIVEL CURB STOP W/ LOCK NO LEAD</t>
  </si>
  <si>
    <t>P.E. SHUTOFF TOOL</t>
  </si>
  <si>
    <t>TUBING CUTTER SMALL</t>
  </si>
  <si>
    <t>8" X 6" M.J. REDUCER DOMESTIC</t>
  </si>
  <si>
    <t>8" X 6" M.J. X SWIVEL TEE DOMESTIC</t>
  </si>
  <si>
    <t>6" X 13" SOLID X SWIVEL ADAPTER DOMESTIC</t>
  </si>
  <si>
    <t>8" M.J. CROSS DOMESTIC</t>
  </si>
  <si>
    <t>8" M.J. TEE DOMESTIC</t>
  </si>
  <si>
    <t>1" X 3/4" BRASS BUSHING NL</t>
  </si>
  <si>
    <t>2" BRASS THRD PLUG NO LEAD</t>
  </si>
  <si>
    <t>3/4" METER COUP. NL</t>
  </si>
  <si>
    <t>6" MULLER HYD. EXTENTION</t>
  </si>
  <si>
    <t>8" PIPE X PIPE RESTRAINERS - USA W/ TEFLON AIS HARDWARE</t>
  </si>
  <si>
    <t>6" M.J. GATEVALVE (CLOW-C-509 DI)</t>
  </si>
  <si>
    <t>8" M.J. GATEVALVE (CLOW-C-509 DI)</t>
  </si>
  <si>
    <t>3'6" NST HYD. M.J. SHOE</t>
  </si>
  <si>
    <t>VALVE BOX TOP</t>
  </si>
  <si>
    <t>8" X 1" S/S SADDLES 9.00-9.40 OD</t>
  </si>
  <si>
    <t>8" X 2" S/S SADDLES 9.00-9.40 OD</t>
  </si>
  <si>
    <t>1" CORPSTOP C.C X COMP NO LEAD</t>
  </si>
  <si>
    <t>2" CORPSTOP M.I.P. X COMP</t>
  </si>
  <si>
    <t>27  8 ML POLYWRAP 10"-12"</t>
  </si>
  <si>
    <t>2" X 100' MIL VINLY PIPE TAPE</t>
  </si>
  <si>
    <t>3 DR 11 HDPE IPS PIPE</t>
  </si>
  <si>
    <t>1" CTS X 1" IPS COMP COUP. NO LEAD</t>
  </si>
  <si>
    <t>1000' ROLL OF DETECTABLE WATER TAPE</t>
  </si>
  <si>
    <t>4" SDR-35 PVC PIPE</t>
  </si>
  <si>
    <t>4" SDR-26 H.W. PVC SEWER PIPE</t>
  </si>
  <si>
    <t>4' PVC X PVC FLEX COUP.</t>
  </si>
  <si>
    <t>8" PVC X PVC FLEX COUP.</t>
  </si>
  <si>
    <t>4" CLAY X PVC FLEX COUPLING</t>
  </si>
  <si>
    <t>12 GAUGE TRACER WIRE 500' ROLL</t>
  </si>
  <si>
    <t>GALLON LUBE</t>
  </si>
  <si>
    <t>1/2 PT. TEFLON PIPE DOPE</t>
  </si>
  <si>
    <t>3.5 OZ. NON WOVEN GEOTEXTILE 15' X 360' 600 SQYD</t>
  </si>
  <si>
    <t>1" C.T.S. P.E. TUBING</t>
  </si>
  <si>
    <t>2" C.T.S. P.E. TUBING</t>
  </si>
  <si>
    <t>1" CRB.STP. FIPXCOMP 3/4 VALVE NO LEAD</t>
  </si>
  <si>
    <t>2" XS LEAD X 2 CTS COMP COUP. NO LEAD</t>
  </si>
  <si>
    <t>1" CRB STP FIP X COMP WITH LOCK WING NO LEAD</t>
  </si>
  <si>
    <t>2' PE SHUTOFF TOOL</t>
  </si>
  <si>
    <t>6" C-900 PVC PIPE(20' LENGTH)</t>
  </si>
  <si>
    <t>8" C-900 PVC PIPE(20' LENGTH) / DR - 18 BLUE</t>
  </si>
  <si>
    <t>8" C-900 PVC PIPE RESTRAINED JOINT</t>
  </si>
  <si>
    <t>2" X 1-1/2" BRASS THRD BUSHING</t>
  </si>
  <si>
    <t>1" CORPSTOP MIP X COMP NO LEAD</t>
  </si>
  <si>
    <t>3'6" MEULLER HYDRANTS - NO ACCESSORIES</t>
  </si>
  <si>
    <t>8" CL-52 SJ D.I. PIPE</t>
  </si>
  <si>
    <t>HERCULES BLACK MAGIC PAINT</t>
  </si>
  <si>
    <t>PAINT BRUSH</t>
  </si>
  <si>
    <t>8" YELLOW BARE SWAB PIG</t>
  </si>
  <si>
    <t>1" BRASS BALL VALVE</t>
  </si>
  <si>
    <t>2" BRASS BALL VALVE NO LEAD</t>
  </si>
  <si>
    <t>1" MIP X COMP ADAPTERS NO LEAD</t>
  </si>
  <si>
    <t>2" MIP X COMP ADAPTERS NO LEAD</t>
  </si>
  <si>
    <t>2-1/2' NST X 2" NPT ADAPTER</t>
  </si>
  <si>
    <t>2" ALUM FEMALE CAMLOCK X F.I.P. TYPE D</t>
  </si>
  <si>
    <t>2" ALUM MALE CAMLOCK X F.I.P. TYPE A</t>
  </si>
  <si>
    <t>2" GALVENIZED STREET 90</t>
  </si>
  <si>
    <t>12" PVC X PVC FLEX COUP.</t>
  </si>
  <si>
    <t>DIB25 - 25 LB GRANULATED CHLORINE 68% EPA REG.</t>
  </si>
  <si>
    <t>T-BOLT RATCHET WRENCH SET</t>
  </si>
  <si>
    <t>SMALL CAST IRON METER BOX W/2" HOLE</t>
  </si>
  <si>
    <t>Total ($, calculated) =</t>
  </si>
  <si>
    <t xml:space="preserve">     </t>
  </si>
  <si>
    <t>List of AIS Products covered by De Minimis Waiver (aka Project De Minimis List)</t>
  </si>
  <si>
    <t>Project Name:</t>
  </si>
  <si>
    <t>Contract Identifier:</t>
  </si>
  <si>
    <t xml:space="preserve">Total Materials Cost ($): </t>
  </si>
  <si>
    <t>AIS De Minimis Waiver Cost Threshold (max) ($, calculated)</t>
  </si>
  <si>
    <t>Actual Cost of De Minimis Items ($, calculated)</t>
  </si>
  <si>
    <t>Actual Cost less than Waiver Cost Threshold (5%)? (calculated)</t>
  </si>
  <si>
    <t>List all items covered under the AIS De Minimis Waiver</t>
  </si>
  <si>
    <t>De Minimis Item (input)</t>
  </si>
  <si>
    <t>Cost per Item less than Item Cost Threshold (1%)? (calculated)</t>
  </si>
  <si>
    <t>De Minimis Notes</t>
  </si>
  <si>
    <t>6 HYMAX WIDE RANGE TRANS COUP</t>
  </si>
  <si>
    <t>Total De Minimis ($, calculated)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</si>
</sst>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b/>
      <sz val="11"/>
      <name val="Arial"/>
      <family val="2"/>
    </font>
    <font>
      <b/>
      <sz val="10"/>
      <name val="Arial"/>
      <family val="2"/>
    </font>
    <font>
      <sz val="10"/>
      <name val="Arial"/>
      <family val="2"/>
    </font>
    <font>
      <b/>
      <i/>
      <sz val="10"/>
      <name val="Arial"/>
      <family val="2"/>
    </font>
    <font>
      <i/>
      <sz val="10"/>
      <name val="Arial"/>
      <family val="2"/>
    </font>
    <font>
      <sz val="9"/>
      <color indexed="81"/>
      <name val="Tahoma"/>
      <charset val="1"/>
    </font>
    <font>
      <b/>
      <sz val="9"/>
      <color indexed="81"/>
      <name val="Tahoma"/>
      <charset val="1"/>
    </font>
    <font>
      <sz val="10"/>
      <color theme="1"/>
      <name val="Arial"/>
      <family val="2"/>
    </font>
    <font>
      <i/>
      <sz val="10"/>
      <color theme="8"/>
      <name val="Arial"/>
      <family val="2"/>
    </font>
    <font>
      <i/>
      <sz val="10"/>
      <color theme="1"/>
      <name val="Arial"/>
      <family val="2"/>
    </font>
    <font>
      <b/>
      <i/>
      <sz val="10"/>
      <color theme="1"/>
      <name val="Arial"/>
      <family val="2"/>
    </font>
    <font>
      <b/>
      <sz val="10"/>
      <color theme="1"/>
      <name val="Arial"/>
      <family val="2"/>
    </font>
  </fonts>
  <fills count="7">
    <fill>
      <patternFill patternType="none"/>
    </fill>
    <fill>
      <patternFill patternType="gray125"/>
    </fill>
    <fill>
      <patternFill patternType="solid">
        <fgColor indexed="4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theme="8" tint="0.39997558519241921"/>
        <bgColor indexed="64"/>
      </patternFill>
    </fill>
  </fills>
  <borders count="10">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53">
    <xf numFmtId="0" fontId="0" fillId="0" borderId="0" xfId="0"/>
    <xf numFmtId="3" fontId="2" fillId="0" borderId="0" xfId="0" applyNumberFormat="1" applyFont="1"/>
    <xf numFmtId="3" fontId="3" fillId="0" borderId="0" xfId="0" applyNumberFormat="1" applyFont="1"/>
    <xf numFmtId="4" fontId="3" fillId="0" borderId="0" xfId="0" applyNumberFormat="1" applyFont="1"/>
    <xf numFmtId="3" fontId="8" fillId="0" borderId="0" xfId="0" applyNumberFormat="1" applyFont="1"/>
    <xf numFmtId="4" fontId="8" fillId="0" borderId="0" xfId="0" applyNumberFormat="1" applyFont="1"/>
    <xf numFmtId="4" fontId="8" fillId="0" borderId="0" xfId="0" applyNumberFormat="1" applyFont="1" applyAlignment="1">
      <alignment horizontal="right"/>
    </xf>
    <xf numFmtId="4" fontId="2" fillId="0" borderId="0" xfId="0" applyNumberFormat="1" applyFont="1" applyAlignment="1">
      <alignment horizontal="right"/>
    </xf>
    <xf numFmtId="3" fontId="2" fillId="0" borderId="0" xfId="0" applyNumberFormat="1" applyFont="1" applyAlignment="1">
      <alignment horizontal="right"/>
    </xf>
    <xf numFmtId="3" fontId="9" fillId="0" borderId="0" xfId="0" applyNumberFormat="1" applyFont="1"/>
    <xf numFmtId="4" fontId="2" fillId="0" borderId="0" xfId="0" applyNumberFormat="1" applyFont="1" applyAlignment="1">
      <alignment horizontal="center" wrapText="1"/>
    </xf>
    <xf numFmtId="3" fontId="5" fillId="3" borderId="1" xfId="0" applyNumberFormat="1" applyFont="1" applyFill="1" applyBorder="1"/>
    <xf numFmtId="3" fontId="5" fillId="3" borderId="2" xfId="0" applyNumberFormat="1" applyFont="1" applyFill="1" applyBorder="1"/>
    <xf numFmtId="3" fontId="4" fillId="4" borderId="1" xfId="0" applyNumberFormat="1" applyFont="1" applyFill="1" applyBorder="1"/>
    <xf numFmtId="3" fontId="4" fillId="4" borderId="2" xfId="0" applyNumberFormat="1" applyFont="1" applyFill="1" applyBorder="1"/>
    <xf numFmtId="3" fontId="10" fillId="3" borderId="0" xfId="0" applyNumberFormat="1" applyFont="1" applyFill="1"/>
    <xf numFmtId="4" fontId="10" fillId="3" borderId="0" xfId="0" applyNumberFormat="1" applyFont="1" applyFill="1"/>
    <xf numFmtId="3" fontId="2" fillId="0" borderId="0" xfId="0" applyNumberFormat="1" applyFont="1" applyAlignment="1">
      <alignment horizontal="center" wrapText="1"/>
    </xf>
    <xf numFmtId="4" fontId="2" fillId="4" borderId="0" xfId="0" applyNumberFormat="1" applyFont="1" applyFill="1"/>
    <xf numFmtId="4" fontId="10" fillId="4" borderId="0" xfId="0" applyNumberFormat="1" applyFont="1" applyFill="1"/>
    <xf numFmtId="3" fontId="4" fillId="4" borderId="3" xfId="0" applyNumberFormat="1" applyFont="1" applyFill="1" applyBorder="1"/>
    <xf numFmtId="3" fontId="5" fillId="3" borderId="3" xfId="0" applyNumberFormat="1" applyFont="1" applyFill="1" applyBorder="1"/>
    <xf numFmtId="4" fontId="8" fillId="4" borderId="4" xfId="0" applyNumberFormat="1" applyFont="1" applyFill="1" applyBorder="1" applyAlignment="1">
      <alignment horizontal="center"/>
    </xf>
    <xf numFmtId="3" fontId="8" fillId="4" borderId="5" xfId="0" applyNumberFormat="1" applyFont="1" applyFill="1" applyBorder="1"/>
    <xf numFmtId="3" fontId="8" fillId="4" borderId="1" xfId="0" applyNumberFormat="1" applyFont="1" applyFill="1" applyBorder="1"/>
    <xf numFmtId="4" fontId="8" fillId="4" borderId="6" xfId="0" applyNumberFormat="1" applyFont="1" applyFill="1" applyBorder="1"/>
    <xf numFmtId="4" fontId="2" fillId="0" borderId="0" xfId="0" applyNumberFormat="1" applyFont="1" applyAlignment="1">
      <alignment horizontal="center"/>
    </xf>
    <xf numFmtId="4" fontId="4" fillId="4" borderId="0" xfId="0" applyNumberFormat="1" applyFont="1" applyFill="1"/>
    <xf numFmtId="4" fontId="8" fillId="4" borderId="0" xfId="0" applyNumberFormat="1" applyFont="1" applyFill="1"/>
    <xf numFmtId="3" fontId="8" fillId="3" borderId="0" xfId="0" applyNumberFormat="1" applyFont="1" applyFill="1"/>
    <xf numFmtId="4" fontId="8" fillId="3" borderId="0" xfId="0" applyNumberFormat="1" applyFont="1" applyFill="1"/>
    <xf numFmtId="3" fontId="5" fillId="4" borderId="1" xfId="0" applyNumberFormat="1" applyFont="1" applyFill="1" applyBorder="1"/>
    <xf numFmtId="3" fontId="5" fillId="4" borderId="3" xfId="0" applyNumberFormat="1" applyFont="1" applyFill="1" applyBorder="1"/>
    <xf numFmtId="3" fontId="5" fillId="4" borderId="2" xfId="0" applyNumberFormat="1" applyFont="1" applyFill="1" applyBorder="1"/>
    <xf numFmtId="3" fontId="5" fillId="0" borderId="0" xfId="0" applyNumberFormat="1" applyFont="1"/>
    <xf numFmtId="3" fontId="4" fillId="0" borderId="0" xfId="0" applyNumberFormat="1" applyFont="1"/>
    <xf numFmtId="3" fontId="11" fillId="4" borderId="7" xfId="0" applyNumberFormat="1" applyFont="1" applyFill="1" applyBorder="1"/>
    <xf numFmtId="3" fontId="11" fillId="4" borderId="2" xfId="0" applyNumberFormat="1" applyFont="1" applyFill="1" applyBorder="1"/>
    <xf numFmtId="4" fontId="12" fillId="4" borderId="8" xfId="0" applyNumberFormat="1" applyFont="1" applyFill="1" applyBorder="1" applyAlignment="1">
      <alignment horizontal="right"/>
    </xf>
    <xf numFmtId="3" fontId="11" fillId="0" borderId="0" xfId="0" applyNumberFormat="1" applyFont="1"/>
    <xf numFmtId="4" fontId="12" fillId="0" borderId="0" xfId="0" applyNumberFormat="1" applyFont="1" applyAlignment="1">
      <alignment horizontal="right"/>
    </xf>
    <xf numFmtId="3" fontId="10" fillId="4" borderId="9" xfId="0" applyNumberFormat="1" applyFont="1" applyFill="1" applyBorder="1" applyAlignment="1">
      <alignment horizontal="center"/>
    </xf>
    <xf numFmtId="3" fontId="10" fillId="4" borderId="3" xfId="0" applyNumberFormat="1" applyFont="1" applyFill="1" applyBorder="1" applyAlignment="1">
      <alignment horizontal="center"/>
    </xf>
    <xf numFmtId="3" fontId="5" fillId="4" borderId="3" xfId="0" applyNumberFormat="1" applyFont="1" applyFill="1" applyBorder="1" applyAlignment="1">
      <alignment horizontal="center"/>
    </xf>
    <xf numFmtId="4" fontId="8" fillId="4" borderId="0" xfId="0" applyNumberFormat="1" applyFont="1" applyFill="1" applyAlignment="1">
      <alignment horizontal="center"/>
    </xf>
    <xf numFmtId="0" fontId="4" fillId="5" borderId="0" xfId="0" applyFont="1" applyFill="1"/>
    <xf numFmtId="0" fontId="0" fillId="5" borderId="0" xfId="0" applyFill="1"/>
    <xf numFmtId="3" fontId="2" fillId="0" borderId="0" xfId="0" applyNumberFormat="1" applyFont="1" applyAlignment="1">
      <alignment horizontal="center"/>
    </xf>
    <xf numFmtId="0" fontId="4" fillId="5" borderId="0" xfId="0" applyFont="1" applyFill="1" applyAlignment="1">
      <alignment horizontal="left" wrapText="1"/>
    </xf>
    <xf numFmtId="3" fontId="1" fillId="6" borderId="0" xfId="0" applyNumberFormat="1" applyFont="1" applyFill="1" applyAlignment="1">
      <alignment horizontal="center"/>
    </xf>
    <xf numFmtId="3" fontId="3" fillId="0" borderId="0" xfId="0" applyNumberFormat="1" applyFont="1" applyAlignment="1">
      <alignment horizontal="center"/>
    </xf>
    <xf numFmtId="3" fontId="1" fillId="2" borderId="0" xfId="0" applyNumberFormat="1" applyFont="1" applyFill="1" applyAlignment="1">
      <alignment horizontal="center"/>
    </xf>
    <xf numFmtId="3" fontId="2" fillId="0" borderId="0" xfId="0" applyNumberFormat="1"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Ramsland, Samuel" id="{6ACF12D1-BE65-4220-842B-207472A975E8}" userId="S::ramsland.samuel@epa.gov::a2734480-9485-4afc-8ffe-ab99db83cb45"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7" dT="2026-01-27T20:07:31.55" personId="{6ACF12D1-BE65-4220-842B-207472A975E8}" id="{B45573E7-6B5C-4224-99E6-905B7699E4C2}">
    <text>id make separation between two tables stronger</text>
  </threadedComment>
</ThreadedComments>
</file>

<file path=xl/threadedComments/threadedComment2.xml><?xml version="1.0" encoding="utf-8"?>
<ThreadedComments xmlns="http://schemas.microsoft.com/office/spreadsheetml/2018/threadedcomments" xmlns:x="http://schemas.openxmlformats.org/spreadsheetml/2006/main">
  <threadedComment ref="A9" dT="2026-01-27T20:06:02.48" personId="{6ACF12D1-BE65-4220-842B-207472A975E8}" id="{1A003020-5E2F-471A-9A11-D4F4880F1596}">
    <text>include definitions of each component here</text>
  </threadedComment>
  <threadedComment ref="A9" dT="2026-01-27T20:06:10.36" personId="{6ACF12D1-BE65-4220-842B-207472A975E8}" id="{CD6A55A5-6CAA-4CBD-A38F-FC26BBC78D78}" parentId="{1A003020-5E2F-471A-9A11-D4F4880F1596}">
    <text>similar to CMR table definitions we made</text>
  </threadedComment>
  <threadedComment ref="A11" dT="2026-01-27T20:06:46.31" personId="{6ACF12D1-BE65-4220-842B-207472A975E8}" id="{090CCD5C-1A1C-4F72-BB86-3B46819F925F}">
    <text>I'd make this more clear that its pointing to the table below, maybe make the borders between the two tables stronger</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7DB95-917F-4265-B19D-6166BF78E113}">
  <dimension ref="A1:S6"/>
  <sheetViews>
    <sheetView tabSelected="1" workbookViewId="0">
      <selection activeCell="R1" sqref="R1"/>
    </sheetView>
  </sheetViews>
  <sheetFormatPr defaultRowHeight="12.5" x14ac:dyDescent="0.25"/>
  <sheetData>
    <row r="1" spans="1:19" ht="25" customHeight="1" x14ac:dyDescent="0.3">
      <c r="A1" s="45" t="s">
        <v>0</v>
      </c>
      <c r="B1" s="46"/>
      <c r="C1" s="46"/>
      <c r="D1" s="46"/>
      <c r="E1" s="46"/>
      <c r="F1" s="46"/>
      <c r="G1" s="46"/>
      <c r="H1" s="46"/>
      <c r="I1" s="46"/>
      <c r="J1" s="46"/>
      <c r="K1" s="46"/>
      <c r="L1" s="46"/>
      <c r="M1" s="46"/>
      <c r="N1" s="46"/>
      <c r="O1" s="46"/>
      <c r="P1" s="46"/>
      <c r="Q1" s="46"/>
      <c r="R1" s="46"/>
      <c r="S1" s="46"/>
    </row>
    <row r="2" spans="1:19" ht="25" customHeight="1" x14ac:dyDescent="0.3">
      <c r="A2" s="45" t="s">
        <v>1</v>
      </c>
      <c r="B2" s="46"/>
      <c r="C2" s="46"/>
      <c r="D2" s="46"/>
      <c r="E2" s="46"/>
      <c r="F2" s="46"/>
      <c r="G2" s="46"/>
      <c r="H2" s="46"/>
      <c r="I2" s="46"/>
      <c r="J2" s="46"/>
      <c r="K2" s="46"/>
      <c r="L2" s="46"/>
      <c r="M2" s="46"/>
      <c r="N2" s="46"/>
      <c r="O2" s="46"/>
      <c r="P2" s="46"/>
      <c r="Q2" s="46"/>
      <c r="R2" s="46"/>
      <c r="S2" s="46"/>
    </row>
    <row r="3" spans="1:19" ht="25" customHeight="1" x14ac:dyDescent="0.3">
      <c r="A3" s="45" t="s">
        <v>2</v>
      </c>
      <c r="B3" s="46"/>
      <c r="C3" s="46"/>
      <c r="D3" s="46"/>
      <c r="E3" s="46"/>
      <c r="F3" s="46"/>
      <c r="G3" s="46"/>
      <c r="H3" s="46"/>
      <c r="I3" s="46"/>
      <c r="J3" s="46"/>
      <c r="K3" s="46"/>
      <c r="L3" s="46"/>
      <c r="M3" s="46"/>
      <c r="N3" s="46"/>
      <c r="O3" s="46"/>
      <c r="P3" s="46"/>
      <c r="Q3" s="46"/>
      <c r="R3" s="46"/>
      <c r="S3" s="46"/>
    </row>
    <row r="4" spans="1:19" ht="25" customHeight="1" x14ac:dyDescent="0.25">
      <c r="A4" s="46"/>
      <c r="B4" s="46"/>
      <c r="C4" s="46"/>
      <c r="D4" s="46"/>
      <c r="E4" s="46"/>
      <c r="F4" s="46"/>
      <c r="G4" s="46"/>
      <c r="H4" s="46"/>
      <c r="I4" s="46"/>
      <c r="J4" s="46"/>
      <c r="K4" s="46"/>
      <c r="L4" s="46"/>
      <c r="M4" s="46"/>
      <c r="N4" s="46"/>
      <c r="O4" s="46"/>
      <c r="P4" s="46"/>
      <c r="Q4" s="46"/>
      <c r="R4" s="46"/>
      <c r="S4" s="46"/>
    </row>
    <row r="5" spans="1:19" ht="35.15" customHeight="1" x14ac:dyDescent="0.3">
      <c r="A5" s="48" t="s">
        <v>3</v>
      </c>
      <c r="B5" s="48"/>
      <c r="C5" s="48"/>
      <c r="D5" s="48"/>
      <c r="E5" s="48"/>
      <c r="F5" s="48"/>
      <c r="G5" s="48"/>
      <c r="H5" s="48"/>
      <c r="I5" s="48"/>
      <c r="J5" s="48"/>
      <c r="K5" s="48"/>
      <c r="L5" s="48"/>
      <c r="M5" s="48"/>
      <c r="N5" s="48"/>
      <c r="O5" s="48"/>
      <c r="P5" s="48"/>
      <c r="Q5" s="46"/>
      <c r="R5" s="46"/>
      <c r="S5" s="46"/>
    </row>
    <row r="6" spans="1:19" ht="35.15" customHeight="1" x14ac:dyDescent="0.3">
      <c r="A6" s="48" t="s">
        <v>4</v>
      </c>
      <c r="B6" s="48"/>
      <c r="C6" s="48"/>
      <c r="D6" s="48"/>
      <c r="E6" s="48"/>
      <c r="F6" s="48"/>
      <c r="G6" s="48"/>
      <c r="H6" s="48"/>
      <c r="I6" s="48"/>
      <c r="J6" s="48"/>
      <c r="K6" s="48"/>
      <c r="L6" s="48"/>
      <c r="M6" s="48"/>
      <c r="N6" s="48"/>
      <c r="O6" s="48"/>
      <c r="P6" s="48"/>
      <c r="Q6" s="46"/>
      <c r="R6" s="46"/>
      <c r="S6" s="46"/>
    </row>
  </sheetData>
  <mergeCells count="2">
    <mergeCell ref="A5:P5"/>
    <mergeCell ref="A6:P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67112-8261-4FAF-BEA2-4BEF4309BE57}">
  <dimension ref="A1:D98"/>
  <sheetViews>
    <sheetView view="pageBreakPreview" topLeftCell="A6" zoomScaleNormal="100" zoomScaleSheetLayoutView="100" workbookViewId="0">
      <selection activeCell="E6" sqref="E6"/>
    </sheetView>
  </sheetViews>
  <sheetFormatPr defaultColWidth="9.1796875" defaultRowHeight="18" customHeight="1" x14ac:dyDescent="0.25"/>
  <cols>
    <col min="1" max="1" width="62.26953125" style="2" customWidth="1"/>
    <col min="2" max="2" width="9.54296875" style="2" customWidth="1"/>
    <col min="3" max="3" width="14.26953125" style="3" customWidth="1"/>
    <col min="4" max="4" width="16.1796875" style="3" customWidth="1"/>
    <col min="5" max="16384" width="9.1796875" style="2"/>
  </cols>
  <sheetData>
    <row r="1" spans="1:4" ht="18" customHeight="1" x14ac:dyDescent="0.3">
      <c r="A1" s="49" t="s">
        <v>5</v>
      </c>
      <c r="B1" s="49"/>
      <c r="C1" s="49"/>
      <c r="D1" s="49"/>
    </row>
    <row r="2" spans="1:4" ht="18" customHeight="1" thickBot="1" x14ac:dyDescent="0.3">
      <c r="A2" s="50"/>
      <c r="B2" s="50"/>
      <c r="C2" s="50"/>
      <c r="D2" s="50"/>
    </row>
    <row r="3" spans="1:4" ht="18" customHeight="1" thickBot="1" x14ac:dyDescent="0.35">
      <c r="A3" s="1" t="s">
        <v>6</v>
      </c>
      <c r="B3" s="11" t="s">
        <v>7</v>
      </c>
      <c r="C3" s="21"/>
      <c r="D3" s="12"/>
    </row>
    <row r="4" spans="1:4" ht="18" customHeight="1" thickBot="1" x14ac:dyDescent="0.35">
      <c r="A4" s="1" t="s">
        <v>8</v>
      </c>
      <c r="B4" s="11" t="s">
        <v>9</v>
      </c>
      <c r="C4" s="21"/>
      <c r="D4" s="12"/>
    </row>
    <row r="5" spans="1:4" ht="18" customHeight="1" thickBot="1" x14ac:dyDescent="0.35">
      <c r="A5" s="1" t="s">
        <v>10</v>
      </c>
      <c r="B5" s="13"/>
      <c r="C5" s="20">
        <f>D94</f>
        <v>269466.17000000004</v>
      </c>
      <c r="D5" s="14"/>
    </row>
    <row r="6" spans="1:4" ht="18" customHeight="1" x14ac:dyDescent="0.3">
      <c r="A6" s="1"/>
      <c r="B6" s="8"/>
      <c r="C6" s="8"/>
      <c r="D6" s="2"/>
    </row>
    <row r="7" spans="1:4" ht="18" customHeight="1" x14ac:dyDescent="0.3">
      <c r="A7" s="9" t="s">
        <v>11</v>
      </c>
    </row>
    <row r="8" spans="1:4" ht="28.5" customHeight="1" x14ac:dyDescent="0.3">
      <c r="A8" s="47" t="s">
        <v>12</v>
      </c>
      <c r="B8" s="17" t="s">
        <v>13</v>
      </c>
      <c r="C8" s="10" t="s">
        <v>14</v>
      </c>
      <c r="D8" s="10" t="s">
        <v>15</v>
      </c>
    </row>
    <row r="9" spans="1:4" ht="18" customHeight="1" x14ac:dyDescent="0.3">
      <c r="A9" s="15" t="s">
        <v>16</v>
      </c>
      <c r="B9" s="15">
        <f>2+8+2+2</f>
        <v>14</v>
      </c>
      <c r="C9" s="16">
        <v>189</v>
      </c>
      <c r="D9" s="19">
        <f>B9*C9</f>
        <v>2646</v>
      </c>
    </row>
    <row r="10" spans="1:4" ht="18" customHeight="1" x14ac:dyDescent="0.3">
      <c r="A10" s="15" t="s">
        <v>17</v>
      </c>
      <c r="B10" s="15">
        <f>1+3+1+3</f>
        <v>8</v>
      </c>
      <c r="C10" s="16">
        <v>95</v>
      </c>
      <c r="D10" s="19">
        <f>B10*C10</f>
        <v>760</v>
      </c>
    </row>
    <row r="11" spans="1:4" ht="18" customHeight="1" x14ac:dyDescent="0.3">
      <c r="A11" s="15" t="s">
        <v>18</v>
      </c>
      <c r="B11" s="15">
        <f>6+1</f>
        <v>7</v>
      </c>
      <c r="C11" s="16">
        <v>148</v>
      </c>
      <c r="D11" s="19">
        <f>B11*C11</f>
        <v>1036</v>
      </c>
    </row>
    <row r="12" spans="1:4" ht="18" customHeight="1" x14ac:dyDescent="0.3">
      <c r="A12" s="15" t="s">
        <v>19</v>
      </c>
      <c r="B12" s="15">
        <f>2+3</f>
        <v>5</v>
      </c>
      <c r="C12" s="16">
        <v>6.5</v>
      </c>
      <c r="D12" s="19">
        <f t="shared" ref="D12:D87" si="0">B12*C12</f>
        <v>32.5</v>
      </c>
    </row>
    <row r="13" spans="1:4" ht="18" customHeight="1" x14ac:dyDescent="0.3">
      <c r="A13" s="15" t="s">
        <v>20</v>
      </c>
      <c r="B13" s="15">
        <f>3+6+12+6+6+16</f>
        <v>49</v>
      </c>
      <c r="C13" s="16">
        <v>293</v>
      </c>
      <c r="D13" s="19">
        <f t="shared" si="0"/>
        <v>14357</v>
      </c>
    </row>
    <row r="14" spans="1:4" ht="18" customHeight="1" x14ac:dyDescent="0.3">
      <c r="A14" s="15" t="s">
        <v>21</v>
      </c>
      <c r="B14" s="15">
        <v>4</v>
      </c>
      <c r="C14" s="16">
        <v>293</v>
      </c>
      <c r="D14" s="19">
        <f t="shared" si="0"/>
        <v>1172</v>
      </c>
    </row>
    <row r="15" spans="1:4" ht="18" customHeight="1" x14ac:dyDescent="0.3">
      <c r="A15" s="15" t="s">
        <v>22</v>
      </c>
      <c r="B15" s="15">
        <v>4</v>
      </c>
      <c r="C15" s="16">
        <v>293</v>
      </c>
      <c r="D15" s="19">
        <f t="shared" si="0"/>
        <v>1172</v>
      </c>
    </row>
    <row r="16" spans="1:4" ht="18" customHeight="1" x14ac:dyDescent="0.3">
      <c r="A16" s="15" t="s">
        <v>23</v>
      </c>
      <c r="B16" s="15">
        <f>2+2</f>
        <v>4</v>
      </c>
      <c r="C16" s="16">
        <v>98.41</v>
      </c>
      <c r="D16" s="19">
        <f t="shared" si="0"/>
        <v>393.64</v>
      </c>
    </row>
    <row r="17" spans="1:4" ht="18" customHeight="1" x14ac:dyDescent="0.3">
      <c r="A17" s="15" t="s">
        <v>24</v>
      </c>
      <c r="B17" s="15">
        <f>2+1+3</f>
        <v>6</v>
      </c>
      <c r="C17" s="16">
        <v>98.41</v>
      </c>
      <c r="D17" s="19">
        <f t="shared" si="0"/>
        <v>590.46</v>
      </c>
    </row>
    <row r="18" spans="1:4" ht="18" customHeight="1" x14ac:dyDescent="0.3">
      <c r="A18" s="15" t="s">
        <v>25</v>
      </c>
      <c r="B18" s="15">
        <v>4</v>
      </c>
      <c r="C18" s="16">
        <v>148</v>
      </c>
      <c r="D18" s="19">
        <f t="shared" si="0"/>
        <v>592</v>
      </c>
    </row>
    <row r="19" spans="1:4" ht="18" customHeight="1" x14ac:dyDescent="0.3">
      <c r="A19" s="15" t="s">
        <v>26</v>
      </c>
      <c r="B19" s="15">
        <f>1+2+1</f>
        <v>4</v>
      </c>
      <c r="C19" s="16">
        <v>293</v>
      </c>
      <c r="D19" s="19">
        <f t="shared" si="0"/>
        <v>1172</v>
      </c>
    </row>
    <row r="20" spans="1:4" ht="18" customHeight="1" x14ac:dyDescent="0.3">
      <c r="A20" s="15" t="s">
        <v>27</v>
      </c>
      <c r="B20" s="15">
        <f>10+15+3</f>
        <v>28</v>
      </c>
      <c r="C20" s="16">
        <v>6</v>
      </c>
      <c r="D20" s="19">
        <f t="shared" si="0"/>
        <v>168</v>
      </c>
    </row>
    <row r="21" spans="1:4" ht="18" customHeight="1" x14ac:dyDescent="0.3">
      <c r="A21" s="15" t="s">
        <v>28</v>
      </c>
      <c r="B21" s="15">
        <v>2</v>
      </c>
      <c r="C21" s="16">
        <v>4.75</v>
      </c>
      <c r="D21" s="19">
        <f t="shared" si="0"/>
        <v>9.5</v>
      </c>
    </row>
    <row r="22" spans="1:4" ht="18" customHeight="1" x14ac:dyDescent="0.3">
      <c r="A22" s="15" t="s">
        <v>29</v>
      </c>
      <c r="B22" s="15">
        <f>2+15+12</f>
        <v>29</v>
      </c>
      <c r="C22" s="16">
        <v>37</v>
      </c>
      <c r="D22" s="19">
        <f t="shared" si="0"/>
        <v>1073</v>
      </c>
    </row>
    <row r="23" spans="1:4" ht="18" customHeight="1" x14ac:dyDescent="0.3">
      <c r="A23" s="15" t="s">
        <v>30</v>
      </c>
      <c r="B23" s="15">
        <v>10</v>
      </c>
      <c r="C23" s="16">
        <v>43</v>
      </c>
      <c r="D23" s="19">
        <f t="shared" si="0"/>
        <v>430</v>
      </c>
    </row>
    <row r="24" spans="1:4" ht="18" customHeight="1" x14ac:dyDescent="0.3">
      <c r="A24" s="15" t="s">
        <v>31</v>
      </c>
      <c r="B24" s="15">
        <f>12+82+18</f>
        <v>112</v>
      </c>
      <c r="C24" s="16">
        <v>4.25</v>
      </c>
      <c r="D24" s="19">
        <f t="shared" si="0"/>
        <v>476</v>
      </c>
    </row>
    <row r="25" spans="1:4" ht="18" customHeight="1" x14ac:dyDescent="0.3">
      <c r="A25" s="15" t="s">
        <v>32</v>
      </c>
      <c r="B25" s="15">
        <v>12</v>
      </c>
      <c r="C25" s="16">
        <v>17.25</v>
      </c>
      <c r="D25" s="19">
        <f t="shared" si="0"/>
        <v>207</v>
      </c>
    </row>
    <row r="26" spans="1:4" ht="18" customHeight="1" x14ac:dyDescent="0.3">
      <c r="A26" s="15" t="s">
        <v>33</v>
      </c>
      <c r="B26" s="15">
        <v>1</v>
      </c>
      <c r="C26" s="16">
        <v>67.5</v>
      </c>
      <c r="D26" s="19">
        <f t="shared" si="0"/>
        <v>67.5</v>
      </c>
    </row>
    <row r="27" spans="1:4" ht="18" customHeight="1" x14ac:dyDescent="0.3">
      <c r="A27" s="15" t="s">
        <v>34</v>
      </c>
      <c r="B27" s="15">
        <v>2</v>
      </c>
      <c r="C27" s="16">
        <v>68</v>
      </c>
      <c r="D27" s="19">
        <f t="shared" si="0"/>
        <v>136</v>
      </c>
    </row>
    <row r="28" spans="1:4" ht="18" customHeight="1" x14ac:dyDescent="0.3">
      <c r="A28" s="15" t="s">
        <v>35</v>
      </c>
      <c r="B28" s="15">
        <v>4</v>
      </c>
      <c r="C28" s="16">
        <v>61.11</v>
      </c>
      <c r="D28" s="19">
        <f t="shared" si="0"/>
        <v>244.44</v>
      </c>
    </row>
    <row r="29" spans="1:4" ht="18" customHeight="1" x14ac:dyDescent="0.3">
      <c r="A29" s="15" t="s">
        <v>36</v>
      </c>
      <c r="B29" s="15">
        <v>15</v>
      </c>
      <c r="C29" s="16">
        <v>61.11</v>
      </c>
      <c r="D29" s="19">
        <f t="shared" si="0"/>
        <v>916.65</v>
      </c>
    </row>
    <row r="30" spans="1:4" ht="18" customHeight="1" x14ac:dyDescent="0.3">
      <c r="A30" s="15" t="s">
        <v>37</v>
      </c>
      <c r="B30" s="15">
        <v>1</v>
      </c>
      <c r="C30" s="16">
        <v>59</v>
      </c>
      <c r="D30" s="19">
        <f t="shared" si="0"/>
        <v>59</v>
      </c>
    </row>
    <row r="31" spans="1:4" ht="18" customHeight="1" x14ac:dyDescent="0.3">
      <c r="A31" s="15" t="s">
        <v>38</v>
      </c>
      <c r="B31" s="15">
        <v>2</v>
      </c>
      <c r="C31" s="16">
        <v>21</v>
      </c>
      <c r="D31" s="19">
        <f t="shared" si="0"/>
        <v>42</v>
      </c>
    </row>
    <row r="32" spans="1:4" ht="18" customHeight="1" x14ac:dyDescent="0.3">
      <c r="A32" s="15" t="s">
        <v>39</v>
      </c>
      <c r="B32" s="15">
        <f>4+2+3</f>
        <v>9</v>
      </c>
      <c r="C32" s="16">
        <v>182</v>
      </c>
      <c r="D32" s="19">
        <f t="shared" si="0"/>
        <v>1638</v>
      </c>
    </row>
    <row r="33" spans="1:4" ht="18" customHeight="1" x14ac:dyDescent="0.3">
      <c r="A33" s="15" t="s">
        <v>40</v>
      </c>
      <c r="B33" s="15">
        <f>9+10+12</f>
        <v>31</v>
      </c>
      <c r="C33" s="16">
        <v>313</v>
      </c>
      <c r="D33" s="19">
        <f t="shared" si="0"/>
        <v>9703</v>
      </c>
    </row>
    <row r="34" spans="1:4" ht="18" customHeight="1" x14ac:dyDescent="0.3">
      <c r="A34" s="15" t="s">
        <v>41</v>
      </c>
      <c r="B34" s="15">
        <v>12</v>
      </c>
      <c r="C34" s="16">
        <v>136</v>
      </c>
      <c r="D34" s="19">
        <f t="shared" si="0"/>
        <v>1632</v>
      </c>
    </row>
    <row r="35" spans="1:4" ht="18" customHeight="1" x14ac:dyDescent="0.3">
      <c r="A35" s="15" t="s">
        <v>42</v>
      </c>
      <c r="B35" s="15">
        <f>4+1</f>
        <v>5</v>
      </c>
      <c r="C35" s="16">
        <v>498</v>
      </c>
      <c r="D35" s="19">
        <f t="shared" si="0"/>
        <v>2490</v>
      </c>
    </row>
    <row r="36" spans="1:4" ht="18" customHeight="1" x14ac:dyDescent="0.3">
      <c r="A36" s="15" t="s">
        <v>43</v>
      </c>
      <c r="B36" s="15">
        <f>2+2+3+1+1+2+1+5+1</f>
        <v>18</v>
      </c>
      <c r="C36" s="16">
        <v>350</v>
      </c>
      <c r="D36" s="19">
        <f t="shared" si="0"/>
        <v>6300</v>
      </c>
    </row>
    <row r="37" spans="1:4" ht="18" customHeight="1" x14ac:dyDescent="0.3">
      <c r="A37" s="15" t="s">
        <v>44</v>
      </c>
      <c r="B37" s="15">
        <f>50+50</f>
        <v>100</v>
      </c>
      <c r="C37" s="16">
        <v>3.75</v>
      </c>
      <c r="D37" s="19">
        <f t="shared" si="0"/>
        <v>375</v>
      </c>
    </row>
    <row r="38" spans="1:4" ht="18" customHeight="1" x14ac:dyDescent="0.3">
      <c r="A38" s="15" t="s">
        <v>45</v>
      </c>
      <c r="B38" s="15">
        <v>2</v>
      </c>
      <c r="C38" s="16">
        <v>11.5</v>
      </c>
      <c r="D38" s="19">
        <f t="shared" si="0"/>
        <v>23</v>
      </c>
    </row>
    <row r="39" spans="1:4" ht="18" customHeight="1" x14ac:dyDescent="0.3">
      <c r="A39" s="15" t="s">
        <v>46</v>
      </c>
      <c r="B39" s="15">
        <f>50+50</f>
        <v>100</v>
      </c>
      <c r="C39" s="16">
        <v>6.5</v>
      </c>
      <c r="D39" s="19">
        <f t="shared" si="0"/>
        <v>650</v>
      </c>
    </row>
    <row r="40" spans="1:4" ht="18" customHeight="1" x14ac:dyDescent="0.3">
      <c r="A40" s="15" t="s">
        <v>47</v>
      </c>
      <c r="B40" s="15">
        <f>1+6</f>
        <v>7</v>
      </c>
      <c r="C40" s="16">
        <v>319.12</v>
      </c>
      <c r="D40" s="19">
        <f t="shared" si="0"/>
        <v>2233.84</v>
      </c>
    </row>
    <row r="41" spans="1:4" ht="18" customHeight="1" x14ac:dyDescent="0.3">
      <c r="A41" s="15" t="s">
        <v>48</v>
      </c>
      <c r="B41" s="15">
        <f>40+25+12+25+2</f>
        <v>104</v>
      </c>
      <c r="C41" s="16">
        <v>69</v>
      </c>
      <c r="D41" s="19">
        <f t="shared" si="0"/>
        <v>7176</v>
      </c>
    </row>
    <row r="42" spans="1:4" ht="18" customHeight="1" x14ac:dyDescent="0.3">
      <c r="A42" s="15" t="s">
        <v>49</v>
      </c>
      <c r="B42" s="15">
        <f>9+5+16</f>
        <v>30</v>
      </c>
      <c r="C42" s="16">
        <v>475</v>
      </c>
      <c r="D42" s="19">
        <f t="shared" si="0"/>
        <v>14250</v>
      </c>
    </row>
    <row r="43" spans="1:4" ht="18" customHeight="1" x14ac:dyDescent="0.3">
      <c r="A43" s="15" t="s">
        <v>50</v>
      </c>
      <c r="B43" s="15">
        <f>15+3+27</f>
        <v>45</v>
      </c>
      <c r="C43" s="16">
        <v>760</v>
      </c>
      <c r="D43" s="19">
        <f t="shared" si="0"/>
        <v>34200</v>
      </c>
    </row>
    <row r="44" spans="1:4" ht="18" customHeight="1" x14ac:dyDescent="0.3">
      <c r="A44" s="15" t="s">
        <v>51</v>
      </c>
      <c r="B44" s="15">
        <f>9+5+10+3</f>
        <v>27</v>
      </c>
      <c r="C44" s="16">
        <v>1650</v>
      </c>
      <c r="D44" s="19">
        <f t="shared" si="0"/>
        <v>44550</v>
      </c>
    </row>
    <row r="45" spans="1:4" ht="18" customHeight="1" x14ac:dyDescent="0.3">
      <c r="A45" s="15" t="s">
        <v>52</v>
      </c>
      <c r="B45" s="15">
        <f>24+46</f>
        <v>70</v>
      </c>
      <c r="C45" s="16">
        <v>35</v>
      </c>
      <c r="D45" s="19">
        <f t="shared" si="0"/>
        <v>2450</v>
      </c>
    </row>
    <row r="46" spans="1:4" ht="18" customHeight="1" x14ac:dyDescent="0.3">
      <c r="A46" s="15" t="s">
        <v>53</v>
      </c>
      <c r="B46" s="15">
        <f>28+22+150+70</f>
        <v>270</v>
      </c>
      <c r="C46" s="16">
        <v>59</v>
      </c>
      <c r="D46" s="19">
        <f t="shared" si="0"/>
        <v>15930</v>
      </c>
    </row>
    <row r="47" spans="1:4" ht="18" customHeight="1" x14ac:dyDescent="0.3">
      <c r="A47" s="15" t="s">
        <v>54</v>
      </c>
      <c r="B47" s="15">
        <v>10</v>
      </c>
      <c r="C47" s="16">
        <v>77</v>
      </c>
      <c r="D47" s="19">
        <f t="shared" si="0"/>
        <v>770</v>
      </c>
    </row>
    <row r="48" spans="1:4" ht="18" customHeight="1" x14ac:dyDescent="0.3">
      <c r="A48" s="15" t="s">
        <v>55</v>
      </c>
      <c r="B48" s="15">
        <f>50+24+150</f>
        <v>224</v>
      </c>
      <c r="C48" s="16">
        <v>39</v>
      </c>
      <c r="D48" s="19">
        <f t="shared" si="0"/>
        <v>8736</v>
      </c>
    </row>
    <row r="49" spans="1:4" ht="18" customHeight="1" x14ac:dyDescent="0.3">
      <c r="A49" s="15" t="s">
        <v>56</v>
      </c>
      <c r="B49" s="15">
        <v>10</v>
      </c>
      <c r="C49" s="16">
        <v>174</v>
      </c>
      <c r="D49" s="19">
        <f t="shared" si="0"/>
        <v>1740</v>
      </c>
    </row>
    <row r="50" spans="1:4" ht="18" customHeight="1" x14ac:dyDescent="0.3">
      <c r="A50" s="15" t="s">
        <v>57</v>
      </c>
      <c r="B50" s="15">
        <f>400+400+600</f>
        <v>1400</v>
      </c>
      <c r="C50" s="16">
        <v>0.69</v>
      </c>
      <c r="D50" s="19">
        <f t="shared" si="0"/>
        <v>965.99999999999989</v>
      </c>
    </row>
    <row r="51" spans="1:4" ht="18" customHeight="1" x14ac:dyDescent="0.3">
      <c r="A51" s="15" t="s">
        <v>58</v>
      </c>
      <c r="B51" s="15">
        <f>3+2+3</f>
        <v>8</v>
      </c>
      <c r="C51" s="16">
        <v>12</v>
      </c>
      <c r="D51" s="19">
        <f t="shared" si="0"/>
        <v>96</v>
      </c>
    </row>
    <row r="52" spans="1:4" ht="18" customHeight="1" x14ac:dyDescent="0.3">
      <c r="A52" s="15" t="s">
        <v>59</v>
      </c>
      <c r="B52" s="15">
        <f>1300+1600</f>
        <v>2900</v>
      </c>
      <c r="C52" s="16">
        <v>2.6</v>
      </c>
      <c r="D52" s="19">
        <f t="shared" si="0"/>
        <v>7540</v>
      </c>
    </row>
    <row r="53" spans="1:4" ht="18" customHeight="1" x14ac:dyDescent="0.3">
      <c r="A53" s="15" t="s">
        <v>60</v>
      </c>
      <c r="B53" s="15">
        <f>1+2</f>
        <v>3</v>
      </c>
      <c r="C53" s="16">
        <v>32.11</v>
      </c>
      <c r="D53" s="19">
        <f t="shared" si="0"/>
        <v>96.33</v>
      </c>
    </row>
    <row r="54" spans="1:4" ht="18" customHeight="1" x14ac:dyDescent="0.3">
      <c r="A54" s="15" t="s">
        <v>61</v>
      </c>
      <c r="B54" s="15">
        <f>4+4+6</f>
        <v>14</v>
      </c>
      <c r="C54" s="16">
        <v>19</v>
      </c>
      <c r="D54" s="19">
        <f t="shared" si="0"/>
        <v>266</v>
      </c>
    </row>
    <row r="55" spans="1:4" ht="18" customHeight="1" x14ac:dyDescent="0.3">
      <c r="A55" s="15" t="s">
        <v>62</v>
      </c>
      <c r="B55" s="15">
        <v>56</v>
      </c>
      <c r="C55" s="16">
        <v>1</v>
      </c>
      <c r="D55" s="19">
        <f t="shared" si="0"/>
        <v>56</v>
      </c>
    </row>
    <row r="56" spans="1:4" ht="18" customHeight="1" x14ac:dyDescent="0.3">
      <c r="A56" s="15" t="s">
        <v>63</v>
      </c>
      <c r="B56" s="15">
        <v>14</v>
      </c>
      <c r="C56" s="16">
        <v>1</v>
      </c>
      <c r="D56" s="19">
        <f t="shared" si="0"/>
        <v>14</v>
      </c>
    </row>
    <row r="57" spans="1:4" ht="18" customHeight="1" x14ac:dyDescent="0.3">
      <c r="A57" s="15" t="s">
        <v>64</v>
      </c>
      <c r="B57" s="15">
        <v>8</v>
      </c>
      <c r="C57" s="16">
        <v>8.48</v>
      </c>
      <c r="D57" s="19">
        <f t="shared" si="0"/>
        <v>67.84</v>
      </c>
    </row>
    <row r="58" spans="1:4" ht="18" customHeight="1" x14ac:dyDescent="0.3">
      <c r="A58" s="15" t="s">
        <v>65</v>
      </c>
      <c r="B58" s="15">
        <v>2</v>
      </c>
      <c r="C58" s="16">
        <v>19</v>
      </c>
      <c r="D58" s="19">
        <f t="shared" si="0"/>
        <v>38</v>
      </c>
    </row>
    <row r="59" spans="1:4" ht="18" customHeight="1" x14ac:dyDescent="0.3">
      <c r="A59" s="15" t="s">
        <v>66</v>
      </c>
      <c r="B59" s="15">
        <f>8+14+8</f>
        <v>30</v>
      </c>
      <c r="C59" s="16">
        <v>8.48</v>
      </c>
      <c r="D59" s="19">
        <f t="shared" si="0"/>
        <v>254.4</v>
      </c>
    </row>
    <row r="60" spans="1:4" ht="18" customHeight="1" x14ac:dyDescent="0.3">
      <c r="A60" s="15" t="s">
        <v>67</v>
      </c>
      <c r="B60" s="15">
        <f>8+12</f>
        <v>20</v>
      </c>
      <c r="C60" s="16">
        <v>69</v>
      </c>
      <c r="D60" s="19">
        <f t="shared" si="0"/>
        <v>1380</v>
      </c>
    </row>
    <row r="61" spans="1:4" ht="18" customHeight="1" x14ac:dyDescent="0.3">
      <c r="A61" s="15" t="s">
        <v>68</v>
      </c>
      <c r="B61" s="15">
        <f>1+4</f>
        <v>5</v>
      </c>
      <c r="C61" s="16">
        <v>15</v>
      </c>
      <c r="D61" s="19">
        <f t="shared" si="0"/>
        <v>75</v>
      </c>
    </row>
    <row r="62" spans="1:4" ht="18" customHeight="1" x14ac:dyDescent="0.3">
      <c r="A62" s="15" t="s">
        <v>69</v>
      </c>
      <c r="B62" s="15">
        <f>1+2+2</f>
        <v>5</v>
      </c>
      <c r="C62" s="16">
        <v>12</v>
      </c>
      <c r="D62" s="19">
        <f t="shared" si="0"/>
        <v>60</v>
      </c>
    </row>
    <row r="63" spans="1:4" ht="18" customHeight="1" x14ac:dyDescent="0.3">
      <c r="A63" s="15" t="s">
        <v>70</v>
      </c>
      <c r="B63" s="15">
        <v>600</v>
      </c>
      <c r="C63" s="16">
        <v>0.52</v>
      </c>
      <c r="D63" s="19">
        <f t="shared" si="0"/>
        <v>312</v>
      </c>
    </row>
    <row r="64" spans="1:4" ht="18" customHeight="1" x14ac:dyDescent="0.3">
      <c r="A64" s="15" t="s">
        <v>71</v>
      </c>
      <c r="B64" s="15">
        <f>1200+1200+1200+1200+1200+1500+1500+1200</f>
        <v>10200</v>
      </c>
      <c r="C64" s="16">
        <v>0.35</v>
      </c>
      <c r="D64" s="19">
        <f t="shared" si="0"/>
        <v>3570</v>
      </c>
    </row>
    <row r="65" spans="1:4" ht="18" customHeight="1" x14ac:dyDescent="0.3">
      <c r="A65" s="15" t="s">
        <v>72</v>
      </c>
      <c r="B65" s="15">
        <f>100+100</f>
        <v>200</v>
      </c>
      <c r="C65" s="16">
        <v>1.25</v>
      </c>
      <c r="D65" s="19">
        <f>B65*C65</f>
        <v>250</v>
      </c>
    </row>
    <row r="66" spans="1:4" ht="18" customHeight="1" x14ac:dyDescent="0.3">
      <c r="A66" s="15" t="s">
        <v>73</v>
      </c>
      <c r="B66" s="15">
        <f>30+50+24+14</f>
        <v>118</v>
      </c>
      <c r="C66" s="16">
        <v>61.11</v>
      </c>
      <c r="D66" s="19">
        <f t="shared" si="0"/>
        <v>7210.98</v>
      </c>
    </row>
    <row r="67" spans="1:4" ht="18" customHeight="1" x14ac:dyDescent="0.3">
      <c r="A67" s="15" t="s">
        <v>74</v>
      </c>
      <c r="B67" s="15">
        <v>2</v>
      </c>
      <c r="C67" s="16">
        <v>159.04</v>
      </c>
      <c r="D67" s="19">
        <f t="shared" si="0"/>
        <v>318.08</v>
      </c>
    </row>
    <row r="68" spans="1:4" ht="18" customHeight="1" x14ac:dyDescent="0.3">
      <c r="A68" s="15" t="s">
        <v>75</v>
      </c>
      <c r="B68" s="15">
        <f>18+4+6</f>
        <v>28</v>
      </c>
      <c r="C68" s="16">
        <v>61.11</v>
      </c>
      <c r="D68" s="19">
        <f t="shared" si="0"/>
        <v>1711.08</v>
      </c>
    </row>
    <row r="69" spans="1:4" ht="18" customHeight="1" x14ac:dyDescent="0.3">
      <c r="A69" s="15" t="s">
        <v>76</v>
      </c>
      <c r="B69" s="15">
        <v>1</v>
      </c>
      <c r="C69" s="16">
        <v>278</v>
      </c>
      <c r="D69" s="19">
        <f t="shared" si="0"/>
        <v>278</v>
      </c>
    </row>
    <row r="70" spans="1:4" ht="18" customHeight="1" x14ac:dyDescent="0.3">
      <c r="A70" s="15" t="s">
        <v>77</v>
      </c>
      <c r="B70" s="15">
        <f>80+100</f>
        <v>180</v>
      </c>
      <c r="C70" s="16">
        <v>4</v>
      </c>
      <c r="D70" s="19">
        <f t="shared" si="0"/>
        <v>720</v>
      </c>
    </row>
    <row r="71" spans="1:4" ht="18" customHeight="1" x14ac:dyDescent="0.3">
      <c r="A71" s="15" t="s">
        <v>78</v>
      </c>
      <c r="B71" s="15">
        <f>4000+4000</f>
        <v>8000</v>
      </c>
      <c r="C71" s="16">
        <v>5.69</v>
      </c>
      <c r="D71" s="19">
        <f t="shared" si="0"/>
        <v>45520</v>
      </c>
    </row>
    <row r="72" spans="1:4" ht="18" customHeight="1" x14ac:dyDescent="0.3">
      <c r="A72" s="15" t="s">
        <v>79</v>
      </c>
      <c r="B72" s="15">
        <v>100</v>
      </c>
      <c r="C72" s="16">
        <v>11.4</v>
      </c>
      <c r="D72" s="19">
        <f t="shared" si="0"/>
        <v>1140</v>
      </c>
    </row>
    <row r="73" spans="1:4" ht="18" customHeight="1" x14ac:dyDescent="0.3">
      <c r="A73" s="15" t="s">
        <v>80</v>
      </c>
      <c r="B73" s="15">
        <v>10</v>
      </c>
      <c r="C73" s="16">
        <v>16.5</v>
      </c>
      <c r="D73" s="19">
        <f t="shared" si="0"/>
        <v>165</v>
      </c>
    </row>
    <row r="74" spans="1:4" ht="18" customHeight="1" x14ac:dyDescent="0.3">
      <c r="A74" s="15" t="s">
        <v>81</v>
      </c>
      <c r="B74" s="15">
        <v>10</v>
      </c>
      <c r="C74" s="16">
        <v>39</v>
      </c>
      <c r="D74" s="19">
        <f t="shared" si="0"/>
        <v>390</v>
      </c>
    </row>
    <row r="75" spans="1:4" ht="18" customHeight="1" x14ac:dyDescent="0.3">
      <c r="A75" s="15" t="s">
        <v>82</v>
      </c>
      <c r="B75" s="15">
        <v>4</v>
      </c>
      <c r="C75" s="16">
        <v>1650</v>
      </c>
      <c r="D75" s="19">
        <f t="shared" si="0"/>
        <v>6600</v>
      </c>
    </row>
    <row r="76" spans="1:4" ht="18" customHeight="1" x14ac:dyDescent="0.3">
      <c r="A76" s="15" t="s">
        <v>83</v>
      </c>
      <c r="B76" s="15">
        <f>54+54</f>
        <v>108</v>
      </c>
      <c r="C76" s="16">
        <v>22</v>
      </c>
      <c r="D76" s="19">
        <f t="shared" si="0"/>
        <v>2376</v>
      </c>
    </row>
    <row r="77" spans="1:4" ht="18" customHeight="1" x14ac:dyDescent="0.3">
      <c r="A77" s="15" t="s">
        <v>84</v>
      </c>
      <c r="B77" s="15">
        <v>1</v>
      </c>
      <c r="C77" s="16">
        <v>45.73</v>
      </c>
      <c r="D77" s="19">
        <f t="shared" si="0"/>
        <v>45.73</v>
      </c>
    </row>
    <row r="78" spans="1:4" ht="18" customHeight="1" x14ac:dyDescent="0.3">
      <c r="A78" s="15" t="s">
        <v>85</v>
      </c>
      <c r="B78" s="15">
        <v>1</v>
      </c>
      <c r="C78" s="16">
        <v>2</v>
      </c>
      <c r="D78" s="19">
        <f t="shared" si="0"/>
        <v>2</v>
      </c>
    </row>
    <row r="79" spans="1:4" ht="18" customHeight="1" x14ac:dyDescent="0.3">
      <c r="A79" s="15" t="s">
        <v>86</v>
      </c>
      <c r="B79" s="15">
        <f>3+4+3+2+4</f>
        <v>16</v>
      </c>
      <c r="C79" s="16">
        <v>46</v>
      </c>
      <c r="D79" s="19">
        <f t="shared" si="0"/>
        <v>736</v>
      </c>
    </row>
    <row r="80" spans="1:4" ht="18" customHeight="1" x14ac:dyDescent="0.3">
      <c r="A80" s="15" t="s">
        <v>87</v>
      </c>
      <c r="B80" s="15">
        <v>12</v>
      </c>
      <c r="C80" s="16">
        <v>17.829999999999998</v>
      </c>
      <c r="D80" s="19">
        <f t="shared" si="0"/>
        <v>213.95999999999998</v>
      </c>
    </row>
    <row r="81" spans="1:4" ht="18" customHeight="1" x14ac:dyDescent="0.3">
      <c r="A81" s="15" t="s">
        <v>88</v>
      </c>
      <c r="B81" s="15">
        <f>4+6+3+1</f>
        <v>14</v>
      </c>
      <c r="C81" s="16">
        <v>48</v>
      </c>
      <c r="D81" s="19">
        <f t="shared" si="0"/>
        <v>672</v>
      </c>
    </row>
    <row r="82" spans="1:4" ht="18" customHeight="1" x14ac:dyDescent="0.3">
      <c r="A82" s="15" t="s">
        <v>89</v>
      </c>
      <c r="B82" s="15">
        <v>12</v>
      </c>
      <c r="C82" s="16">
        <v>16.89</v>
      </c>
      <c r="D82" s="19">
        <f t="shared" si="0"/>
        <v>202.68</v>
      </c>
    </row>
    <row r="83" spans="1:4" ht="18" customHeight="1" x14ac:dyDescent="0.3">
      <c r="A83" s="15" t="s">
        <v>90</v>
      </c>
      <c r="B83" s="15">
        <f>8+6+6+2</f>
        <v>22</v>
      </c>
      <c r="C83" s="16">
        <v>56</v>
      </c>
      <c r="D83" s="19">
        <f t="shared" si="0"/>
        <v>1232</v>
      </c>
    </row>
    <row r="84" spans="1:4" ht="18" customHeight="1" x14ac:dyDescent="0.3">
      <c r="A84" s="15" t="s">
        <v>91</v>
      </c>
      <c r="B84" s="15">
        <v>2</v>
      </c>
      <c r="C84" s="16">
        <v>53</v>
      </c>
      <c r="D84" s="19">
        <f t="shared" si="0"/>
        <v>106</v>
      </c>
    </row>
    <row r="85" spans="1:4" ht="18" customHeight="1" x14ac:dyDescent="0.3">
      <c r="A85" s="15" t="s">
        <v>92</v>
      </c>
      <c r="B85" s="15">
        <v>1</v>
      </c>
      <c r="C85" s="16">
        <v>8.7799999999999994</v>
      </c>
      <c r="D85" s="19">
        <f t="shared" si="0"/>
        <v>8.7799999999999994</v>
      </c>
    </row>
    <row r="86" spans="1:4" ht="18" customHeight="1" x14ac:dyDescent="0.3">
      <c r="A86" s="15" t="s">
        <v>93</v>
      </c>
      <c r="B86" s="15">
        <v>1</v>
      </c>
      <c r="C86" s="16">
        <v>6.05</v>
      </c>
      <c r="D86" s="19">
        <f t="shared" si="0"/>
        <v>6.05</v>
      </c>
    </row>
    <row r="87" spans="1:4" ht="18" customHeight="1" x14ac:dyDescent="0.3">
      <c r="A87" s="15" t="s">
        <v>94</v>
      </c>
      <c r="B87" s="15">
        <v>3</v>
      </c>
      <c r="C87" s="16">
        <v>8.51</v>
      </c>
      <c r="D87" s="19">
        <f t="shared" si="0"/>
        <v>25.53</v>
      </c>
    </row>
    <row r="88" spans="1:4" ht="18" customHeight="1" x14ac:dyDescent="0.3">
      <c r="A88" s="15" t="s">
        <v>95</v>
      </c>
      <c r="B88" s="15">
        <v>6</v>
      </c>
      <c r="C88" s="16">
        <v>36</v>
      </c>
      <c r="D88" s="19">
        <f>B88*C88</f>
        <v>216</v>
      </c>
    </row>
    <row r="89" spans="1:4" ht="18" customHeight="1" x14ac:dyDescent="0.3">
      <c r="A89" s="15" t="s">
        <v>96</v>
      </c>
      <c r="B89" s="15">
        <f>2+2</f>
        <v>4</v>
      </c>
      <c r="C89" s="16">
        <v>98</v>
      </c>
      <c r="D89" s="19">
        <f>B89*C89</f>
        <v>392</v>
      </c>
    </row>
    <row r="90" spans="1:4" ht="18" customHeight="1" x14ac:dyDescent="0.3">
      <c r="A90" s="15" t="s">
        <v>97</v>
      </c>
      <c r="B90" s="15">
        <v>2</v>
      </c>
      <c r="C90" s="16">
        <v>149</v>
      </c>
      <c r="D90" s="19">
        <f>B90*C90</f>
        <v>298</v>
      </c>
    </row>
    <row r="91" spans="1:4" ht="18" customHeight="1" x14ac:dyDescent="0.3">
      <c r="A91" s="15" t="s">
        <v>98</v>
      </c>
      <c r="B91" s="15">
        <v>40</v>
      </c>
      <c r="C91" s="16">
        <v>30.98</v>
      </c>
      <c r="D91" s="19">
        <f>B91*C91</f>
        <v>1239.2</v>
      </c>
    </row>
    <row r="92" spans="1:4" ht="18" customHeight="1" x14ac:dyDescent="0.25">
      <c r="A92" s="4"/>
      <c r="B92" s="4"/>
      <c r="C92" s="5"/>
      <c r="D92" s="5"/>
    </row>
    <row r="94" spans="1:4" ht="18" customHeight="1" x14ac:dyDescent="0.3">
      <c r="C94" s="7" t="s">
        <v>99</v>
      </c>
      <c r="D94" s="18">
        <f>SUM(D9:D92)</f>
        <v>269466.17000000004</v>
      </c>
    </row>
    <row r="96" spans="1:4" ht="18" customHeight="1" x14ac:dyDescent="0.3">
      <c r="A96" s="1"/>
    </row>
    <row r="98" spans="2:2" ht="18" customHeight="1" x14ac:dyDescent="0.25">
      <c r="B98" s="2" t="s">
        <v>100</v>
      </c>
    </row>
  </sheetData>
  <mergeCells count="2">
    <mergeCell ref="A1:D1"/>
    <mergeCell ref="A2:D2"/>
  </mergeCells>
  <phoneticPr fontId="0" type="noConversion"/>
  <pageMargins left="0.75" right="0.75" top="1" bottom="1" header="0.5" footer="0.5"/>
  <pageSetup scale="82"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793D3-EBBB-4EE7-9551-A02AACF23E0A}">
  <sheetPr>
    <pageSetUpPr fitToPage="1"/>
  </sheetPr>
  <dimension ref="A1:F18"/>
  <sheetViews>
    <sheetView view="pageBreakPreview" topLeftCell="A2" zoomScaleNormal="100" zoomScaleSheetLayoutView="100" workbookViewId="0">
      <selection activeCell="G2" sqref="G2"/>
    </sheetView>
  </sheetViews>
  <sheetFormatPr defaultColWidth="9.1796875" defaultRowHeight="18" customHeight="1" x14ac:dyDescent="0.25"/>
  <cols>
    <col min="1" max="1" width="61.81640625" style="2" customWidth="1"/>
    <col min="2" max="2" width="11.453125" style="2" customWidth="1"/>
    <col min="3" max="3" width="13.1796875" style="3" customWidth="1"/>
    <col min="4" max="4" width="16.54296875" style="3" customWidth="1"/>
    <col min="5" max="5" width="14.1796875" style="3" customWidth="1"/>
    <col min="6" max="6" width="18.81640625" style="3" customWidth="1"/>
    <col min="7" max="16384" width="9.1796875" style="2"/>
  </cols>
  <sheetData>
    <row r="1" spans="1:6" ht="18" customHeight="1" x14ac:dyDescent="0.3">
      <c r="A1" s="51" t="s">
        <v>101</v>
      </c>
      <c r="B1" s="51"/>
      <c r="C1" s="51"/>
      <c r="D1" s="51"/>
      <c r="E1" s="51"/>
      <c r="F1" s="51"/>
    </row>
    <row r="2" spans="1:6" ht="18" customHeight="1" thickBot="1" x14ac:dyDescent="0.3">
      <c r="A2" s="50"/>
      <c r="B2" s="50"/>
      <c r="C2" s="50"/>
      <c r="D2" s="50"/>
      <c r="E2" s="50"/>
      <c r="F2" s="50"/>
    </row>
    <row r="3" spans="1:6" ht="18" customHeight="1" thickBot="1" x14ac:dyDescent="0.35">
      <c r="A3" s="1" t="s">
        <v>102</v>
      </c>
      <c r="B3" s="31" t="str">
        <f>'Total Materials Cost'!B3</f>
        <v>Example: Waterline Replacement Project</v>
      </c>
      <c r="C3" s="32"/>
      <c r="D3" s="33"/>
      <c r="E3" s="34"/>
      <c r="F3" s="34"/>
    </row>
    <row r="4" spans="1:6" ht="18" customHeight="1" thickBot="1" x14ac:dyDescent="0.35">
      <c r="A4" s="1" t="s">
        <v>103</v>
      </c>
      <c r="B4" s="31" t="str">
        <f>'Total Materials Cost'!B4</f>
        <v>Example: C2025-001A</v>
      </c>
      <c r="C4" s="32"/>
      <c r="D4" s="33"/>
      <c r="E4" s="34"/>
      <c r="F4" s="34"/>
    </row>
    <row r="5" spans="1:6" ht="18" customHeight="1" thickBot="1" x14ac:dyDescent="0.35">
      <c r="A5" s="1" t="s">
        <v>104</v>
      </c>
      <c r="B5" s="13"/>
      <c r="C5" s="43">
        <f>'Total Materials Cost'!C5</f>
        <v>269466.17000000004</v>
      </c>
      <c r="D5" s="14"/>
      <c r="E5" s="35"/>
      <c r="F5" s="35"/>
    </row>
    <row r="6" spans="1:6" ht="18" customHeight="1" thickBot="1" x14ac:dyDescent="0.35">
      <c r="A6" s="52"/>
      <c r="B6" s="52"/>
      <c r="C6" s="52"/>
      <c r="D6" s="52"/>
      <c r="E6" s="52"/>
      <c r="F6" s="52"/>
    </row>
    <row r="7" spans="1:6" ht="18" customHeight="1" thickBot="1" x14ac:dyDescent="0.35">
      <c r="A7" s="1" t="s">
        <v>105</v>
      </c>
      <c r="B7" s="23"/>
      <c r="C7" s="41">
        <f>0.05*C5</f>
        <v>13473.308500000003</v>
      </c>
      <c r="D7" s="36"/>
      <c r="E7" s="39"/>
      <c r="F7" s="4"/>
    </row>
    <row r="8" spans="1:6" ht="18" customHeight="1" thickBot="1" x14ac:dyDescent="0.35">
      <c r="A8" s="1" t="s">
        <v>106</v>
      </c>
      <c r="B8" s="24"/>
      <c r="C8" s="42">
        <f>E16</f>
        <v>3885.2</v>
      </c>
      <c r="D8" s="37"/>
      <c r="E8" s="39"/>
      <c r="F8" s="4"/>
    </row>
    <row r="9" spans="1:6" ht="18" customHeight="1" thickBot="1" x14ac:dyDescent="0.35">
      <c r="A9" s="1" t="s">
        <v>107</v>
      </c>
      <c r="B9" s="25"/>
      <c r="C9" s="22" t="str">
        <f>IF(C8&lt;=C7,"YES","NO")</f>
        <v>YES</v>
      </c>
      <c r="D9" s="38"/>
      <c r="E9" s="40"/>
      <c r="F9" s="5"/>
    </row>
    <row r="10" spans="1:6" ht="18" customHeight="1" x14ac:dyDescent="0.3">
      <c r="A10" s="1"/>
      <c r="B10" s="6"/>
      <c r="C10" s="6"/>
      <c r="D10" s="6"/>
      <c r="E10" s="6"/>
    </row>
    <row r="11" spans="1:6" ht="18" customHeight="1" x14ac:dyDescent="0.3">
      <c r="A11" s="9" t="s">
        <v>108</v>
      </c>
      <c r="B11" s="4"/>
      <c r="C11" s="5"/>
      <c r="D11" s="5"/>
      <c r="E11" s="5"/>
    </row>
    <row r="12" spans="1:6" ht="71.25" customHeight="1" x14ac:dyDescent="0.3">
      <c r="A12" s="47" t="s">
        <v>109</v>
      </c>
      <c r="B12" s="17" t="s">
        <v>13</v>
      </c>
      <c r="C12" s="10" t="s">
        <v>14</v>
      </c>
      <c r="D12" s="10" t="s">
        <v>110</v>
      </c>
      <c r="E12" s="10" t="s">
        <v>15</v>
      </c>
      <c r="F12" s="26" t="s">
        <v>111</v>
      </c>
    </row>
    <row r="13" spans="1:6" ht="18" customHeight="1" x14ac:dyDescent="0.25">
      <c r="A13" s="29" t="s">
        <v>112</v>
      </c>
      <c r="B13" s="29">
        <f>2+8+2+2</f>
        <v>14</v>
      </c>
      <c r="C13" s="30">
        <v>189</v>
      </c>
      <c r="D13" s="44" t="str">
        <f>IF(C13/$C$5&lt;=0.01,"YES", "NO")</f>
        <v>YES</v>
      </c>
      <c r="E13" s="28">
        <f>B13*C13</f>
        <v>2646</v>
      </c>
      <c r="F13" s="30"/>
    </row>
    <row r="14" spans="1:6" ht="18" customHeight="1" x14ac:dyDescent="0.25">
      <c r="A14" s="29" t="s">
        <v>98</v>
      </c>
      <c r="B14" s="29">
        <v>40</v>
      </c>
      <c r="C14" s="30">
        <v>30.98</v>
      </c>
      <c r="D14" s="44" t="str">
        <f>IF(C14/$C$5&lt;=0.01,"YES", "NO")</f>
        <v>YES</v>
      </c>
      <c r="E14" s="28">
        <f>B14*C14</f>
        <v>1239.2</v>
      </c>
      <c r="F14" s="30"/>
    </row>
    <row r="16" spans="1:6" ht="18" customHeight="1" x14ac:dyDescent="0.3">
      <c r="B16" s="2" t="s">
        <v>113</v>
      </c>
      <c r="C16" s="2"/>
      <c r="D16" s="2"/>
      <c r="E16" s="27">
        <f>SUM(E13:E14)</f>
        <v>3885.2</v>
      </c>
    </row>
    <row r="18" spans="1:1" ht="18" customHeight="1" x14ac:dyDescent="0.3">
      <c r="A18" s="1"/>
    </row>
  </sheetData>
  <mergeCells count="3">
    <mergeCell ref="A2:F2"/>
    <mergeCell ref="A1:F1"/>
    <mergeCell ref="A6:F6"/>
  </mergeCells>
  <phoneticPr fontId="0" type="noConversion"/>
  <pageMargins left="0.75" right="0.5" top="1" bottom="1" header="0.5" footer="0.5"/>
  <pageSetup scale="69"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Coverage xmlns="http://schemas.microsoft.com/sharepoint/v3/fields" xsi:nil="true"/>
    <Record xmlns="4ffa91fb-a0ff-4ac5-b2db-65c790d184a4">Shared</Record>
    <_ip_UnifiedCompliancePolicyProperties xmlns="http://schemas.microsoft.com/sharepoint/v3" xsi:nil="true"/>
    <Language xmlns="http://schemas.microsoft.com/sharepoint/v3">English</Language>
    <EPA_x0020_Office xmlns="4ffa91fb-a0ff-4ac5-b2db-65c790d184a4">OW-OGDW-DWPD-IB</EPA_x0020_Office>
    <Document_x0020_Creation_x0020_Date xmlns="4ffa91fb-a0ff-4ac5-b2db-65c790d184a4">2019-05-17T00:00:00+00:00</Document_x0020_Creation_x0020_Date>
    <e3f09c3df709400db2417a7161762d62 xmlns="ebabad43-4953-4a57-9cf4-487d27ebaa75">
      <Terms xmlns="http://schemas.microsoft.com/office/infopath/2007/PartnerControls"/>
    </e3f09c3df709400db2417a7161762d62>
    <EPA_x0020_Related_x0020_Documents xmlns="4ffa91fb-a0ff-4ac5-b2db-65c790d184a4" xsi:nil="true"/>
    <j747ac98061d40f0aa7bd47e1db5675d xmlns="4ffa91fb-a0ff-4ac5-b2db-65c790d184a4">
      <Terms xmlns="http://schemas.microsoft.com/office/infopath/2007/PartnerControls"/>
    </j747ac98061d40f0aa7bd47e1db5675d>
    <External_x0020_Contributor xmlns="4ffa91fb-a0ff-4ac5-b2db-65c790d184a4" xsi:nil="true"/>
    <CategoryDescription xmlns="http://schemas.microsoft.com/sharepoint.v3" xsi:nil="true"/>
    <Identifier xmlns="4ffa91fb-a0ff-4ac5-b2db-65c790d184a4" xsi:nil="true"/>
    <_Source xmlns="http://schemas.microsoft.com/sharepoint/v3/fields" xsi:nil="true"/>
    <EPA_x0020_Contributor xmlns="4ffa91fb-a0ff-4ac5-b2db-65c790d184a4">
      <UserInfo>
        <DisplayName/>
        <AccountId xsi:nil="true"/>
        <AccountType/>
      </UserInfo>
    </EPA_x0020_Contributor>
    <_ip_UnifiedCompliancePolicyUIAction xmlns="http://schemas.microsoft.com/sharepoint/v3" xsi:nil="true"/>
    <Creator xmlns="4ffa91fb-a0ff-4ac5-b2db-65c790d184a4">
      <UserInfo>
        <DisplayName>Shattuck, Dallas</DisplayName>
        <AccountId>9341</AccountId>
        <AccountType/>
      </UserInfo>
    </Creator>
    <TaxCatchAll xmlns="4ffa91fb-a0ff-4ac5-b2db-65c790d184a4" xsi:nil="true"/>
    <lcf76f155ced4ddcb4097134ff3c332f xmlns="6aba5d20-118a-457e-a332-3788c64dc158">
      <Terms xmlns="http://schemas.microsoft.com/office/infopath/2007/PartnerControls"/>
    </lcf76f155ced4ddcb4097134ff3c332f>
    <TaxKeywordTaxHTField xmlns="4ffa91fb-a0ff-4ac5-b2db-65c790d184a4">
      <Terms xmlns="http://schemas.microsoft.com/office/infopath/2007/PartnerControls"/>
    </TaxKeywordTaxHTField>
    <Rights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89667BA39545543A1FFC7221BB261D0" ma:contentTypeVersion="18" ma:contentTypeDescription="Create a new document." ma:contentTypeScope="" ma:versionID="0066d02df8755b10b1e03b0a49248907">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ebabad43-4953-4a57-9cf4-487d27ebaa75" xmlns:ns6="6aba5d20-118a-457e-a332-3788c64dc158" targetNamespace="http://schemas.microsoft.com/office/2006/metadata/properties" ma:root="true" ma:fieldsID="e859c699e4b7d027578fab135ce6d2ec" ns1:_="" ns2:_="" ns3:_="" ns4:_="" ns5:_="" ns6:_="">
    <xsd:import namespace="http://schemas.microsoft.com/sharepoint/v3"/>
    <xsd:import namespace="4ffa91fb-a0ff-4ac5-b2db-65c790d184a4"/>
    <xsd:import namespace="http://schemas.microsoft.com/sharepoint.v3"/>
    <xsd:import namespace="http://schemas.microsoft.com/sharepoint/v3/fields"/>
    <xsd:import namespace="ebabad43-4953-4a57-9cf4-487d27ebaa75"/>
    <xsd:import namespace="6aba5d20-118a-457e-a332-3788c64dc158"/>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e3f09c3df709400db2417a7161762d62" minOccurs="0"/>
                <xsd:element ref="ns6:MediaServiceMetadata" minOccurs="0"/>
                <xsd:element ref="ns6:MediaServiceFastMetadata" minOccurs="0"/>
                <xsd:element ref="ns6:MediaServiceSearchProperties" minOccurs="0"/>
                <xsd:element ref="ns6:MediaServiceObjectDetectorVersions" minOccurs="0"/>
                <xsd:element ref="ns6:MediaServiceDateTaken" minOccurs="0"/>
                <xsd:element ref="ns6:MediaServiceGenerationTime" minOccurs="0"/>
                <xsd:element ref="ns6:MediaServiceEventHashCode" minOccurs="0"/>
                <xsd:element ref="ns6:MediaLengthInSeconds" minOccurs="0"/>
                <xsd:element ref="ns6:lcf76f155ced4ddcb4097134ff3c332f" minOccurs="0"/>
                <xsd:element ref="ns6:MediaServiceOCR" minOccurs="0"/>
                <xsd:element ref="ns6: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23"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41" nillable="true" ma:displayName="Unified Compliance Policy Properties" ma:hidden="true" ma:internalName="_ip_UnifiedCompliancePolicyProperties">
      <xsd:simpleType>
        <xsd:restriction base="dms:Note"/>
      </xsd:simpleType>
    </xsd:element>
    <xsd:element name="_ip_UnifiedCompliancePolicyUIAction" ma:index="4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8"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9"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10"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11"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15"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7"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8"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20"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22"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24"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5"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6" nillable="true" ma:displayName="Taxonomy Catch All Column1" ma:hidden="true" ma:list="{7b837ef6-5f90-47ba-8c42-295f10558f27}" ma:internalName="TaxCatchAllLabel" ma:readOnly="true" ma:showField="CatchAllDataLabel" ma:web="ebabad43-4953-4a57-9cf4-487d27ebaa75">
      <xsd:complexType>
        <xsd:complexContent>
          <xsd:extension base="dms:MultiChoiceLookup">
            <xsd:sequence>
              <xsd:element name="Value" type="dms:Lookup" maxOccurs="unbounded" minOccurs="0" nillable="true"/>
            </xsd:sequence>
          </xsd:extension>
        </xsd:complexContent>
      </xsd:complexType>
    </xsd:element>
    <xsd:element name="TaxCatchAll" ma:index="27" nillable="true" ma:displayName="Taxonomy Catch All Column" ma:hidden="true" ma:list="{7b837ef6-5f90-47ba-8c42-295f10558f27}" ma:internalName="TaxCatchAll" ma:showField="CatchAllData" ma:web="ebabad43-4953-4a57-9cf4-487d27ebaa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12"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9"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21"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babad43-4953-4a57-9cf4-487d27ebaa75" elementFormDefault="qualified">
    <xsd:import namespace="http://schemas.microsoft.com/office/2006/documentManagement/types"/>
    <xsd:import namespace="http://schemas.microsoft.com/office/infopath/2007/PartnerControls"/>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aba5d20-118a-457e-a332-3788c64dc158" elementFormDefault="qualified">
    <xsd:import namespace="http://schemas.microsoft.com/office/2006/documentManagement/types"/>
    <xsd:import namespace="http://schemas.microsoft.com/office/infopath/2007/PartnerControls"/>
    <xsd:element name="MediaServiceMetadata" ma:index="29"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MediaServiceObjectDetectorVersions" ma:index="32" nillable="true" ma:displayName="MediaServiceObjectDetectorVersions" ma:hidden="true" ma:indexed="true" ma:internalName="MediaServiceObjectDetectorVersions" ma:readOnly="true">
      <xsd:simpleType>
        <xsd:restriction base="dms:Text"/>
      </xsd:simpleType>
    </xsd:element>
    <xsd:element name="MediaServiceDateTaken" ma:index="33" nillable="true" ma:displayName="MediaServiceDateTaken" ma:hidden="true" ma:indexed="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LengthInSeconds" ma:index="36" nillable="true" ma:displayName="MediaLengthInSeconds" ma:hidden="true" ma:internalName="MediaLengthInSeconds" ma:readOnly="true">
      <xsd:simpleType>
        <xsd:restriction base="dms:Unknown"/>
      </xsd:simpleType>
    </xsd:element>
    <xsd:element name="lcf76f155ced4ddcb4097134ff3c332f" ma:index="38"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CR" ma:index="39" nillable="true" ma:displayName="Extracted Text" ma:internalName="MediaServiceOCR" ma:readOnly="true">
      <xsd:simpleType>
        <xsd:restriction base="dms:Note">
          <xsd:maxLength value="255"/>
        </xsd:restriction>
      </xsd:simpleType>
    </xsd:element>
    <xsd:element name="MediaServiceLocation" ma:index="40"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9f62856-1543-49d4-a736-4569d363f533" ContentTypeId="0x0101" PreviousValue="false" LastSyncTimeStamp="2016-08-25T00:16:07.24Z"/>
</file>

<file path=customXml/item4.xml><?xml version="1.0" encoding="utf-8"?>
<LongProperties xmlns="http://schemas.microsoft.com/office/2006/metadata/long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E9E792-EF5B-4329-9A74-6055525394A3}">
  <ds:schemaRefs>
    <ds:schemaRef ds:uri="http://schemas.microsoft.com/office/2006/metadata/properties"/>
    <ds:schemaRef ds:uri="http://schemas.microsoft.com/office/infopath/2007/PartnerControls"/>
    <ds:schemaRef ds:uri="http://schemas.microsoft.com/sharepoint/v3/fields"/>
    <ds:schemaRef ds:uri="4ffa91fb-a0ff-4ac5-b2db-65c790d184a4"/>
    <ds:schemaRef ds:uri="http://schemas.microsoft.com/sharepoint/v3"/>
    <ds:schemaRef ds:uri="ebabad43-4953-4a57-9cf4-487d27ebaa75"/>
    <ds:schemaRef ds:uri="http://schemas.microsoft.com/sharepoint.v3"/>
    <ds:schemaRef ds:uri="6aba5d20-118a-457e-a332-3788c64dc158"/>
  </ds:schemaRefs>
</ds:datastoreItem>
</file>

<file path=customXml/itemProps2.xml><?xml version="1.0" encoding="utf-8"?>
<ds:datastoreItem xmlns:ds="http://schemas.openxmlformats.org/officeDocument/2006/customXml" ds:itemID="{BAF692F9-67C8-4A96-8A20-42228E40C4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ebabad43-4953-4a57-9cf4-487d27ebaa75"/>
    <ds:schemaRef ds:uri="6aba5d20-118a-457e-a332-3788c64dc1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01C5A2-E02B-40A8-8C16-E8B32D7E2B26}">
  <ds:schemaRefs>
    <ds:schemaRef ds:uri="Microsoft.SharePoint.Taxonomy.ContentTypeSync"/>
  </ds:schemaRefs>
</ds:datastoreItem>
</file>

<file path=customXml/itemProps4.xml><?xml version="1.0" encoding="utf-8"?>
<ds:datastoreItem xmlns:ds="http://schemas.openxmlformats.org/officeDocument/2006/customXml" ds:itemID="{5C12EFAE-4F8C-4383-A6F9-CEFAA17AEF93}">
  <ds:schemaRefs>
    <ds:schemaRef ds:uri="http://schemas.microsoft.com/office/2006/metadata/longProperties"/>
  </ds:schemaRefs>
</ds:datastoreItem>
</file>

<file path=customXml/itemProps5.xml><?xml version="1.0" encoding="utf-8"?>
<ds:datastoreItem xmlns:ds="http://schemas.openxmlformats.org/officeDocument/2006/customXml" ds:itemID="{4079A4C0-D7BF-4553-8207-1DA01A926A3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Note</vt:lpstr>
      <vt:lpstr>Total Materials Cost</vt:lpstr>
      <vt:lpstr>De Minimis List</vt:lpstr>
      <vt:lpstr>'Total Materials Cost'!Print_Area</vt:lpstr>
    </vt:vector>
  </TitlesOfParts>
  <Manager/>
  <Company>State of Hawaii - Dept. of Health - Wastewater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Project 1 1 - AIS DE MINIMIS WAIVER COMPONENT LIST 3-16-16</dc:title>
  <dc:subject/>
  <dc:creator>April Matsumura</dc:creator>
  <cp:keywords/>
  <dc:description/>
  <cp:lastModifiedBy>Farber, Kit</cp:lastModifiedBy>
  <cp:revision/>
  <dcterms:created xsi:type="dcterms:W3CDTF">2009-08-06T20:33:37Z</dcterms:created>
  <dcterms:modified xsi:type="dcterms:W3CDTF">2026-02-17T18:42:35Z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TaxHTField">
    <vt:lpwstr/>
  </property>
  <property fmtid="{D5CDD505-2E9C-101B-9397-08002B2CF9AE}" pid="3" name="_Coverage">
    <vt:lpwstr/>
  </property>
  <property fmtid="{D5CDD505-2E9C-101B-9397-08002B2CF9AE}" pid="4" name="Rights">
    <vt:lpwstr/>
  </property>
  <property fmtid="{D5CDD505-2E9C-101B-9397-08002B2CF9AE}" pid="5" name="Record">
    <vt:lpwstr>Shared</vt:lpwstr>
  </property>
  <property fmtid="{D5CDD505-2E9C-101B-9397-08002B2CF9AE}" pid="6" name="CategoryDescription">
    <vt:lpwstr/>
  </property>
  <property fmtid="{D5CDD505-2E9C-101B-9397-08002B2CF9AE}" pid="7" name="TaxKeyword">
    <vt:lpwstr/>
  </property>
  <property fmtid="{D5CDD505-2E9C-101B-9397-08002B2CF9AE}" pid="8" name="Identifier">
    <vt:lpwstr/>
  </property>
  <property fmtid="{D5CDD505-2E9C-101B-9397-08002B2CF9AE}" pid="9" name="_Source">
    <vt:lpwstr/>
  </property>
  <property fmtid="{D5CDD505-2E9C-101B-9397-08002B2CF9AE}" pid="10" name="Language">
    <vt:lpwstr>English</vt:lpwstr>
  </property>
  <property fmtid="{D5CDD505-2E9C-101B-9397-08002B2CF9AE}" pid="11" name="EPA Office">
    <vt:lpwstr>OW-OGDW-DWPD-IB</vt:lpwstr>
  </property>
  <property fmtid="{D5CDD505-2E9C-101B-9397-08002B2CF9AE}" pid="12" name="Document Creation Date">
    <vt:lpwstr>2019-05-17T00:00:00Z</vt:lpwstr>
  </property>
  <property fmtid="{D5CDD505-2E9C-101B-9397-08002B2CF9AE}" pid="13" name="display_urn:schemas-microsoft-com:office:office#Creator">
    <vt:lpwstr>Shattuck, Dallas</vt:lpwstr>
  </property>
  <property fmtid="{D5CDD505-2E9C-101B-9397-08002B2CF9AE}" pid="14" name="Creator">
    <vt:lpwstr>9341</vt:lpwstr>
  </property>
  <property fmtid="{D5CDD505-2E9C-101B-9397-08002B2CF9AE}" pid="15" name="EPA Subject">
    <vt:lpwstr/>
  </property>
  <property fmtid="{D5CDD505-2E9C-101B-9397-08002B2CF9AE}" pid="16" name="e3f09c3df709400db2417a7161762d62">
    <vt:lpwstr/>
  </property>
  <property fmtid="{D5CDD505-2E9C-101B-9397-08002B2CF9AE}" pid="17" name="EPA Related Documents">
    <vt:lpwstr/>
  </property>
  <property fmtid="{D5CDD505-2E9C-101B-9397-08002B2CF9AE}" pid="18" name="Document Type">
    <vt:lpwstr/>
  </property>
  <property fmtid="{D5CDD505-2E9C-101B-9397-08002B2CF9AE}" pid="19" name="TaxCatchAll">
    <vt:lpwstr/>
  </property>
  <property fmtid="{D5CDD505-2E9C-101B-9397-08002B2CF9AE}" pid="20" name="j747ac98061d40f0aa7bd47e1db5675d">
    <vt:lpwstr/>
  </property>
  <property fmtid="{D5CDD505-2E9C-101B-9397-08002B2CF9AE}" pid="21" name="External Contributor">
    <vt:lpwstr/>
  </property>
  <property fmtid="{D5CDD505-2E9C-101B-9397-08002B2CF9AE}" pid="22" name="EPA Contributor">
    <vt:lpwstr/>
  </property>
  <property fmtid="{D5CDD505-2E9C-101B-9397-08002B2CF9AE}" pid="23" name="EPA_x0020_Subject">
    <vt:lpwstr/>
  </property>
  <property fmtid="{D5CDD505-2E9C-101B-9397-08002B2CF9AE}" pid="24" name="Document_x0020_Type">
    <vt:lpwstr/>
  </property>
  <property fmtid="{D5CDD505-2E9C-101B-9397-08002B2CF9AE}" pid="25" name="_ip_UnifiedCompliancePolicyUIAction">
    <vt:lpwstr/>
  </property>
  <property fmtid="{D5CDD505-2E9C-101B-9397-08002B2CF9AE}" pid="26" name="lcf76f155ced4ddcb4097134ff3c332f">
    <vt:lpwstr/>
  </property>
  <property fmtid="{D5CDD505-2E9C-101B-9397-08002B2CF9AE}" pid="27" name="_ip_UnifiedCompliancePolicyProperties">
    <vt:lpwstr/>
  </property>
  <property fmtid="{D5CDD505-2E9C-101B-9397-08002B2CF9AE}" pid="28" name="ContentTypeId">
    <vt:lpwstr>0x010100D89667BA39545543A1FFC7221BB261D0</vt:lpwstr>
  </property>
  <property fmtid="{D5CDD505-2E9C-101B-9397-08002B2CF9AE}" pid="29" name="MediaServiceImageTags">
    <vt:lpwstr/>
  </property>
</Properties>
</file>