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sepa.sharepoint.com/sites/ocspp_Work/wpc/TSCA Scoping Next 20 HPS Review/Chlorinated Solvents/1,2-Dichloroethane (priority 1)/Final RE/QC/DOCKET FILES FOR FINAL/"/>
    </mc:Choice>
  </mc:AlternateContent>
  <xr:revisionPtr revIDLastSave="975" documentId="13_ncr:1_{BEB018F6-4914-4486-92D6-ED5F583F137B}" xr6:coauthVersionLast="47" xr6:coauthVersionMax="47" xr10:uidLastSave="{BEFC514D-C403-4F1D-A597-73336928C957}"/>
  <bookViews>
    <workbookView xWindow="-120" yWindow="-120" windowWidth="29040" windowHeight="15720" xr2:uid="{4B24796C-D5DB-4EE4-8982-CFA1DD74E231}"/>
  </bookViews>
  <sheets>
    <sheet name="Cover Page" sheetId="17" r:id="rId1"/>
    <sheet name="ReadMe" sheetId="2" r:id="rId2"/>
    <sheet name="Release Summary" sheetId="12" r:id="rId3"/>
    <sheet name="Release Point Summary" sheetId="3" r:id="rId4"/>
    <sheet name="Product Selector Data" sheetId="4" r:id="rId5"/>
    <sheet name="Release Parameters" sheetId="5" r:id="rId6"/>
    <sheet name="Release Calcs" sheetId="6" r:id="rId7"/>
    <sheet name="Release Results" sheetId="7" r:id="rId8"/>
    <sheet name="Scenario 1_Static" sheetId="13" r:id="rId9"/>
  </sheets>
  <definedNames>
    <definedName name="_2017NEI_Nonpoint_TSCA_Chem_List">#REF!</definedName>
    <definedName name="_2017NEI_tsca_chemicals_wSCCdetail_Query">#REF!</definedName>
    <definedName name="_AtRisk_ReportsSetting_ReportGraphOptions" hidden="1">"REP:VER:8.0.0GRA:OUT:003INS:00SUM:T00DET:T00SCE:02SC1:39DAT:2|TRUE, .75, 1|TRUE, 0, .25|TRUE, .9, 1SE1:40DAT:3,10,2, .95,5,16,FALSE, 0,TRUE,TRUE,TRUESE2:40DAT:3,10,2, .95,5,16,FALSE, 0,TRUE,TRUE,TRUETSI:002"</definedName>
    <definedName name="_AtRisk_ReportsSetting_ReportMulitSelections" hidden="1">"REP:VER:8.0.0MUL:OUT:T10INS:T11SUM:T10DET:T10SEN:T11SCE:T11TEM:F"</definedName>
    <definedName name="_AtRisk_ReportsSetting_ReportOptions" hidden="1">CONCATENATE("REP:VER:8.0.0OPT:RAP:01RWE:02RLS:04ROT:00RST:00RRT:04AGR:FAFN:198DAT:P:\CEB\ExistingChems\Work Plan Chemicals\2nd Batch\Chlorinated Solvents\Monte Carlo Simulations\1,2-DCA\Laboratory Chemical\Report-1,2-DCA_Laboratory Chem_Monte Carlo Sim_Releases_2","024.04.16_SS.xlsxOGR:T")</definedName>
    <definedName name="_AtRisk_ReportsSetting_ReportSelectedSimulationsDET" hidden="1">"AQA="</definedName>
    <definedName name="_AtRisk_ReportsSetting_ReportSelectedSimulationsINS" hidden="1">"AQA="</definedName>
    <definedName name="_AtRisk_ReportsSetting_ReportSelectedSimulationsOUT" hidden="1">"AQA="</definedName>
    <definedName name="_AtRisk_ReportsSetting_ReportSelectedSimulationsSCE" hidden="1">"AQA="</definedName>
    <definedName name="_AtRisk_ReportsSetting_ReportSelectedSimulationsSEN" hidden="1">"AQA="</definedName>
    <definedName name="_AtRisk_ReportsSetting_ReportSelectedSimulationsSUM" hidden="1">"AQA="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localSheetId="0" hidden="1">100</definedName>
    <definedName name="_AtRisk_SimSetting_ConvergenceTestingPeriod" hidden="1">10</definedName>
    <definedName name="_AtRisk_SimSetting_ConvergenceTolerance" localSheetId="0" hidden="1">0.03</definedName>
    <definedName name="_AtRisk_SimSetting_ConvergenceTolerance" hidden="1">0.01</definedName>
    <definedName name="_AtRisk_SimSetting_GoalSeekTargetValue" hidden="1">0</definedName>
    <definedName name="_AtRisk_SimSetting_LiveUpdate" hidden="1">TRUE</definedName>
    <definedName name="_AtRisk_SimSetting_LiveUpdatePeriod" hidden="1">-1</definedName>
    <definedName name="_AtRisk_SimSetting_MacroMode" hidden="1">0</definedName>
    <definedName name="_AtRisk_SimSetting_MacroRecalculationBehavior" hidden="1">0</definedName>
    <definedName name="_AtRisk_SimSetting_MaxAutoIterations" hidden="1">50000</definedName>
    <definedName name="_AtRisk_SimSetting_MultipleCPUCount" localSheetId="0" hidden="1">-1</definedName>
    <definedName name="_AtRisk_SimSetting_MultipleCPUCount" hidden="1">8</definedName>
    <definedName name="_AtRisk_SimSetting_MultipleCPUManualCount" hidden="1">8</definedName>
    <definedName name="_AtRisk_SimSetting_MultipleCPUMode" localSheetId="0" hidden="1">1</definedName>
    <definedName name="_AtRisk_SimSetting_MultipleCPUMode" hidden="1">2</definedName>
    <definedName name="_AtRisk_SimSetting_MultipleCPUModeV8" localSheetId="0" hidden="1">1</definedName>
    <definedName name="_AtRisk_SimSetting_MultipleCPUModeV8" hidden="1">2</definedName>
    <definedName name="_AtRisk_SimSetting_RandomNumberGenerator" hidden="1">0</definedName>
    <definedName name="_AtRisk_SimSetting_ReportOptionCustomItemCumulativeOverlay01" hidden="1">0</definedName>
    <definedName name="_AtRisk_SimSetting_ReportOptionCustomItemCumulativeOverlay02" hidden="1">0</definedName>
    <definedName name="_AtRisk_SimSetting_ReportOptionCustomItemCumulativeOverlay03" hidden="1">0</definedName>
    <definedName name="_AtRisk_SimSetting_ReportOptionCustomItemCumulativeOverlay04" hidden="1">0</definedName>
    <definedName name="_AtRisk_SimSetting_ReportOptionCustomItemCumulativeOverlay05" hidden="1">0</definedName>
    <definedName name="_AtRisk_SimSetting_ReportOptionCustomItemCumulativeOverlay06" hidden="1">0</definedName>
    <definedName name="_AtRisk_SimSetting_ReportOptionCustomItemDistributionFormat01" hidden="1">1</definedName>
    <definedName name="_AtRisk_SimSetting_ReportOptionCustomItemDistributionFormat02" hidden="1">1</definedName>
    <definedName name="_AtRisk_SimSetting_ReportOptionCustomItemDistributionFormat03" hidden="1">4</definedName>
    <definedName name="_AtRisk_SimSetting_ReportOptionCustomItemDistributionFormat04" hidden="1">1</definedName>
    <definedName name="_AtRisk_SimSetting_ReportOptionCustomItemDistributionFormat05" hidden="1">1</definedName>
    <definedName name="_AtRisk_SimSetting_ReportOptionCustomItemDistributionFormat06" hidden="1">1</definedName>
    <definedName name="_AtRisk_SimSetting_ReportOptionCustomItemGraphFormat01" hidden="1">1</definedName>
    <definedName name="_AtRisk_SimSetting_ReportOptionCustomItemGraphFormat02" hidden="1">1</definedName>
    <definedName name="_AtRisk_SimSetting_ReportOptionCustomItemGraphFormat03" hidden="1">1</definedName>
    <definedName name="_AtRisk_SimSetting_ReportOptionCustomItemGraphFormat04" hidden="1">1</definedName>
    <definedName name="_AtRisk_SimSetting_ReportOptionCustomItemGraphFormat05" hidden="1">1</definedName>
    <definedName name="_AtRisk_SimSetting_ReportOptionCustomItemGraphFormat06" hidden="1">1</definedName>
    <definedName name="_AtRisk_SimSetting_ReportOptionCustomItemItemSize01" hidden="1">0</definedName>
    <definedName name="_AtRisk_SimSetting_ReportOptionCustomItemItemSize02" hidden="1">0</definedName>
    <definedName name="_AtRisk_SimSetting_ReportOptionCustomItemItemSize03" hidden="1">0</definedName>
    <definedName name="_AtRisk_SimSetting_ReportOptionCustomItemItemSize04" hidden="1">0</definedName>
    <definedName name="_AtRisk_SimSetting_ReportOptionCustomItemItemSize05" hidden="1">0</definedName>
    <definedName name="_AtRisk_SimSetting_ReportOptionCustomItemItemSize06" hidden="1">0</definedName>
    <definedName name="_AtRisk_SimSetting_ReportOptionCustomItemItemType01" hidden="1">1</definedName>
    <definedName name="_AtRisk_SimSetting_ReportOptionCustomItemItemType02" hidden="1">5</definedName>
    <definedName name="_AtRisk_SimSetting_ReportOptionCustomItemItemType03" hidden="1">1</definedName>
    <definedName name="_AtRisk_SimSetting_ReportOptionCustomItemItemType04" hidden="1">3</definedName>
    <definedName name="_AtRisk_SimSetting_ReportOptionCustomItemItemType05" hidden="1">2</definedName>
    <definedName name="_AtRisk_SimSetting_ReportOptionCustomItemItemType06" hidden="1">4</definedName>
    <definedName name="_AtRisk_SimSetting_ReportOptionCustomItemLegendType01" hidden="1">0</definedName>
    <definedName name="_AtRisk_SimSetting_ReportOptionCustomItemLegendType02" hidden="1">0</definedName>
    <definedName name="_AtRisk_SimSetting_ReportOptionCustomItemLegendType03" hidden="1">0</definedName>
    <definedName name="_AtRisk_SimSetting_ReportOptionCustomItemLegendType04" hidden="1">0</definedName>
    <definedName name="_AtRisk_SimSetting_ReportOptionCustomItemLegendType05" hidden="1">0</definedName>
    <definedName name="_AtRisk_SimSetting_ReportOptionCustomItemLegendType06" hidden="1">0</definedName>
    <definedName name="_AtRisk_SimSetting_ReportOptionCustomItemsCount" hidden="1">6</definedName>
    <definedName name="_AtRisk_SimSetting_ReportOptionCustomItemSensitivityFormat01" hidden="1">1</definedName>
    <definedName name="_AtRisk_SimSetting_ReportOptionCustomItemSensitivityFormat02" hidden="1">1</definedName>
    <definedName name="_AtRisk_SimSetting_ReportOptionCustomItemSensitivityFormat03" hidden="1">1</definedName>
    <definedName name="_AtRisk_SimSetting_ReportOptionCustomItemSensitivityFormat04" hidden="1">1</definedName>
    <definedName name="_AtRisk_SimSetting_ReportOptionCustomItemSensitivityFormat05" hidden="1">1</definedName>
    <definedName name="_AtRisk_SimSetting_ReportOptionCustomItemSensitivityFormat06" hidden="1">1</definedName>
    <definedName name="_AtRisk_SimSetting_ReportOptionCustomItemSummaryGraphType01" hidden="1">0</definedName>
    <definedName name="_AtRisk_SimSetting_ReportOptionCustomItemSummaryGraphType02" hidden="1">0</definedName>
    <definedName name="_AtRisk_SimSetting_ReportOptionCustomItemSummaryGraphType03" hidden="1">0</definedName>
    <definedName name="_AtRisk_SimSetting_ReportOptionCustomItemSummaryGraphType04" hidden="1">0</definedName>
    <definedName name="_AtRisk_SimSetting_ReportOptionCustomItemSummaryGraphType05" hidden="1">0</definedName>
    <definedName name="_AtRisk_SimSetting_ReportOptionCustomItemSummaryGraphType06" hidden="1">0</definedName>
    <definedName name="_AtRisk_SimSetting_ReportOptionDataMode" hidden="1">1</definedName>
    <definedName name="_AtRisk_SimSetting_ReportOptionReportMultiSimType" hidden="1">1</definedName>
    <definedName name="_AtRisk_SimSetting_ReportOptionReportPlacement" hidden="1">1</definedName>
    <definedName name="_AtRisk_SimSetting_ReportOptionReportSelection" hidden="1">15</definedName>
    <definedName name="_AtRisk_SimSetting_ReportOptionReportsFileType" hidden="1">1</definedName>
    <definedName name="_AtRisk_SimSetting_ReportOptionSelectiveQR" hidden="1">FALSE</definedName>
    <definedName name="_AtRisk_SimSetting_ReportsList" hidden="1">15</definedName>
    <definedName name="_AtRisk_SimSetting_ShowSimulationProgressWindow" hidden="1">TRUE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3" hidden="1">'Release Point Summary'!$W$1:$AG$5</definedName>
    <definedName name="ADC_chronic">#REF!</definedName>
    <definedName name="ADC_subchronic">#REF!</definedName>
    <definedName name="AER">#REF!</definedName>
    <definedName name="Air_speed">'Release Parameters'!$L$8</definedName>
    <definedName name="Air_speed_cm_per_s">#REF!</definedName>
    <definedName name="Amt_12DCA_app_degreaser">#REF!</definedName>
    <definedName name="Amt_12DCA_app_lubricant">#REF!</definedName>
    <definedName name="Amt_job">#REF!</definedName>
    <definedName name="Amt_lubricant_app">#REF!</definedName>
    <definedName name="AT">#REF!</definedName>
    <definedName name="AT_50th_non_cancer">#REF!</definedName>
    <definedName name="AT_50th_non_cancer_DC">#REF!</definedName>
    <definedName name="AT_95th_non_cancer">#REF!</definedName>
    <definedName name="AT_95th_non_cancer_DC">#REF!</definedName>
    <definedName name="AT_AC">#REF!</definedName>
    <definedName name="AT_AC_DC">#REF!</definedName>
    <definedName name="AT_acute">#REF!</definedName>
    <definedName name="AT_ADC_high">#REF!</definedName>
    <definedName name="AT_ADC_mid">#REF!</definedName>
    <definedName name="AT_cancer">#REF!</definedName>
    <definedName name="AT_cancer_DC">#REF!</definedName>
    <definedName name="AT_chronic_cancer">#REF!</definedName>
    <definedName name="AT_chronic_nc">#REF!</definedName>
    <definedName name="AT_LADC">#REF!</definedName>
    <definedName name="ATc">#REF!</definedName>
    <definedName name="ATsc">#REF!</definedName>
    <definedName name="AWD">#REF!</definedName>
    <definedName name="AWD_DC_50th">#REF!</definedName>
    <definedName name="AWD_DC_95th">#REF!</definedName>
    <definedName name="CASRN">#REF!</definedName>
    <definedName name="Cff_mass">#REF!</definedName>
    <definedName name="Cff_ppm">#REF!</definedName>
    <definedName name="Cm_A">#REF!</definedName>
    <definedName name="Cm_B">#REF!</definedName>
    <definedName name="Cm_C">#REF!</definedName>
    <definedName name="cm_per_m">#REF!</definedName>
    <definedName name="Cnf_mass">#REF!</definedName>
    <definedName name="CNF_o">#REF!</definedName>
    <definedName name="Cnf_ppm">#REF!</definedName>
    <definedName name="Cv_A">#REF!</definedName>
    <definedName name="Cv_B">#REF!</definedName>
    <definedName name="Cv_C">#REF!</definedName>
    <definedName name="D_container_lab_analysis">'Release Parameters'!$L$13</definedName>
    <definedName name="D_container_opening">'Release Parameters'!$D$30</definedName>
    <definedName name="D_contcleaning">#REF!</definedName>
    <definedName name="Daily_air">#REF!</definedName>
    <definedName name="Daily_lan_inc">#REF!</definedName>
    <definedName name="ED">#REF!</definedName>
    <definedName name="ED_AC">#REF!</definedName>
    <definedName name="ED_AC_DC">#REF!</definedName>
    <definedName name="ED_acute">#REF!</definedName>
    <definedName name="ED_chronic">#REF!</definedName>
    <definedName name="ED_chronic_DC">#REF!</definedName>
    <definedName name="EF">#REF!</definedName>
    <definedName name="EF_chronic">#REF!</definedName>
    <definedName name="EF_subchronic">#REF!</definedName>
    <definedName name="EF_yearly">#REF!</definedName>
    <definedName name="EG">#REF!</definedName>
    <definedName name="F_12DCA">#REF!</definedName>
    <definedName name="F_12DCA_formulation_aerosol">#REF!</definedName>
    <definedName name="F_contloss">#REF!</definedName>
    <definedName name="F_loss_equip">'Release Parameters'!$D$25</definedName>
    <definedName name="F_loss_small_cont">'Release Parameters'!$L$6</definedName>
    <definedName name="F12DCA_prod">'Release Parameters'!$D$42</definedName>
    <definedName name="Freq_release" localSheetId="5">'Release Parameters'!$L$12</definedName>
    <definedName name="FSA">#REF!</definedName>
    <definedName name="Fsat_load">#REF!</definedName>
    <definedName name="Fsat_unload">'Release Parameters'!$L$9</definedName>
    <definedName name="ft_per_cm" localSheetId="5">'Release Parameters'!$D$37</definedName>
    <definedName name="ft_per_cm">#REF!</definedName>
    <definedName name="ft_per_m" localSheetId="5">'Release Parameters'!$D$36</definedName>
    <definedName name="G_A">#REF!</definedName>
    <definedName name="G_B">#REF!</definedName>
    <definedName name="G_C">#REF!</definedName>
    <definedName name="g_per_kg">'Release Parameters'!$D$33</definedName>
    <definedName name="g_per_oz">#REF!</definedName>
    <definedName name="h_sum">#REF!</definedName>
    <definedName name="hA">#REF!</definedName>
    <definedName name="hB">#REF!</definedName>
    <definedName name="hC">#REF!</definedName>
    <definedName name="Hours_year">#REF!</definedName>
    <definedName name="Job_hrs">#REF!</definedName>
    <definedName name="Jobs_shift">#REF!</definedName>
    <definedName name="Jobs_site_year">#REF!</definedName>
    <definedName name="L_per_gal">#REF!</definedName>
    <definedName name="L_per_m3">'Release Parameters'!$D$41</definedName>
    <definedName name="LADC">#REF!</definedName>
    <definedName name="lambda1">#REF!</definedName>
    <definedName name="lambda2">#REF!</definedName>
    <definedName name="lbs_per_kg">'Release Parameters'!$D$34</definedName>
    <definedName name="lbs_per_ton" localSheetId="5">'Release Parameters'!$D$35</definedName>
    <definedName name="LT_chronic_cancer">#REF!</definedName>
    <definedName name="LT_chronic_nc">#REF!</definedName>
    <definedName name="m3_per_gal">'Release Parameters'!$D$31</definedName>
    <definedName name="MC_On_Off">#REF!</definedName>
    <definedName name="mg_per_g" localSheetId="5">'Release Parameters'!$D$32</definedName>
    <definedName name="mg_per_g">#REF!</definedName>
    <definedName name="min_per_hr" localSheetId="5">'Release Parameters'!$D$39</definedName>
    <definedName name="min_per_hr">#REF!</definedName>
    <definedName name="Mixing_factor">#REF!</definedName>
    <definedName name="mL_per_L">'Release Parameters'!$D$40</definedName>
    <definedName name="MW">#REF!</definedName>
    <definedName name="MW_12DCA">'Release Parameters'!$D$23</definedName>
    <definedName name="N_apps_job">#REF!</definedName>
    <definedName name="N_cont_load_day">#REF!</definedName>
    <definedName name="N_cont_load_yr">#REF!</definedName>
    <definedName name="N_cont_unload_day">'Release Calcs'!$E$12</definedName>
    <definedName name="N_cont_unload_yr">'Release Calcs'!$E$11</definedName>
    <definedName name="N_sites">'Release Parameters'!$D$16</definedName>
    <definedName name="Ns">#REF!</definedName>
    <definedName name="OH_load_day">#REF!</definedName>
    <definedName name="OH_load_yr">#REF!</definedName>
    <definedName name="OH_sampling">'Release Parameters'!$D$26</definedName>
    <definedName name="OH_unload_day">#REF!</definedName>
    <definedName name="OH_unload_yr">#REF!</definedName>
    <definedName name="OHcont_cleaning">'Release Parameters'!$D$28</definedName>
    <definedName name="OHcont_cleaning_yr">'Release Calcs'!$E$16</definedName>
    <definedName name="OHequip">'Release Parameters'!$D$27</definedName>
    <definedName name="OHlab_testing_day">'Release Parameters'!$D$29</definedName>
    <definedName name="OHlab_testing_yr">'Release Calcs'!$E$17</definedName>
    <definedName name="OHpW">#REF!</definedName>
    <definedName name="OHunload_day">'Release Calcs'!$E$14</definedName>
    <definedName name="OHunload_yr">'Release Calcs'!$E$15</definedName>
    <definedName name="OPdays_recalc">'Release Calcs'!$E$7</definedName>
    <definedName name="P">#REF!</definedName>
    <definedName name="Pal_Workbook_GUID" localSheetId="0" hidden="1">"SK39RLEDQA2L46YW8H5SUKN3"</definedName>
    <definedName name="Pal_Workbook_GUID" hidden="1">"QFFA8IQU6YFGRFCXE7L4LIWR"</definedName>
    <definedName name="Pressure_atm">'Release Parameters'!$D$20</definedName>
    <definedName name="Pressure_torr">'Release Parameters'!$D$19</definedName>
    <definedName name="PV">'Release Calcs'!$E$8</definedName>
    <definedName name="Q_chem_day">'Release Calcs'!$E$5</definedName>
    <definedName name="Q_chem_site_day">#REF!</definedName>
    <definedName name="Q_chem_site_yr">#REF!</definedName>
    <definedName name="Q_chem_yr">'Release Calcs'!$E$6</definedName>
    <definedName name="Q_cont">'Release Parameters'!$D$17</definedName>
    <definedName name="Q_FF">#REF!</definedName>
    <definedName name="Q_NF">#REF!</definedName>
    <definedName name="Q_proc_container_load">#REF!</definedName>
    <definedName name="Q_proc_container_unload">#REF!</definedName>
    <definedName name="Q_stock_day">'Release Parameters'!$L$11</definedName>
    <definedName name="Qchem_site_day_recalc">'Release Calcs'!$E$9</definedName>
    <definedName name="Qchem_site_yr_recalc">'Release Calcs'!$E$10</definedName>
    <definedName name="R_">#REF!</definedName>
    <definedName name="r_12DCA">#REF!</definedName>
    <definedName name="R_Ltorr_molK">'Release Parameters'!$D$21</definedName>
    <definedName name="R_NF">#REF!</definedName>
    <definedName name="r_prod">'Release Parameters'!$D$43</definedName>
    <definedName name="Rate_filldrum">#REF!</definedName>
    <definedName name="Rate_fillsmallcont">'Release Parameters'!$D$24</definedName>
    <definedName name="RD">#REF!</definedName>
    <definedName name="RD_RP1">#REF!</definedName>
    <definedName name="RD_RP3">#REF!</definedName>
    <definedName name="RD_RP4">#REF!</definedName>
    <definedName name="RD_RP5">#REF!</definedName>
    <definedName name="Release_Day_Air">'Release Calcs'!$E$32</definedName>
    <definedName name="Release_Day_RP1">'Release Calcs'!$E$18</definedName>
    <definedName name="Release_Day_RP3">'Release Calcs'!$E$20</definedName>
    <definedName name="Release_Day_RP4">'Release Calcs'!$E$22</definedName>
    <definedName name="Release_Day_RP5">'Release Calcs'!$E$24</definedName>
    <definedName name="Release_Day_RP6">'Release Calcs'!$E$26</definedName>
    <definedName name="Release_Day_RP7">'Release Calcs'!$E$28</definedName>
    <definedName name="Release_Day_RP8">'Release Calcs'!$E$30</definedName>
    <definedName name="Release_Day_Wat_Inc_Lan">'Release Calcs'!$E$34</definedName>
    <definedName name="Release_Year_Air">'Release Calcs'!$E$33</definedName>
    <definedName name="Release_Year_RP1">'Release Calcs'!$E$19</definedName>
    <definedName name="Release_Year_RP3">'Release Calcs'!$E$21</definedName>
    <definedName name="Release_Year_RP4">'Release Calcs'!$E$23</definedName>
    <definedName name="Release_Year_RP5">'Release Calcs'!$E$25</definedName>
    <definedName name="Release_Year_RP6">'Release Calcs'!$E$27</definedName>
    <definedName name="Release_Year_RP7">'Release Calcs'!$E$29</definedName>
    <definedName name="Release_Year_RP8">'Release Calcs'!$E$31</definedName>
    <definedName name="Release_Year_Wat_Inc_Lan">'Release Calcs'!$E$35</definedName>
    <definedName name="rho_12DCA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8</definedName>
    <definedName name="RiskMinimizeOnStart" hidden="1">FALSE</definedName>
    <definedName name="RiskMonitorConvergence" hidden="1">FALSE</definedName>
    <definedName name="RiskMultipleCPUSupportEnabled" localSheetId="0" hidden="1">TRUE</definedName>
    <definedName name="RiskMultipleCPUSupportEnabled" hidden="1">FALSE</definedName>
    <definedName name="RiskNumIterations" hidden="1">100000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imulationResultsExternalFilePath" hidden="1">"P:\CEB\ExistingChems\Work Plan Chemicals\2nd Batch\Chlorinated Solvents\Monte Carlo Simulations\1,2-DCA\Laboratory Chemical\1,2-DCA_Laboratory Chem_Monte Carlo Sim_Releases_2024.04.16_SS.RSK5"</definedName>
    <definedName name="RiskSimulationResultsStorageLocation" hidden="1">"3"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localSheetId="0" hidden="1">TRUE</definedName>
    <definedName name="RiskUseMultipleCPUs" hidden="1">FALSE</definedName>
    <definedName name="RY_RP1">#REF!</definedName>
    <definedName name="RY_RP3">#REF!</definedName>
    <definedName name="RY_RP4">#REF!</definedName>
    <definedName name="RY_RP5">#REF!</definedName>
    <definedName name="s_per_hr">'Release Parameters'!$D$38</definedName>
    <definedName name="T">#REF!</definedName>
    <definedName name="t_1">#REF!</definedName>
    <definedName name="t_2">#REF!</definedName>
    <definedName name="t_avg">#REF!</definedName>
    <definedName name="Temp">'Release Parameters'!$D$18</definedName>
    <definedName name="TIME_Operating_Days">'Release Parameters'!$L$10</definedName>
    <definedName name="Total_air">#REF!</definedName>
    <definedName name="Total_lan_inc">#REF!</definedName>
    <definedName name="TWA_24hr">#REF!</definedName>
    <definedName name="TWA_8hr">#REF!</definedName>
    <definedName name="V_ff">#REF!</definedName>
    <definedName name="V_importcont">#REF!</definedName>
    <definedName name="V_NF">#REF!</definedName>
    <definedName name="V_smallcont">#REF!</definedName>
    <definedName name="Ventilation_rate">#REF!</definedName>
    <definedName name="Vm_12DCA">#REF!</definedName>
    <definedName name="VP_12DCA">#REF!</definedName>
    <definedName name="VP_torr">'Release Parameters'!$D$22</definedName>
    <definedName name="Weeks_year">#REF!</definedName>
    <definedName name="what">#REF!</definedName>
    <definedName name="WY">#REF!</definedName>
    <definedName name="WY_50th">#REF!</definedName>
    <definedName name="WY_50th_DC">#REF!</definedName>
    <definedName name="WY_95th">#REF!</definedName>
    <definedName name="WY_95th_DC">#REF!</definedName>
    <definedName name="WY_chronic">#REF!</definedName>
    <definedName name="WY_high">#REF!</definedName>
    <definedName name="WY_mid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" i="12" l="1"/>
  <c r="E7" i="12"/>
  <c r="E53" i="5" l="1" a="1"/>
  <c r="E53" i="5" s="1"/>
  <c r="E54" i="5" a="1"/>
  <c r="E54" i="5" s="1"/>
  <c r="E55" i="5" a="1"/>
  <c r="E55" i="5" s="1"/>
  <c r="E56" i="5" a="1"/>
  <c r="E56" i="5" s="1"/>
  <c r="E57" i="5" a="1"/>
  <c r="E57" i="5" s="1"/>
  <c r="E58" i="5" a="1"/>
  <c r="E58" i="5" s="1"/>
  <c r="E59" i="5" a="1"/>
  <c r="E59" i="5" s="1"/>
  <c r="K9" i="5" a="1"/>
  <c r="K9" i="5" s="1"/>
  <c r="L9" i="5" s="1"/>
  <c r="K6" i="5" a="1"/>
  <c r="K6" i="5" s="1"/>
  <c r="L6" i="5" s="1"/>
  <c r="K7" i="5"/>
  <c r="L7" i="5" s="1"/>
  <c r="F28" i="12"/>
  <c r="Q28" i="12"/>
  <c r="F27" i="12"/>
  <c r="S27" i="12"/>
  <c r="T27" i="12"/>
  <c r="F26" i="12"/>
  <c r="T26" i="12" s="1"/>
  <c r="S26" i="12"/>
  <c r="F25" i="12"/>
  <c r="Q25" i="12" s="1"/>
  <c r="Q29" i="12" s="1"/>
  <c r="F24" i="12"/>
  <c r="T24" i="12"/>
  <c r="F23" i="12"/>
  <c r="Q23" i="12"/>
  <c r="F21" i="12"/>
  <c r="S21" i="12" s="1"/>
  <c r="S29" i="12" s="1"/>
  <c r="T21" i="12"/>
  <c r="T29" i="12" s="1"/>
  <c r="D28" i="12"/>
  <c r="L28" i="12"/>
  <c r="K28" i="12"/>
  <c r="D27" i="12"/>
  <c r="M27" i="12" s="1"/>
  <c r="N27" i="12"/>
  <c r="D26" i="12"/>
  <c r="N26" i="12" s="1"/>
  <c r="M26" i="12"/>
  <c r="D25" i="12"/>
  <c r="K25" i="12" s="1"/>
  <c r="K29" i="12" s="1"/>
  <c r="D24" i="12"/>
  <c r="N24" i="12"/>
  <c r="D23" i="12"/>
  <c r="L23" i="12"/>
  <c r="L29" i="12" s="1"/>
  <c r="D21" i="12"/>
  <c r="N21" i="12" s="1"/>
  <c r="N29" i="12" s="1"/>
  <c r="M21" i="12"/>
  <c r="M29" i="12" s="1"/>
  <c r="F14" i="12"/>
  <c r="R14" i="12"/>
  <c r="F13" i="12"/>
  <c r="S13" i="12"/>
  <c r="T13" i="12"/>
  <c r="F12" i="12"/>
  <c r="S12" i="12" s="1"/>
  <c r="F11" i="12"/>
  <c r="Q11" i="12" s="1"/>
  <c r="R11" i="12"/>
  <c r="F10" i="12"/>
  <c r="T10" i="12" s="1"/>
  <c r="F9" i="12"/>
  <c r="R9" i="12" s="1"/>
  <c r="R15" i="12" s="1"/>
  <c r="Q9" i="12"/>
  <c r="F7" i="12"/>
  <c r="S7" i="12"/>
  <c r="T7" i="12"/>
  <c r="D14" i="12"/>
  <c r="K14" i="12" s="1"/>
  <c r="L14" i="12"/>
  <c r="D13" i="12"/>
  <c r="M13" i="12"/>
  <c r="N13" i="12"/>
  <c r="D12" i="12"/>
  <c r="M12" i="12" s="1"/>
  <c r="D11" i="12"/>
  <c r="L11" i="12" s="1"/>
  <c r="L15" i="12" s="1"/>
  <c r="D10" i="12"/>
  <c r="N10" i="12"/>
  <c r="D9" i="12"/>
  <c r="K9" i="12"/>
  <c r="L9" i="12"/>
  <c r="D7" i="12"/>
  <c r="M7" i="12" s="1"/>
  <c r="N7" i="12"/>
  <c r="C21" i="12"/>
  <c r="C7" i="12"/>
  <c r="A2" i="12"/>
  <c r="E8" i="5"/>
  <c r="G8" i="5"/>
  <c r="H8" i="5"/>
  <c r="E12" i="5"/>
  <c r="G12" i="5"/>
  <c r="H12" i="5"/>
  <c r="I12" i="5"/>
  <c r="D32" i="5"/>
  <c r="C71" i="5"/>
  <c r="B72" i="5"/>
  <c r="B73" i="5"/>
  <c r="M24" i="12"/>
  <c r="M10" i="12"/>
  <c r="K11" i="12"/>
  <c r="K15" i="12" s="1"/>
  <c r="S24" i="12"/>
  <c r="B74" i="5"/>
  <c r="C73" i="5"/>
  <c r="C72" i="5"/>
  <c r="L25" i="12"/>
  <c r="K23" i="12"/>
  <c r="R23" i="12"/>
  <c r="Q14" i="12"/>
  <c r="S10" i="12"/>
  <c r="R28" i="12"/>
  <c r="C74" i="5"/>
  <c r="B75" i="5"/>
  <c r="C75" i="5"/>
  <c r="B76" i="5"/>
  <c r="C76" i="5"/>
  <c r="B77" i="5"/>
  <c r="B78" i="5"/>
  <c r="C77" i="5"/>
  <c r="C78" i="5"/>
  <c r="B79" i="5"/>
  <c r="C79" i="5"/>
  <c r="B80" i="5"/>
  <c r="C80" i="5"/>
  <c r="B81" i="5"/>
  <c r="C81" i="5"/>
  <c r="B82" i="5"/>
  <c r="C82" i="5"/>
  <c r="B83" i="5"/>
  <c r="B84" i="5"/>
  <c r="C83" i="5"/>
  <c r="C84" i="5"/>
  <c r="B85" i="5"/>
  <c r="B86" i="5"/>
  <c r="C85" i="5"/>
  <c r="B87" i="5"/>
  <c r="C86" i="5"/>
  <c r="C87" i="5"/>
  <c r="B88" i="5"/>
  <c r="C88" i="5"/>
  <c r="B89" i="5"/>
  <c r="B90" i="5"/>
  <c r="C89" i="5"/>
  <c r="C90" i="5"/>
  <c r="B91" i="5"/>
  <c r="B92" i="5"/>
  <c r="C91" i="5"/>
  <c r="C92" i="5"/>
  <c r="B93" i="5"/>
  <c r="B94" i="5"/>
  <c r="C93" i="5"/>
  <c r="C94" i="5"/>
  <c r="B95" i="5"/>
  <c r="C95" i="5"/>
  <c r="B96" i="5"/>
  <c r="B97" i="5"/>
  <c r="C96" i="5"/>
  <c r="C97" i="5"/>
  <c r="B98" i="5"/>
  <c r="C98" i="5"/>
  <c r="B99" i="5"/>
  <c r="B100" i="5"/>
  <c r="C99" i="5"/>
  <c r="B101" i="5"/>
  <c r="C100" i="5"/>
  <c r="B102" i="5"/>
  <c r="C101" i="5"/>
  <c r="C102" i="5"/>
  <c r="B103" i="5"/>
  <c r="C103" i="5"/>
  <c r="B104" i="5"/>
  <c r="C104" i="5"/>
  <c r="B105" i="5"/>
  <c r="B106" i="5"/>
  <c r="C105" i="5"/>
  <c r="C106" i="5"/>
  <c r="B107" i="5"/>
  <c r="C107" i="5"/>
  <c r="B108" i="5"/>
  <c r="B109" i="5"/>
  <c r="C108" i="5"/>
  <c r="B110" i="5"/>
  <c r="C109" i="5"/>
  <c r="C110" i="5"/>
  <c r="B111" i="5"/>
  <c r="B112" i="5"/>
  <c r="C111" i="5"/>
  <c r="B113" i="5"/>
  <c r="C112" i="5"/>
  <c r="B114" i="5"/>
  <c r="C113" i="5"/>
  <c r="C114" i="5"/>
  <c r="B115" i="5"/>
  <c r="B116" i="5"/>
  <c r="C115" i="5"/>
  <c r="B117" i="5"/>
  <c r="C116" i="5"/>
  <c r="B118" i="5"/>
  <c r="C117" i="5"/>
  <c r="C118" i="5"/>
  <c r="B119" i="5"/>
  <c r="B120" i="5"/>
  <c r="C119" i="5"/>
  <c r="C120" i="5"/>
  <c r="B121" i="5"/>
  <c r="C121" i="5"/>
  <c r="B122" i="5"/>
  <c r="B123" i="5"/>
  <c r="C122" i="5"/>
  <c r="B124" i="5"/>
  <c r="C123" i="5"/>
  <c r="C124" i="5"/>
  <c r="B125" i="5"/>
  <c r="B126" i="5"/>
  <c r="C125" i="5"/>
  <c r="B127" i="5"/>
  <c r="C126" i="5"/>
  <c r="B128" i="5"/>
  <c r="C127" i="5"/>
  <c r="C128" i="5"/>
  <c r="B129" i="5"/>
  <c r="B130" i="5"/>
  <c r="C129" i="5"/>
  <c r="C130" i="5"/>
  <c r="B131" i="5"/>
  <c r="C131" i="5"/>
  <c r="B132" i="5"/>
  <c r="B133" i="5"/>
  <c r="C132" i="5"/>
  <c r="B134" i="5"/>
  <c r="C133" i="5"/>
  <c r="B135" i="5"/>
  <c r="C134" i="5"/>
  <c r="C135" i="5"/>
  <c r="B136" i="5"/>
  <c r="C136" i="5"/>
  <c r="B137" i="5"/>
  <c r="B138" i="5"/>
  <c r="C137" i="5"/>
  <c r="B139" i="5"/>
  <c r="C138" i="5"/>
  <c r="B140" i="5"/>
  <c r="C139" i="5"/>
  <c r="C140" i="5"/>
  <c r="B141" i="5"/>
  <c r="B142" i="5"/>
  <c r="C141" i="5"/>
  <c r="B143" i="5"/>
  <c r="C142" i="5"/>
  <c r="B144" i="5"/>
  <c r="C143" i="5"/>
  <c r="B145" i="5"/>
  <c r="C144" i="5"/>
  <c r="C145" i="5"/>
  <c r="B146" i="5"/>
  <c r="B147" i="5"/>
  <c r="C146" i="5"/>
  <c r="C147" i="5"/>
  <c r="B148" i="5"/>
  <c r="C148" i="5"/>
  <c r="B149" i="5"/>
  <c r="B150" i="5"/>
  <c r="C149" i="5"/>
  <c r="B151" i="5"/>
  <c r="C150" i="5"/>
  <c r="B152" i="5"/>
  <c r="C151" i="5"/>
  <c r="B153" i="5"/>
  <c r="C152" i="5"/>
  <c r="B154" i="5"/>
  <c r="C153" i="5"/>
  <c r="C154" i="5"/>
  <c r="B155" i="5"/>
  <c r="B156" i="5"/>
  <c r="C155" i="5"/>
  <c r="C156" i="5"/>
  <c r="B157" i="5"/>
  <c r="B158" i="5"/>
  <c r="C157" i="5"/>
  <c r="B159" i="5"/>
  <c r="C158" i="5"/>
  <c r="D71" i="5"/>
  <c r="C159" i="5"/>
  <c r="H53" i="7" a="1"/>
  <c r="I23" i="7" a="1"/>
  <c r="H55" i="7" a="1"/>
  <c r="E51" i="5" a="1"/>
  <c r="I21" i="7" a="1"/>
  <c r="G58" i="7" a="1"/>
  <c r="H52" i="7" a="1"/>
  <c r="E45" i="5" a="1"/>
  <c r="G57" i="7" a="1"/>
  <c r="G55" i="7" a="1"/>
  <c r="I25" i="7" a="1"/>
  <c r="K13" i="5" a="1"/>
  <c r="G52" i="7" a="1"/>
  <c r="I19" i="7" a="1"/>
  <c r="E49" i="5" a="1"/>
  <c r="G53" i="7" a="1"/>
  <c r="H57" i="7" a="1"/>
  <c r="I20" i="7" a="1"/>
  <c r="H56" i="7" a="1"/>
  <c r="E48" i="5" a="1"/>
  <c r="E50" i="5" a="1"/>
  <c r="K10" i="5" a="1"/>
  <c r="H58" i="7" a="1"/>
  <c r="G54" i="7" a="1"/>
  <c r="K11" i="5" a="1"/>
  <c r="H54" i="7" a="1"/>
  <c r="E46" i="5" a="1"/>
  <c r="I22" i="7" a="1"/>
  <c r="I24" i="7" a="1"/>
  <c r="G56" i="7" a="1"/>
  <c r="E47" i="5" a="1"/>
  <c r="M15" i="12" l="1"/>
  <c r="N12" i="12"/>
  <c r="N15" i="12" s="1"/>
  <c r="S15" i="12"/>
  <c r="Q15" i="12"/>
  <c r="R29" i="12"/>
  <c r="T15" i="12"/>
  <c r="T12" i="12"/>
  <c r="R25" i="12"/>
  <c r="K11" i="5"/>
  <c r="L11" i="5" s="1"/>
  <c r="E47" i="5"/>
  <c r="E48" i="5"/>
  <c r="K13" i="5"/>
  <c r="L13" i="5" s="1"/>
  <c r="E45" i="5"/>
  <c r="D43" i="5" s="1" a="1"/>
  <c r="E51" i="5"/>
  <c r="E46" i="5"/>
  <c r="I20" i="7"/>
  <c r="G53" i="7"/>
  <c r="G56" i="7"/>
  <c r="I19" i="7"/>
  <c r="I25" i="7"/>
  <c r="H52" i="7"/>
  <c r="H55" i="7"/>
  <c r="H58" i="7"/>
  <c r="K10" i="5"/>
  <c r="E50" i="5"/>
  <c r="I24" i="7"/>
  <c r="G52" i="7"/>
  <c r="G55" i="7"/>
  <c r="G58" i="7"/>
  <c r="I23" i="7"/>
  <c r="H54" i="7"/>
  <c r="H57" i="7"/>
  <c r="E49" i="5"/>
  <c r="I22" i="7"/>
  <c r="G54" i="7"/>
  <c r="G57" i="7"/>
  <c r="I21" i="7"/>
  <c r="H53" i="7"/>
  <c r="H56" i="7"/>
  <c r="K8" i="5"/>
  <c r="L8" i="5" s="1"/>
  <c r="L12" i="7" a="1"/>
  <c r="L10" i="7" a="1"/>
  <c r="L16" i="7" a="1"/>
  <c r="L15" i="7" a="1"/>
  <c r="L14" i="7" a="1"/>
  <c r="L13" i="7" a="1"/>
  <c r="L11" i="7" a="1"/>
  <c r="D43" i="5" l="1"/>
  <c r="L14" i="7"/>
  <c r="L15" i="7"/>
  <c r="L16" i="7"/>
  <c r="L10" i="7"/>
  <c r="L11" i="7"/>
  <c r="L12" i="7"/>
  <c r="L13" i="7"/>
  <c r="L10" i="5"/>
  <c r="L12" i="5" s="1"/>
  <c r="K12" i="5"/>
  <c r="D42" i="5" a="1"/>
  <c r="E13" i="6" l="1"/>
  <c r="D42" i="5"/>
  <c r="E5" i="6" s="1"/>
  <c r="I10" i="7" a="1"/>
  <c r="I14" i="7" a="1"/>
  <c r="I16" i="7" a="1"/>
  <c r="I12" i="7" a="1"/>
  <c r="I13" i="7" a="1"/>
  <c r="I15" i="7" a="1"/>
  <c r="I11" i="7" a="1"/>
  <c r="I11" i="7" l="1"/>
  <c r="I15" i="7"/>
  <c r="I13" i="7"/>
  <c r="I12" i="7"/>
  <c r="I16" i="7"/>
  <c r="I14" i="7"/>
  <c r="I10" i="7"/>
  <c r="E6" i="6"/>
  <c r="E8" i="6" s="1"/>
  <c r="E24" i="6" a="1"/>
  <c r="E28" i="6" a="1"/>
  <c r="E20" i="6" a="1"/>
  <c r="F10" i="7" a="1"/>
  <c r="F12" i="7" a="1"/>
  <c r="F11" i="7" a="1"/>
  <c r="F13" i="7" a="1"/>
  <c r="F14" i="7" a="1"/>
  <c r="F15" i="7" a="1"/>
  <c r="F16" i="7" a="1"/>
  <c r="E26" i="6" a="1"/>
  <c r="E26" i="6" l="1"/>
  <c r="F16" i="7"/>
  <c r="F15" i="7"/>
  <c r="F14" i="7"/>
  <c r="F13" i="7"/>
  <c r="F11" i="7"/>
  <c r="F12" i="7"/>
  <c r="F10" i="7"/>
  <c r="E20" i="6"/>
  <c r="E28" i="6"/>
  <c r="E24" i="6"/>
  <c r="E7" i="6"/>
  <c r="E16" i="6" s="1"/>
  <c r="E10" i="6"/>
  <c r="E11" i="6" s="1"/>
  <c r="G49" i="7" a="1"/>
  <c r="G46" i="7" a="1"/>
  <c r="G43" i="7" a="1"/>
  <c r="G48" i="7" a="1"/>
  <c r="G44" i="7" a="1"/>
  <c r="G47" i="7" a="1"/>
  <c r="G45" i="7" a="1"/>
  <c r="D44" i="7" a="1"/>
  <c r="D49" i="7" a="1"/>
  <c r="D43" i="7" a="1"/>
  <c r="D45" i="7" a="1"/>
  <c r="D48" i="7" a="1"/>
  <c r="D47" i="7" a="1"/>
  <c r="D46" i="7" a="1"/>
  <c r="H46" i="7" a="1"/>
  <c r="H49" i="7" a="1"/>
  <c r="H44" i="7" a="1"/>
  <c r="H43" i="7" a="1"/>
  <c r="H48" i="7" a="1"/>
  <c r="H47" i="7" a="1"/>
  <c r="H45" i="7" a="1"/>
  <c r="G67" i="7" a="1"/>
  <c r="F45" i="7" a="1"/>
  <c r="F44" i="7" a="1"/>
  <c r="F49" i="7" a="1"/>
  <c r="F46" i="7" a="1"/>
  <c r="F43" i="7" a="1"/>
  <c r="F48" i="7" a="1"/>
  <c r="F47" i="7" a="1"/>
  <c r="L21" i="7" a="1"/>
  <c r="G63" i="7" a="1"/>
  <c r="F25" i="7" a="1"/>
  <c r="F20" i="7" a="1"/>
  <c r="F21" i="7" a="1"/>
  <c r="F22" i="7" a="1"/>
  <c r="F23" i="7" a="1"/>
  <c r="F24" i="7" a="1"/>
  <c r="F19" i="7" a="1"/>
  <c r="L20" i="7" a="1"/>
  <c r="G66" i="7" a="1"/>
  <c r="L24" i="7" a="1"/>
  <c r="L23" i="7" a="1"/>
  <c r="G64" i="7" a="1"/>
  <c r="L19" i="7" a="1"/>
  <c r="G62" i="7" a="1"/>
  <c r="G65" i="7" a="1"/>
  <c r="G61" i="7" a="1"/>
  <c r="L22" i="7" a="1"/>
  <c r="L25" i="7" a="1"/>
  <c r="E21" i="6" l="1" a="1"/>
  <c r="E21" i="6" s="1"/>
  <c r="E27" i="6" a="1"/>
  <c r="E27" i="6" s="1"/>
  <c r="E22" i="6" a="1"/>
  <c r="E22" i="6" s="1"/>
  <c r="E23" i="6" s="1" a="1"/>
  <c r="E25" i="6" a="1"/>
  <c r="E25" i="6" s="1"/>
  <c r="E29" i="6" a="1"/>
  <c r="E29" i="6" s="1"/>
  <c r="E17" i="6"/>
  <c r="F19" i="7"/>
  <c r="F24" i="7"/>
  <c r="F23" i="7"/>
  <c r="F22" i="7"/>
  <c r="F21" i="7"/>
  <c r="F20" i="7"/>
  <c r="F25" i="7"/>
  <c r="F47" i="7"/>
  <c r="F48" i="7"/>
  <c r="F43" i="7"/>
  <c r="F46" i="7"/>
  <c r="F49" i="7"/>
  <c r="F44" i="7"/>
  <c r="F45" i="7"/>
  <c r="H45" i="7"/>
  <c r="H47" i="7"/>
  <c r="H48" i="7"/>
  <c r="H43" i="7"/>
  <c r="H44" i="7"/>
  <c r="H49" i="7"/>
  <c r="H46" i="7"/>
  <c r="D46" i="7"/>
  <c r="D47" i="7"/>
  <c r="D48" i="7"/>
  <c r="D45" i="7"/>
  <c r="D43" i="7"/>
  <c r="D49" i="7"/>
  <c r="D44" i="7"/>
  <c r="G45" i="7"/>
  <c r="G47" i="7"/>
  <c r="G44" i="7"/>
  <c r="G48" i="7"/>
  <c r="G43" i="7"/>
  <c r="G46" i="7"/>
  <c r="G49" i="7"/>
  <c r="E9" i="6"/>
  <c r="E12" i="6" s="1"/>
  <c r="E14" i="6" s="1"/>
  <c r="G65" i="7"/>
  <c r="G62" i="7"/>
  <c r="G66" i="7"/>
  <c r="G63" i="7"/>
  <c r="G67" i="7"/>
  <c r="G64" i="7"/>
  <c r="G61" i="7"/>
  <c r="L22" i="7"/>
  <c r="L23" i="7"/>
  <c r="L24" i="7"/>
  <c r="L25" i="7"/>
  <c r="L19" i="7"/>
  <c r="L20" i="7"/>
  <c r="L21" i="7"/>
  <c r="H67" i="7" a="1"/>
  <c r="H62" i="7" a="1"/>
  <c r="H61" i="7" a="1"/>
  <c r="H66" i="7" a="1"/>
  <c r="H63" i="7" a="1"/>
  <c r="H64" i="7" a="1"/>
  <c r="H65" i="7" a="1"/>
  <c r="G37" i="7" a="1"/>
  <c r="G36" i="7" a="1"/>
  <c r="G35" i="7" a="1"/>
  <c r="G34" i="7" a="1"/>
  <c r="G39" i="7" a="1"/>
  <c r="G38" i="7" a="1"/>
  <c r="G40" i="7" a="1"/>
  <c r="E46" i="7" a="1"/>
  <c r="D40" i="7" a="1"/>
  <c r="D37" i="7" a="1"/>
  <c r="D39" i="7" a="1"/>
  <c r="D34" i="7" a="1"/>
  <c r="D36" i="7" a="1"/>
  <c r="D38" i="7" a="1"/>
  <c r="D35" i="7" a="1"/>
  <c r="E47" i="7" a="1"/>
  <c r="B58" i="7" a="1"/>
  <c r="B52" i="7" a="1"/>
  <c r="E58" i="7" a="1"/>
  <c r="E55" i="7" a="1"/>
  <c r="B56" i="7" a="1"/>
  <c r="E52" i="7" a="1"/>
  <c r="B57" i="7" a="1"/>
  <c r="B54" i="7" a="1"/>
  <c r="E54" i="7" a="1"/>
  <c r="E56" i="7" a="1"/>
  <c r="E53" i="7" a="1"/>
  <c r="B53" i="7" a="1"/>
  <c r="E57" i="7" a="1"/>
  <c r="B55" i="7" a="1"/>
  <c r="H38" i="7" a="1"/>
  <c r="H36" i="7" a="1"/>
  <c r="H35" i="7" a="1"/>
  <c r="H40" i="7" a="1"/>
  <c r="H37" i="7" a="1"/>
  <c r="H34" i="7" a="1"/>
  <c r="H39" i="7" a="1"/>
  <c r="E48" i="7" a="1"/>
  <c r="E44" i="7" a="1"/>
  <c r="F38" i="7" a="1"/>
  <c r="F37" i="7" a="1"/>
  <c r="F34" i="7" a="1"/>
  <c r="F36" i="7" a="1"/>
  <c r="F39" i="7" a="1"/>
  <c r="F35" i="7" a="1"/>
  <c r="F40" i="7" a="1"/>
  <c r="E18" i="6" a="1"/>
  <c r="E43" i="7" a="1"/>
  <c r="E49" i="7" a="1"/>
  <c r="E45" i="7" a="1"/>
  <c r="H65" i="7" l="1"/>
  <c r="H64" i="7"/>
  <c r="H63" i="7"/>
  <c r="H66" i="7"/>
  <c r="H61" i="7"/>
  <c r="H62" i="7"/>
  <c r="H67" i="7"/>
  <c r="E18" i="6"/>
  <c r="E19" i="6" s="1" a="1"/>
  <c r="F40" i="7"/>
  <c r="F35" i="7"/>
  <c r="F39" i="7"/>
  <c r="F36" i="7"/>
  <c r="F34" i="7"/>
  <c r="F37" i="7"/>
  <c r="F38" i="7"/>
  <c r="H39" i="7"/>
  <c r="H34" i="7"/>
  <c r="H37" i="7"/>
  <c r="H40" i="7"/>
  <c r="H35" i="7"/>
  <c r="H36" i="7"/>
  <c r="H38" i="7"/>
  <c r="B55" i="7"/>
  <c r="E57" i="7"/>
  <c r="B53" i="7"/>
  <c r="E53" i="7"/>
  <c r="E56" i="7"/>
  <c r="E54" i="7"/>
  <c r="B54" i="7"/>
  <c r="B57" i="7"/>
  <c r="E52" i="7"/>
  <c r="B56" i="7"/>
  <c r="E55" i="7"/>
  <c r="E58" i="7"/>
  <c r="B52" i="7"/>
  <c r="B58" i="7"/>
  <c r="D35" i="7"/>
  <c r="D38" i="7"/>
  <c r="D36" i="7"/>
  <c r="D34" i="7"/>
  <c r="D39" i="7"/>
  <c r="D37" i="7"/>
  <c r="D40" i="7"/>
  <c r="G40" i="7"/>
  <c r="G38" i="7"/>
  <c r="G39" i="7"/>
  <c r="G34" i="7"/>
  <c r="G35" i="7"/>
  <c r="G36" i="7"/>
  <c r="G37" i="7"/>
  <c r="E15" i="6"/>
  <c r="E45" i="7"/>
  <c r="E23" i="6"/>
  <c r="E44" i="7"/>
  <c r="E49" i="7"/>
  <c r="E43" i="7"/>
  <c r="E48" i="7"/>
  <c r="E47" i="7"/>
  <c r="E46" i="7"/>
  <c r="E37" i="7" a="1"/>
  <c r="E38" i="7" a="1"/>
  <c r="E34" i="7" a="1"/>
  <c r="E40" i="7" a="1"/>
  <c r="B66" i="7" a="1"/>
  <c r="E65" i="7" a="1"/>
  <c r="E63" i="7" a="1"/>
  <c r="B64" i="7" a="1"/>
  <c r="B61" i="7" a="1"/>
  <c r="E62" i="7" a="1"/>
  <c r="B67" i="7" a="1"/>
  <c r="E67" i="7" a="1"/>
  <c r="B65" i="7" a="1"/>
  <c r="B63" i="7" a="1"/>
  <c r="E64" i="7" a="1"/>
  <c r="B62" i="7" a="1"/>
  <c r="E61" i="7" a="1"/>
  <c r="E66" i="7" a="1"/>
  <c r="E39" i="7" a="1"/>
  <c r="E36" i="7" a="1"/>
  <c r="E30" i="6" a="1"/>
  <c r="E35" i="7" a="1"/>
  <c r="B44" i="7" a="1"/>
  <c r="B43" i="7" a="1"/>
  <c r="B48" i="7" a="1"/>
  <c r="B47" i="7" a="1"/>
  <c r="B49" i="7" a="1"/>
  <c r="B46" i="7" a="1"/>
  <c r="B45" i="7" a="1"/>
  <c r="E19" i="6" l="1"/>
  <c r="B45" i="7"/>
  <c r="B46" i="7"/>
  <c r="B49" i="7"/>
  <c r="B47" i="7"/>
  <c r="B48" i="7"/>
  <c r="B43" i="7"/>
  <c r="B44" i="7"/>
  <c r="E30" i="6"/>
  <c r="E66" i="7"/>
  <c r="E61" i="7"/>
  <c r="B62" i="7"/>
  <c r="E64" i="7"/>
  <c r="B63" i="7"/>
  <c r="B65" i="7"/>
  <c r="E67" i="7"/>
  <c r="B67" i="7"/>
  <c r="E62" i="7"/>
  <c r="B61" i="7"/>
  <c r="B64" i="7"/>
  <c r="E63" i="7"/>
  <c r="E65" i="7"/>
  <c r="B66" i="7"/>
  <c r="E32" i="6"/>
  <c r="E37" i="7"/>
  <c r="E36" i="7"/>
  <c r="E35" i="7"/>
  <c r="E40" i="7"/>
  <c r="E34" i="7"/>
  <c r="E39" i="7"/>
  <c r="E38" i="7"/>
  <c r="B40" i="7" a="1"/>
  <c r="B38" i="7" a="1"/>
  <c r="B39" i="7" a="1"/>
  <c r="B34" i="7" a="1"/>
  <c r="B37" i="7" a="1"/>
  <c r="B36" i="7" a="1"/>
  <c r="B35" i="7" a="1"/>
  <c r="I43" i="7" a="1"/>
  <c r="I46" i="7" a="1"/>
  <c r="I48" i="7" a="1"/>
  <c r="I47" i="7" a="1"/>
  <c r="I49" i="7" a="1"/>
  <c r="I45" i="7" a="1"/>
  <c r="I44" i="7" a="1"/>
  <c r="B25" i="7" a="1"/>
  <c r="B22" i="7" a="1"/>
  <c r="B19" i="7" a="1"/>
  <c r="B20" i="7" a="1"/>
  <c r="B21" i="7" a="1"/>
  <c r="B23" i="7" a="1"/>
  <c r="B24" i="7" a="1"/>
  <c r="B24" i="7" l="1"/>
  <c r="B23" i="7"/>
  <c r="B21" i="7"/>
  <c r="B20" i="7"/>
  <c r="B19" i="7"/>
  <c r="B22" i="7"/>
  <c r="B25" i="7"/>
  <c r="I44" i="7"/>
  <c r="I45" i="7"/>
  <c r="I49" i="7"/>
  <c r="I47" i="7"/>
  <c r="I48" i="7"/>
  <c r="I46" i="7"/>
  <c r="I43" i="7"/>
  <c r="B35" i="7"/>
  <c r="B36" i="7"/>
  <c r="B37" i="7"/>
  <c r="B34" i="7"/>
  <c r="B39" i="7"/>
  <c r="B38" i="7"/>
  <c r="B40" i="7"/>
  <c r="E33" i="6"/>
  <c r="E34" i="6"/>
  <c r="E35" i="6" s="1"/>
  <c r="C13" i="7" a="1"/>
  <c r="C12" i="7" a="1"/>
  <c r="C11" i="7" a="1"/>
  <c r="C16" i="7" a="1"/>
  <c r="B11" i="7" a="1"/>
  <c r="B12" i="7" a="1"/>
  <c r="B16" i="7" a="1"/>
  <c r="B10" i="7" a="1"/>
  <c r="B13" i="7" a="1"/>
  <c r="B14" i="7" a="1"/>
  <c r="B15" i="7" a="1"/>
  <c r="C24" i="7" a="1"/>
  <c r="C25" i="7" a="1"/>
  <c r="C21" i="7" a="1"/>
  <c r="C22" i="7" a="1"/>
  <c r="C23" i="7" a="1"/>
  <c r="C19" i="7" a="1"/>
  <c r="C20" i="7" a="1"/>
  <c r="C10" i="7" a="1"/>
  <c r="C15" i="7" a="1"/>
  <c r="C14" i="7" a="1"/>
  <c r="E31" i="6" a="1"/>
  <c r="E31" i="6" l="1"/>
  <c r="C20" i="7"/>
  <c r="C19" i="7"/>
  <c r="C23" i="7"/>
  <c r="C22" i="7"/>
  <c r="C21" i="7"/>
  <c r="C25" i="7"/>
  <c r="C24" i="7"/>
  <c r="B15" i="7"/>
  <c r="B14" i="7"/>
  <c r="B13" i="7"/>
  <c r="B10" i="7"/>
  <c r="B16" i="7"/>
  <c r="B12" i="7"/>
  <c r="B11" i="7"/>
  <c r="C16" i="7"/>
  <c r="C10" i="7"/>
  <c r="C11" i="7"/>
  <c r="C12" i="7"/>
  <c r="C13" i="7"/>
  <c r="C14" i="7"/>
  <c r="C15" i="7"/>
  <c r="I38" i="7" a="1"/>
  <c r="I37" i="7" a="1"/>
  <c r="I39" i="7" a="1"/>
  <c r="I36" i="7" a="1"/>
  <c r="I35" i="7" a="1"/>
  <c r="I40" i="7" a="1"/>
  <c r="I34" i="7" a="1"/>
  <c r="I34" i="7" l="1"/>
  <c r="I40" i="7"/>
  <c r="I35" i="7"/>
  <c r="I36" i="7"/>
  <c r="I39" i="7"/>
  <c r="I37" i="7"/>
  <c r="I38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<sst xmlns="http://schemas.openxmlformats.org/spreadsheetml/2006/main" count="970" uniqueCount="427">
  <si>
    <t>Instructions for Using this Spreadsheet</t>
  </si>
  <si>
    <t>Table of Contents</t>
  </si>
  <si>
    <t>Worksheet</t>
  </si>
  <si>
    <t>Description</t>
  </si>
  <si>
    <t>Instructions (this worksheet)</t>
  </si>
  <si>
    <t>Provides instructions to the user on the use of this spreadsheet</t>
  </si>
  <si>
    <t>Release Point Summary</t>
  </si>
  <si>
    <t>Summarizes the Release Points and associated parameters used to calculate the amount of annual release from each Release Point</t>
  </si>
  <si>
    <t>Product Selector Data</t>
  </si>
  <si>
    <t>Release Parameters</t>
  </si>
  <si>
    <t>A list of parameters for the release calculations. Allows an advanced user to select between performing a deterministic or Monte Carlo simulation. Monte Carlo formulas on this worksheet are based on the Monte Carlo simulator @Risk. Certain cells will appear with the "#NAME?" error indicator if a user does not have the program @Risk. The user must not alter parameters in this worksheet. Turn Monte Carlo "Off" using the toggle at the top of the sheet to view deterministic calculations (@Risk not needed for this).</t>
  </si>
  <si>
    <t>Release Calcs</t>
  </si>
  <si>
    <t>Performs the release calculations. This worksheet contains @Risk formulas to capture results during a Monte Carlo simulation iteration. Certain cells will appear with the "#NAME?" error indicator if a user does not have the program @Risk. The user must not alter this worksheet.</t>
  </si>
  <si>
    <t>Release Results</t>
  </si>
  <si>
    <t>Provides the release results for the baseline scenario from the Monte Carlo simulation. The user must not alter this worksheet.</t>
  </si>
  <si>
    <t>Scenario 1_Static</t>
  </si>
  <si>
    <t>Scenario 1: Nsites = 1
Provides static release results from running the simulation with the specified parameters for the given scenario. @Risk not needed to view.</t>
  </si>
  <si>
    <t>General Notes/Assumptions</t>
  </si>
  <si>
    <t>The GS assumes a working duration range of 8-12 hours per day which provides a range of 174-260 operating days per year for laboratory chemical use. ERG proposes using a triangular distribution for determining the number of operating days using the low and high-ends from the GS and setting the mode equal to the 'default' value of 260 days/yr which corresponds to the high-end value.</t>
  </si>
  <si>
    <t>Release Summary - 50th and 95th Percentile estimates</t>
  </si>
  <si>
    <t>50th Percentile</t>
  </si>
  <si>
    <t>Release Source</t>
  </si>
  <si>
    <t>Number of Sites</t>
  </si>
  <si>
    <t>Daily Release (kg/site-day)</t>
  </si>
  <si>
    <t>Days per Year</t>
  </si>
  <si>
    <t>Annual Release (kg/site-yr)</t>
  </si>
  <si>
    <t>Release Duration (hr/day)</t>
  </si>
  <si>
    <t>Release Pattern</t>
  </si>
  <si>
    <t>Daily Release Estimate by Media (kg/site-day)</t>
  </si>
  <si>
    <t>Annual Release Estimate by Media (kg/site-yr)</t>
  </si>
  <si>
    <t>Media of Release</t>
  </si>
  <si>
    <t>Water (Direct)</t>
  </si>
  <si>
    <t>Water (Indirect)</t>
  </si>
  <si>
    <t>Hazardous Waste Incineration</t>
  </si>
  <si>
    <t>Hazardous Waste Landfill</t>
  </si>
  <si>
    <t>Stack Air</t>
  </si>
  <si>
    <t>Fugitive Air</t>
  </si>
  <si>
    <t>1. Transfer Operation Losses during Unloading Liquid Chemicals</t>
  </si>
  <si>
    <t>Fugitive or Stack Air</t>
  </si>
  <si>
    <t>mean: 3.87E-02 
range: 1.50E-04 to 8.27E-02</t>
  </si>
  <si>
    <t>unknown - see operating days</t>
  </si>
  <si>
    <t>2. Transfer Operation Losses from Unloading Solid Chemicals</t>
  </si>
  <si>
    <t>N/A</t>
  </si>
  <si>
    <t>n/a</t>
  </si>
  <si>
    <t>3. Container Residue Losses</t>
  </si>
  <si>
    <t>Hazardous Waste Landfill or Hazardous Waste Incineration*</t>
  </si>
  <si>
    <t>4. Open Surface Losses During Container Cleaning</t>
  </si>
  <si>
    <t>5. Equipment Cleaning Losses</t>
  </si>
  <si>
    <t>6. Open Surface Losses during Equipment Cleaning</t>
  </si>
  <si>
    <t>7. Release during Laboratory Analyses</t>
  </si>
  <si>
    <t>8. Release from Disposal of Laboratory Waste</t>
  </si>
  <si>
    <t>Total Releases by Media:</t>
  </si>
  <si>
    <t/>
  </si>
  <si>
    <t>95th Percentile</t>
  </si>
  <si>
    <t>Parameter Definition</t>
  </si>
  <si>
    <t>Release Points (from ESD/GS)</t>
  </si>
  <si>
    <t>General Calculated Parameters</t>
  </si>
  <si>
    <t>Possible Parameters</t>
  </si>
  <si>
    <t>Variable</t>
  </si>
  <si>
    <t>Release Point</t>
  </si>
  <si>
    <t>Annual Throughput of 1,2-DCA (kg/site-yr)</t>
  </si>
  <si>
    <t>Daily Throughput of 1,2-DCA
(kg/site-day)</t>
  </si>
  <si>
    <t>Number of Use Sites
(sites)</t>
  </si>
  <si>
    <t>Number of Transport Containers Unloaded Annually per Laboratory (container/site-yr)</t>
  </si>
  <si>
    <t>Expected/Conservative Release Media</t>
  </si>
  <si>
    <t>Air</t>
  </si>
  <si>
    <t>Hazardous Landfill or Incineration</t>
  </si>
  <si>
    <t>Daily Throughput of 1,2-DCA</t>
  </si>
  <si>
    <r>
      <t>Q</t>
    </r>
    <r>
      <rPr>
        <vertAlign val="subscript"/>
        <sz val="11"/>
        <color theme="1"/>
        <rFont val="Calibri"/>
        <family val="2"/>
        <scheme val="minor"/>
      </rPr>
      <t>chem_site_day</t>
    </r>
  </si>
  <si>
    <t>Daily Throughput of Stock Solutions (mL/site-day)</t>
  </si>
  <si>
    <r>
      <t>Q</t>
    </r>
    <r>
      <rPr>
        <vertAlign val="subscript"/>
        <sz val="11"/>
        <color theme="1"/>
        <rFont val="Calibri"/>
        <family val="2"/>
        <scheme val="minor"/>
      </rPr>
      <t>stock_site_day</t>
    </r>
  </si>
  <si>
    <t>Production Volume</t>
  </si>
  <si>
    <t>PV</t>
  </si>
  <si>
    <t>Annual Throughput of 1,2-DCA</t>
  </si>
  <si>
    <r>
      <t>Q</t>
    </r>
    <r>
      <rPr>
        <vertAlign val="subscript"/>
        <sz val="11"/>
        <color theme="1"/>
        <rFont val="Calibri"/>
        <family val="2"/>
        <scheme val="minor"/>
      </rPr>
      <t>chem_site_yr</t>
    </r>
  </si>
  <si>
    <t>Input Parameters:</t>
  </si>
  <si>
    <t>Saturation Factor Unloading</t>
  </si>
  <si>
    <r>
      <t>F</t>
    </r>
    <r>
      <rPr>
        <vertAlign val="subscript"/>
        <sz val="11"/>
        <color theme="1"/>
        <rFont val="Calibri"/>
        <family val="2"/>
        <scheme val="minor"/>
      </rPr>
      <t>saturation_unloading</t>
    </r>
  </si>
  <si>
    <t>Product Container Volume</t>
  </si>
  <si>
    <r>
      <t>Q</t>
    </r>
    <r>
      <rPr>
        <vertAlign val="subscript"/>
        <sz val="11"/>
        <color theme="1"/>
        <rFont val="Calibri"/>
        <family val="2"/>
        <scheme val="minor"/>
      </rPr>
      <t>cont</t>
    </r>
  </si>
  <si>
    <t>Diameter of Opening for Container</t>
  </si>
  <si>
    <r>
      <t>D</t>
    </r>
    <r>
      <rPr>
        <vertAlign val="subscript"/>
        <sz val="11"/>
        <color theme="1"/>
        <rFont val="Calibri"/>
        <family val="2"/>
        <scheme val="minor"/>
      </rPr>
      <t>container</t>
    </r>
  </si>
  <si>
    <t>Daily Use Rate</t>
  </si>
  <si>
    <t>Diameter of Opening for Equipment Cleaning</t>
  </si>
  <si>
    <t>Diameter of Opening for lab equipment</t>
  </si>
  <si>
    <r>
      <t>D</t>
    </r>
    <r>
      <rPr>
        <vertAlign val="subscript"/>
        <sz val="11"/>
        <color theme="1"/>
        <rFont val="Calibri"/>
        <family val="2"/>
        <scheme val="minor"/>
      </rPr>
      <t>container_lab_analysis</t>
    </r>
  </si>
  <si>
    <t>Operating Days</t>
  </si>
  <si>
    <r>
      <t>OP</t>
    </r>
    <r>
      <rPr>
        <vertAlign val="subscript"/>
        <sz val="11"/>
        <color theme="1"/>
        <rFont val="Calibri"/>
        <family val="2"/>
        <scheme val="minor"/>
      </rPr>
      <t>days</t>
    </r>
  </si>
  <si>
    <t>1,2-DCA Concentration in Product</t>
  </si>
  <si>
    <r>
      <t>F</t>
    </r>
    <r>
      <rPr>
        <vertAlign val="subscript"/>
        <sz val="11"/>
        <color theme="1"/>
        <rFont val="Calibri"/>
        <family val="2"/>
        <scheme val="minor"/>
      </rPr>
      <t>1,2-DCA_product</t>
    </r>
  </si>
  <si>
    <t>Frequency of Release</t>
  </si>
  <si>
    <r>
      <t>Freq</t>
    </r>
    <r>
      <rPr>
        <vertAlign val="subscript"/>
        <sz val="11"/>
        <color theme="1"/>
        <rFont val="Calibri"/>
        <family val="2"/>
        <scheme val="minor"/>
      </rPr>
      <t>release</t>
    </r>
  </si>
  <si>
    <t>Product Density</t>
  </si>
  <si>
    <t>rho</t>
  </si>
  <si>
    <r>
      <t>TIME</t>
    </r>
    <r>
      <rPr>
        <vertAlign val="subscript"/>
        <sz val="11"/>
        <color theme="1"/>
        <rFont val="Calibri"/>
        <family val="2"/>
        <scheme val="minor"/>
      </rPr>
      <t>operating_days</t>
    </r>
  </si>
  <si>
    <t>Summation of all previous releases</t>
  </si>
  <si>
    <r>
      <t>Q</t>
    </r>
    <r>
      <rPr>
        <vertAlign val="subscript"/>
        <sz val="11"/>
        <color theme="1"/>
        <rFont val="Calibri"/>
        <family val="2"/>
        <scheme val="minor"/>
      </rPr>
      <t>all_other_releases</t>
    </r>
  </si>
  <si>
    <t>Container Volume</t>
  </si>
  <si>
    <r>
      <t>V</t>
    </r>
    <r>
      <rPr>
        <vertAlign val="subscript"/>
        <sz val="11"/>
        <color theme="1"/>
        <rFont val="Calibri"/>
        <family val="2"/>
        <scheme val="minor"/>
      </rPr>
      <t>prod_cont</t>
    </r>
  </si>
  <si>
    <t>1,2-DCA Molecular Weight</t>
  </si>
  <si>
    <r>
      <t>MW</t>
    </r>
    <r>
      <rPr>
        <vertAlign val="subscript"/>
        <sz val="11"/>
        <color theme="1"/>
        <rFont val="Calibri"/>
        <family val="2"/>
        <scheme val="minor"/>
      </rPr>
      <t>12-DCA</t>
    </r>
  </si>
  <si>
    <r>
      <t>F</t>
    </r>
    <r>
      <rPr>
        <vertAlign val="subscript"/>
        <sz val="11"/>
        <color theme="1"/>
        <rFont val="Calibri"/>
        <family val="2"/>
        <scheme val="minor"/>
      </rPr>
      <t>12-DCA_product</t>
    </r>
  </si>
  <si>
    <t>Loss Fraction for Equipment Cleaning</t>
  </si>
  <si>
    <r>
      <t>F</t>
    </r>
    <r>
      <rPr>
        <vertAlign val="subscript"/>
        <sz val="11"/>
        <color theme="1"/>
        <rFont val="Calibri"/>
        <family val="2"/>
        <scheme val="minor"/>
      </rPr>
      <t>loss_equip</t>
    </r>
  </si>
  <si>
    <r>
      <t>MW</t>
    </r>
    <r>
      <rPr>
        <vertAlign val="subscript"/>
        <sz val="11"/>
        <color theme="1"/>
        <rFont val="Calibri"/>
        <family val="2"/>
        <scheme val="minor"/>
      </rPr>
      <t>11-DCA</t>
    </r>
  </si>
  <si>
    <r>
      <t>N</t>
    </r>
    <r>
      <rPr>
        <vertAlign val="subscript"/>
        <sz val="11"/>
        <rFont val="Calibri"/>
        <family val="2"/>
        <scheme val="minor"/>
      </rPr>
      <t>sites</t>
    </r>
  </si>
  <si>
    <t>Loss Fraction for Container Residue Losses</t>
  </si>
  <si>
    <r>
      <t>F</t>
    </r>
    <r>
      <rPr>
        <vertAlign val="subscript"/>
        <sz val="11"/>
        <color theme="1"/>
        <rFont val="Calibri"/>
        <family val="2"/>
        <scheme val="minor"/>
      </rPr>
      <t>loss_small_cont</t>
    </r>
  </si>
  <si>
    <t>Number of Containers per site per year</t>
  </si>
  <si>
    <r>
      <t>N</t>
    </r>
    <r>
      <rPr>
        <vertAlign val="subscript"/>
        <sz val="11"/>
        <rFont val="Calibri"/>
        <family val="2"/>
        <scheme val="minor"/>
      </rPr>
      <t>cont_unload_yr</t>
    </r>
  </si>
  <si>
    <r>
      <t>N</t>
    </r>
    <r>
      <rPr>
        <vertAlign val="subscript"/>
        <sz val="11"/>
        <color theme="1"/>
        <rFont val="Calibri"/>
        <family val="2"/>
        <scheme val="minor"/>
      </rPr>
      <t>cont_unload_yr</t>
    </r>
  </si>
  <si>
    <t>Operating Hours for Activity</t>
  </si>
  <si>
    <r>
      <t>OH</t>
    </r>
    <r>
      <rPr>
        <vertAlign val="subscript"/>
        <sz val="11"/>
        <color theme="1"/>
        <rFont val="Calibri"/>
        <family val="2"/>
        <scheme val="minor"/>
      </rPr>
      <t>equip</t>
    </r>
  </si>
  <si>
    <r>
      <t>OH</t>
    </r>
    <r>
      <rPr>
        <vertAlign val="subscript"/>
        <sz val="11"/>
        <color theme="1"/>
        <rFont val="Calibri"/>
        <family val="2"/>
        <scheme val="minor"/>
      </rPr>
      <t>sampling</t>
    </r>
  </si>
  <si>
    <t>Fill Rate of Small Container</t>
  </si>
  <si>
    <r>
      <t>RATE</t>
    </r>
    <r>
      <rPr>
        <vertAlign val="subscript"/>
        <sz val="11"/>
        <color theme="1"/>
        <rFont val="Calibri"/>
        <family val="2"/>
        <scheme val="minor"/>
      </rPr>
      <t>fill_small_cont</t>
    </r>
  </si>
  <si>
    <r>
      <t>RATE</t>
    </r>
    <r>
      <rPr>
        <vertAlign val="subscript"/>
        <sz val="11"/>
        <color theme="1"/>
        <rFont val="Calibri"/>
        <family val="2"/>
        <scheme val="minor"/>
      </rPr>
      <t>fill_smallcont</t>
    </r>
  </si>
  <si>
    <t>Temperature</t>
  </si>
  <si>
    <t>T</t>
  </si>
  <si>
    <t>1,2-DCA Vapor Pressure</t>
  </si>
  <si>
    <t>VP</t>
  </si>
  <si>
    <t>Air Speed</t>
  </si>
  <si>
    <r>
      <t>RATE</t>
    </r>
    <r>
      <rPr>
        <vertAlign val="subscript"/>
        <sz val="11"/>
        <color theme="1"/>
        <rFont val="Calibri"/>
        <family val="2"/>
        <scheme val="minor"/>
      </rPr>
      <t>air_speed</t>
    </r>
  </si>
  <si>
    <t>Product #</t>
  </si>
  <si>
    <t>Product Name</t>
  </si>
  <si>
    <t>11-DCA Concentration</t>
  </si>
  <si>
    <t>Product Density (kg/m^3)</t>
  </si>
  <si>
    <t>Low-end</t>
  </si>
  <si>
    <t>High-end</t>
  </si>
  <si>
    <t>1,2-Dichloroethane</t>
  </si>
  <si>
    <t>&gt;95</t>
  </si>
  <si>
    <t>36279/USP Class 1 Residual Solvent Mixture</t>
  </si>
  <si>
    <t>601 Purgable Halocarbons Mix (AL0-1-1713)</t>
  </si>
  <si>
    <t>Nonflammable Gas Mixture</t>
  </si>
  <si>
    <t>5 Component Mix in Dimethyl Sulfoxide (Stock VO)</t>
  </si>
  <si>
    <t>Volatile Organics Mix</t>
  </si>
  <si>
    <t>Residual Solvents Mixture Class 1 in DMSO</t>
  </si>
  <si>
    <t>DX0796</t>
  </si>
  <si>
    <t>&gt;=90</t>
  </si>
  <si>
    <t>&lt;100</t>
  </si>
  <si>
    <t>&lt;=100</t>
  </si>
  <si>
    <t>POLYVINYL FORMAL SOLUTION</t>
  </si>
  <si>
    <t>Turn Monte Carlo On or Off</t>
  </si>
  <si>
    <t>On</t>
  </si>
  <si>
    <t>Input Parameter</t>
  </si>
  <si>
    <t>Symbol</t>
  </si>
  <si>
    <t>Unit</t>
  </si>
  <si>
    <t>Deterministic Values</t>
  </si>
  <si>
    <t>Uncertainty Analysis Distribution Parameters</t>
  </si>
  <si>
    <t>Distribution Type</t>
  </si>
  <si>
    <t>Selected Value (Deterministic or @Risk Formula)</t>
  </si>
  <si>
    <t>Notes/Comments</t>
  </si>
  <si>
    <t>Value</t>
  </si>
  <si>
    <t>Basis</t>
  </si>
  <si>
    <t>Lower Bound</t>
  </si>
  <si>
    <t>Upper Bound</t>
  </si>
  <si>
    <t>Mode</t>
  </si>
  <si>
    <t>@Risk Formulas</t>
  </si>
  <si>
    <t>On/Off Drop Down</t>
  </si>
  <si>
    <t>Loss Fraction for Small Containers</t>
  </si>
  <si>
    <t>kg/kg</t>
  </si>
  <si>
    <t>Central</t>
  </si>
  <si>
    <t>Triangular</t>
  </si>
  <si>
    <t>Loss fractions for small container residual are consistent with EPA/OPPT Small Container Residual Model; minimum residual loss fraction of 0.0003 for pour applications (small containers) is per review of data used to develop model and preliminary EPA guidance on 5/25/2022.</t>
  </si>
  <si>
    <t>cm/s</t>
  </si>
  <si>
    <t>50th percentile</t>
  </si>
  <si>
    <t>—</t>
  </si>
  <si>
    <t>Lognormal</t>
  </si>
  <si>
    <t>Distribution using EPA's air speed model for commercial uses; converted to ft/min for model use</t>
  </si>
  <si>
    <t>Off</t>
  </si>
  <si>
    <t>ft/min</t>
  </si>
  <si>
    <t>unitless</t>
  </si>
  <si>
    <t>Typical</t>
  </si>
  <si>
    <t>AP-42 provided values</t>
  </si>
  <si>
    <t>days/yr</t>
  </si>
  <si>
    <t>Daily Throughput of Stock Solutions</t>
  </si>
  <si>
    <t>mL/site-day</t>
  </si>
  <si>
    <t>Provided by the Generic Scenario for Laboratory Chemicals</t>
  </si>
  <si>
    <t>Equivalent to the days of operation</t>
  </si>
  <si>
    <t>Diameter of Laboratory Analysis Containers</t>
  </si>
  <si>
    <t>cm</t>
  </si>
  <si>
    <t>Constants and Unit Conversions</t>
  </si>
  <si>
    <t>Number of Use Sites</t>
  </si>
  <si>
    <t>Site</t>
  </si>
  <si>
    <t>ERG set parameter</t>
  </si>
  <si>
    <t>gal/container</t>
  </si>
  <si>
    <t>standard volume</t>
  </si>
  <si>
    <t>K</t>
  </si>
  <si>
    <t>standard temperature</t>
  </si>
  <si>
    <t>Pressure (torr)</t>
  </si>
  <si>
    <t>P_torr</t>
  </si>
  <si>
    <t>torr</t>
  </si>
  <si>
    <t>standard pressure</t>
  </si>
  <si>
    <t>Pressure (atm)</t>
  </si>
  <si>
    <t>P_atm</t>
  </si>
  <si>
    <t>atm</t>
  </si>
  <si>
    <t>Gas Constant</t>
  </si>
  <si>
    <t>R</t>
  </si>
  <si>
    <t>atm-cm^3/mol-K</t>
  </si>
  <si>
    <t>used for calcs</t>
  </si>
  <si>
    <t>Torr</t>
  </si>
  <si>
    <t>Final Scope (mmHg)</t>
  </si>
  <si>
    <r>
      <t>MW</t>
    </r>
    <r>
      <rPr>
        <vertAlign val="subscript"/>
        <sz val="11"/>
        <color theme="1"/>
        <rFont val="Calibri"/>
        <family val="2"/>
        <scheme val="minor"/>
      </rPr>
      <t>11DCA</t>
    </r>
  </si>
  <si>
    <t>g/mol</t>
  </si>
  <si>
    <t>Final Scope</t>
  </si>
  <si>
    <t>containers/hr</t>
  </si>
  <si>
    <t>Lab Chems GS</t>
  </si>
  <si>
    <t>Hours for Analysis Sampling</t>
  </si>
  <si>
    <t>hr/site-day</t>
  </si>
  <si>
    <t>Hours for Equipment Cleaning</t>
  </si>
  <si>
    <t>Operating Hours for Container Cleaning</t>
  </si>
  <si>
    <r>
      <t>OH</t>
    </r>
    <r>
      <rPr>
        <vertAlign val="subscript"/>
        <sz val="11"/>
        <color theme="1"/>
        <rFont val="Calibri"/>
        <family val="2"/>
        <scheme val="minor"/>
      </rPr>
      <t>cont_cleaning</t>
    </r>
  </si>
  <si>
    <t>Operating Hours for Laboratory Testing</t>
  </si>
  <si>
    <r>
      <t>OH</t>
    </r>
    <r>
      <rPr>
        <vertAlign val="subscript"/>
        <sz val="11"/>
        <color theme="1"/>
        <rFont val="Calibri"/>
        <family val="2"/>
        <scheme val="minor"/>
      </rPr>
      <t>lab_testing</t>
    </r>
  </si>
  <si>
    <t>m^3/gal</t>
  </si>
  <si>
    <t>mg/g</t>
  </si>
  <si>
    <t>g/kg</t>
  </si>
  <si>
    <t>lb/kg</t>
  </si>
  <si>
    <t>lb/ton</t>
  </si>
  <si>
    <t>ft/m</t>
  </si>
  <si>
    <t>ft/cm</t>
  </si>
  <si>
    <t>s/hr</t>
  </si>
  <si>
    <t>min/hr</t>
  </si>
  <si>
    <t>mL/L</t>
  </si>
  <si>
    <t>L/m^3</t>
  </si>
  <si>
    <t>Mass Fraction of 12-DCA in Product/VP Correction Factor</t>
  </si>
  <si>
    <r>
      <t>F</t>
    </r>
    <r>
      <rPr>
        <b/>
        <vertAlign val="subscript"/>
        <sz val="11"/>
        <color theme="1"/>
        <rFont val="Calibri"/>
        <family val="2"/>
        <scheme val="minor"/>
      </rPr>
      <t>12DCA_product</t>
    </r>
  </si>
  <si>
    <t>kg/m^3</t>
  </si>
  <si>
    <t>Formulation Type ID (x)</t>
  </si>
  <si>
    <t>Occurrence; p(x)</t>
  </si>
  <si>
    <t>Sampled Formulation Type</t>
  </si>
  <si>
    <t>Formulation Type ID</t>
  </si>
  <si>
    <t xml:space="preserve">12-DCA wt% </t>
  </si>
  <si>
    <t>Sampled 12-DCA wt%</t>
  </si>
  <si>
    <t>Units</t>
  </si>
  <si>
    <t>Density</t>
  </si>
  <si>
    <t>Sampled Density (kg/m3)</t>
  </si>
  <si>
    <t>Discrete Distribution to Sample Integer Values of Operating Days (OD)</t>
  </si>
  <si>
    <t>Operating Days Value (x)</t>
  </si>
  <si>
    <t>Probability of Value (p(x))</t>
  </si>
  <si>
    <t>Sum of Probabilities</t>
  </si>
  <si>
    <t>Calculation of Baseline Releases</t>
  </si>
  <si>
    <t>Parameter Name</t>
  </si>
  <si>
    <t>Equation</t>
  </si>
  <si>
    <t>Stochastic Value</t>
  </si>
  <si>
    <r>
      <t>Q</t>
    </r>
    <r>
      <rPr>
        <vertAlign val="subscript"/>
        <sz val="11"/>
        <rFont val="Calibri"/>
        <family val="2"/>
        <scheme val="minor"/>
      </rPr>
      <t>chem_day</t>
    </r>
  </si>
  <si>
    <r>
      <t>[Q</t>
    </r>
    <r>
      <rPr>
        <vertAlign val="subscript"/>
        <sz val="11"/>
        <rFont val="Calibri"/>
        <family val="2"/>
        <scheme val="minor"/>
      </rPr>
      <t>stock_day</t>
    </r>
    <r>
      <rPr>
        <sz val="11"/>
        <rFont val="Calibri"/>
        <family val="2"/>
        <scheme val="minor"/>
      </rPr>
      <t>/[(1000L/m^3)*(1000mL/L)]]*rho*F</t>
    </r>
    <r>
      <rPr>
        <vertAlign val="subscript"/>
        <sz val="11"/>
        <rFont val="Calibri"/>
        <family val="2"/>
        <scheme val="minor"/>
      </rPr>
      <t>chem</t>
    </r>
  </si>
  <si>
    <t>kg/site-day</t>
  </si>
  <si>
    <r>
      <t>Q</t>
    </r>
    <r>
      <rPr>
        <vertAlign val="subscript"/>
        <sz val="11"/>
        <rFont val="Calibri"/>
        <family val="2"/>
        <scheme val="minor"/>
      </rPr>
      <t>chem_yr</t>
    </r>
  </si>
  <si>
    <r>
      <t>Q</t>
    </r>
    <r>
      <rPr>
        <vertAlign val="subscript"/>
        <sz val="11"/>
        <rFont val="Calibri"/>
        <family val="2"/>
        <scheme val="minor"/>
      </rPr>
      <t>chem_day</t>
    </r>
    <r>
      <rPr>
        <sz val="11"/>
        <rFont val="Calibri"/>
        <family val="2"/>
        <scheme val="minor"/>
      </rPr>
      <t>*TIME</t>
    </r>
    <r>
      <rPr>
        <vertAlign val="subscript"/>
        <sz val="11"/>
        <rFont val="Calibri"/>
        <family val="2"/>
        <scheme val="minor"/>
      </rPr>
      <t>operating_days</t>
    </r>
  </si>
  <si>
    <t>kg/site-yr</t>
  </si>
  <si>
    <t>Operating Days (Recalculated)</t>
  </si>
  <si>
    <r>
      <t>OP</t>
    </r>
    <r>
      <rPr>
        <vertAlign val="subscript"/>
        <sz val="11"/>
        <rFont val="Calibri"/>
        <family val="2"/>
        <scheme val="minor"/>
      </rPr>
      <t>days</t>
    </r>
  </si>
  <si>
    <r>
      <t>Q</t>
    </r>
    <r>
      <rPr>
        <vertAlign val="subscript"/>
        <sz val="11"/>
        <rFont val="Calibri"/>
        <family val="2"/>
        <scheme val="minor"/>
      </rPr>
      <t>chem_yr</t>
    </r>
    <r>
      <rPr>
        <sz val="11"/>
        <rFont val="Calibri"/>
        <family val="2"/>
        <scheme val="minor"/>
      </rPr>
      <t>/Q</t>
    </r>
    <r>
      <rPr>
        <vertAlign val="subscript"/>
        <sz val="11"/>
        <rFont val="Calibri"/>
        <family val="2"/>
        <scheme val="minor"/>
      </rPr>
      <t>chem_day</t>
    </r>
  </si>
  <si>
    <r>
      <t>N</t>
    </r>
    <r>
      <rPr>
        <vertAlign val="subscript"/>
        <sz val="11"/>
        <rFont val="Calibri"/>
        <family val="2"/>
        <scheme val="minor"/>
      </rPr>
      <t>sites</t>
    </r>
    <r>
      <rPr>
        <sz val="11"/>
        <rFont val="Calibri"/>
        <family val="2"/>
        <scheme val="minor"/>
      </rPr>
      <t>*Q</t>
    </r>
    <r>
      <rPr>
        <vertAlign val="subscript"/>
        <sz val="11"/>
        <rFont val="Calibri"/>
        <family val="2"/>
        <scheme val="minor"/>
      </rPr>
      <t>chem_site_yr</t>
    </r>
  </si>
  <si>
    <t>sites</t>
  </si>
  <si>
    <t>Daily Throughput of 1,2-DCA (Recalculated)</t>
  </si>
  <si>
    <r>
      <t>Q</t>
    </r>
    <r>
      <rPr>
        <vertAlign val="subscript"/>
        <sz val="11"/>
        <rFont val="Calibri"/>
        <family val="2"/>
        <scheme val="minor"/>
      </rPr>
      <t>chem_site_day(recalc)</t>
    </r>
  </si>
  <si>
    <r>
      <t>PV/(N</t>
    </r>
    <r>
      <rPr>
        <vertAlign val="subscript"/>
        <sz val="11"/>
        <rFont val="Calibri"/>
        <family val="2"/>
        <scheme val="minor"/>
      </rPr>
      <t>sites</t>
    </r>
    <r>
      <rPr>
        <sz val="11"/>
        <rFont val="Calibri"/>
        <family val="2"/>
        <scheme val="minor"/>
      </rPr>
      <t>*OP</t>
    </r>
    <r>
      <rPr>
        <vertAlign val="subscript"/>
        <sz val="11"/>
        <rFont val="Calibri"/>
        <family val="2"/>
        <scheme val="minor"/>
      </rPr>
      <t>days</t>
    </r>
    <r>
      <rPr>
        <sz val="11"/>
        <rFont val="Calibri"/>
        <family val="2"/>
        <scheme val="minor"/>
      </rPr>
      <t>)</t>
    </r>
  </si>
  <si>
    <t>Annual Throughput of 1,2-DCA (Recalculated)</t>
  </si>
  <si>
    <r>
      <t>Q</t>
    </r>
    <r>
      <rPr>
        <vertAlign val="subscript"/>
        <sz val="11"/>
        <rFont val="Calibri"/>
        <family val="2"/>
        <scheme val="minor"/>
      </rPr>
      <t>chem_site_yr(recalc)</t>
    </r>
  </si>
  <si>
    <r>
      <t>PV/N</t>
    </r>
    <r>
      <rPr>
        <vertAlign val="subscript"/>
        <sz val="11"/>
        <rFont val="Calibri"/>
        <family val="2"/>
        <scheme val="minor"/>
      </rPr>
      <t>sites</t>
    </r>
  </si>
  <si>
    <t>Number of Transport Containers Unloaded Annually per Laboratory</t>
  </si>
  <si>
    <r>
      <t>Q</t>
    </r>
    <r>
      <rPr>
        <vertAlign val="subscript"/>
        <sz val="11"/>
        <rFont val="Calibri"/>
        <family val="2"/>
        <scheme val="minor"/>
      </rPr>
      <t>chem_site_yr(recalc)</t>
    </r>
    <r>
      <rPr>
        <sz val="11"/>
        <rFont val="Calibri"/>
        <family val="2"/>
        <scheme val="minor"/>
      </rPr>
      <t>/(F</t>
    </r>
    <r>
      <rPr>
        <vertAlign val="subscript"/>
        <sz val="11"/>
        <rFont val="Calibri"/>
        <family val="2"/>
        <scheme val="minor"/>
      </rPr>
      <t>chem</t>
    </r>
    <r>
      <rPr>
        <sz val="11"/>
        <rFont val="Calibri"/>
        <family val="2"/>
        <scheme val="minor"/>
      </rPr>
      <t>*Q</t>
    </r>
    <r>
      <rPr>
        <vertAlign val="subscript"/>
        <sz val="11"/>
        <rFont val="Calibri"/>
        <family val="2"/>
        <scheme val="minor"/>
      </rPr>
      <t>cont</t>
    </r>
    <r>
      <rPr>
        <sz val="11"/>
        <rFont val="Calibri"/>
        <family val="2"/>
        <scheme val="minor"/>
      </rPr>
      <t>)</t>
    </r>
  </si>
  <si>
    <t>container/site-yr</t>
  </si>
  <si>
    <t>Number of Transport Containers Unloaded Daily per Laboratory</t>
  </si>
  <si>
    <r>
      <t>N</t>
    </r>
    <r>
      <rPr>
        <vertAlign val="subscript"/>
        <sz val="11"/>
        <rFont val="Calibri"/>
        <family val="2"/>
        <scheme val="minor"/>
      </rPr>
      <t>cont_unload_day</t>
    </r>
  </si>
  <si>
    <r>
      <t>Q</t>
    </r>
    <r>
      <rPr>
        <vertAlign val="subscript"/>
        <sz val="11"/>
        <rFont val="Calibri"/>
        <family val="2"/>
        <scheme val="minor"/>
      </rPr>
      <t>chem_site_day(recalc)</t>
    </r>
    <r>
      <rPr>
        <sz val="11"/>
        <rFont val="Calibri"/>
        <family val="2"/>
        <scheme val="minor"/>
      </rPr>
      <t>/(F</t>
    </r>
    <r>
      <rPr>
        <vertAlign val="subscript"/>
        <sz val="11"/>
        <rFont val="Calibri"/>
        <family val="2"/>
        <scheme val="minor"/>
      </rPr>
      <t>chem</t>
    </r>
    <r>
      <rPr>
        <sz val="11"/>
        <rFont val="Calibri"/>
        <family val="2"/>
        <scheme val="minor"/>
      </rPr>
      <t>*Q</t>
    </r>
    <r>
      <rPr>
        <vertAlign val="subscript"/>
        <sz val="11"/>
        <rFont val="Calibri"/>
        <family val="2"/>
        <scheme val="minor"/>
      </rPr>
      <t>cont</t>
    </r>
    <r>
      <rPr>
        <sz val="11"/>
        <rFont val="Calibri"/>
        <family val="2"/>
        <scheme val="minor"/>
      </rPr>
      <t>)</t>
    </r>
  </si>
  <si>
    <t>Mass of Chemical in Filled Container</t>
  </si>
  <si>
    <r>
      <t>Q</t>
    </r>
    <r>
      <rPr>
        <vertAlign val="subscript"/>
        <sz val="11"/>
        <rFont val="Calibri"/>
        <family val="2"/>
        <scheme val="minor"/>
      </rPr>
      <t>chem_container</t>
    </r>
  </si>
  <si>
    <r>
      <t>Q</t>
    </r>
    <r>
      <rPr>
        <vertAlign val="subscript"/>
        <sz val="11"/>
        <rFont val="Calibri"/>
        <family val="2"/>
        <scheme val="minor"/>
      </rPr>
      <t>cont</t>
    </r>
    <r>
      <rPr>
        <sz val="11"/>
        <rFont val="Calibri"/>
        <family val="2"/>
        <scheme val="minor"/>
      </rPr>
      <t xml:space="preserve"> * rho * m3_per_gal</t>
    </r>
  </si>
  <si>
    <t>kg chemical/container</t>
  </si>
  <si>
    <t>Daily Hours Spent Unloading Containers</t>
  </si>
  <si>
    <r>
      <t>OH</t>
    </r>
    <r>
      <rPr>
        <vertAlign val="subscript"/>
        <sz val="11"/>
        <rFont val="Calibri"/>
        <family val="2"/>
        <scheme val="minor"/>
      </rPr>
      <t>unload_day</t>
    </r>
  </si>
  <si>
    <r>
      <t>N</t>
    </r>
    <r>
      <rPr>
        <vertAlign val="subscript"/>
        <sz val="11"/>
        <rFont val="Calibri"/>
        <family val="2"/>
        <scheme val="minor"/>
      </rPr>
      <t>cont_unload_day</t>
    </r>
    <r>
      <rPr>
        <sz val="11"/>
        <rFont val="Calibri"/>
        <family val="2"/>
        <scheme val="minor"/>
      </rPr>
      <t>/RATE</t>
    </r>
    <r>
      <rPr>
        <vertAlign val="subscript"/>
        <sz val="11"/>
        <rFont val="Calibri"/>
        <family val="2"/>
        <scheme val="minor"/>
      </rPr>
      <t>fill_small_cont</t>
    </r>
  </si>
  <si>
    <t>hours/day</t>
  </si>
  <si>
    <t>Annual Hours Spent Unloading Containers</t>
  </si>
  <si>
    <r>
      <t>OH</t>
    </r>
    <r>
      <rPr>
        <vertAlign val="subscript"/>
        <sz val="11"/>
        <rFont val="Calibri"/>
        <family val="2"/>
        <scheme val="minor"/>
      </rPr>
      <t>unload_yr</t>
    </r>
  </si>
  <si>
    <r>
      <t>OH</t>
    </r>
    <r>
      <rPr>
        <vertAlign val="subscript"/>
        <sz val="11"/>
        <rFont val="Calibri"/>
        <family val="2"/>
        <scheme val="minor"/>
      </rPr>
      <t>unload_day</t>
    </r>
    <r>
      <rPr>
        <sz val="11"/>
        <rFont val="Calibri"/>
        <family val="2"/>
        <scheme val="minor"/>
      </rPr>
      <t xml:space="preserve"> * OP</t>
    </r>
    <r>
      <rPr>
        <vertAlign val="subscript"/>
        <sz val="11"/>
        <rFont val="Calibri"/>
        <family val="2"/>
        <scheme val="minor"/>
      </rPr>
      <t>days</t>
    </r>
  </si>
  <si>
    <t>hours/yr</t>
  </si>
  <si>
    <t>Annual Hours Spent Cleaning Containers</t>
  </si>
  <si>
    <r>
      <t>OH</t>
    </r>
    <r>
      <rPr>
        <vertAlign val="subscript"/>
        <sz val="11"/>
        <rFont val="Calibri"/>
        <family val="2"/>
        <scheme val="minor"/>
      </rPr>
      <t>cont_cleaning_yr</t>
    </r>
  </si>
  <si>
    <r>
      <t>OH</t>
    </r>
    <r>
      <rPr>
        <vertAlign val="subscript"/>
        <sz val="11"/>
        <rFont val="Calibri"/>
        <family val="2"/>
        <scheme val="minor"/>
      </rPr>
      <t>cont_cleaning</t>
    </r>
    <r>
      <rPr>
        <sz val="11"/>
        <rFont val="Calibri"/>
        <family val="2"/>
        <scheme val="minor"/>
      </rPr>
      <t xml:space="preserve"> * OP</t>
    </r>
    <r>
      <rPr>
        <vertAlign val="subscript"/>
        <sz val="11"/>
        <rFont val="Calibri"/>
        <family val="2"/>
        <scheme val="minor"/>
      </rPr>
      <t>days</t>
    </r>
  </si>
  <si>
    <t>Annual Hours Spent Laboratory Testing</t>
  </si>
  <si>
    <r>
      <t>OH</t>
    </r>
    <r>
      <rPr>
        <vertAlign val="subscript"/>
        <sz val="11"/>
        <rFont val="Calibri"/>
        <family val="2"/>
        <scheme val="minor"/>
      </rPr>
      <t>lab_testing_yr</t>
    </r>
  </si>
  <si>
    <r>
      <t>OH</t>
    </r>
    <r>
      <rPr>
        <vertAlign val="subscript"/>
        <sz val="11"/>
        <rFont val="Calibri"/>
        <family val="2"/>
        <scheme val="minor"/>
      </rPr>
      <t>lab_testing</t>
    </r>
    <r>
      <rPr>
        <sz val="11"/>
        <rFont val="Calibri"/>
        <family val="2"/>
        <scheme val="minor"/>
      </rPr>
      <t xml:space="preserve"> * OP</t>
    </r>
    <r>
      <rPr>
        <vertAlign val="subscript"/>
        <sz val="11"/>
        <rFont val="Calibri"/>
        <family val="2"/>
        <scheme val="minor"/>
      </rPr>
      <t>days</t>
    </r>
  </si>
  <si>
    <t>Release Point 1 daily release per site (Transfer Operation Losses during Unloading Liquid Chemicals)</t>
  </si>
  <si>
    <r>
      <t>Release_Day</t>
    </r>
    <r>
      <rPr>
        <vertAlign val="subscript"/>
        <sz val="11"/>
        <rFont val="Calibri"/>
        <family val="2"/>
        <scheme val="minor"/>
      </rPr>
      <t>RP1</t>
    </r>
  </si>
  <si>
    <r>
      <t>F</t>
    </r>
    <r>
      <rPr>
        <vertAlign val="subscript"/>
        <sz val="11"/>
        <rFont val="Calibri"/>
        <family val="2"/>
        <scheme val="minor"/>
      </rPr>
      <t>saturation_factor</t>
    </r>
    <r>
      <rPr>
        <sz val="11"/>
        <rFont val="Calibri"/>
        <family val="2"/>
        <scheme val="minor"/>
      </rPr>
      <t>*MW</t>
    </r>
    <r>
      <rPr>
        <vertAlign val="subscript"/>
        <sz val="11"/>
        <rFont val="Calibri"/>
        <family val="2"/>
        <scheme val="minor"/>
      </rPr>
      <t>chem</t>
    </r>
    <r>
      <rPr>
        <sz val="11"/>
        <rFont val="Calibri"/>
        <family val="2"/>
        <scheme val="minor"/>
      </rPr>
      <t>*(Q</t>
    </r>
    <r>
      <rPr>
        <vertAlign val="subscript"/>
        <sz val="11"/>
        <rFont val="Calibri"/>
        <family val="2"/>
        <scheme val="minor"/>
      </rPr>
      <t>cont</t>
    </r>
    <r>
      <rPr>
        <sz val="11"/>
        <rFont val="Calibri"/>
        <family val="2"/>
        <scheme val="minor"/>
      </rPr>
      <t>*3785.4cm^3/gal)*(RATE</t>
    </r>
    <r>
      <rPr>
        <vertAlign val="subscript"/>
        <sz val="11"/>
        <rFont val="Calibri"/>
        <family val="2"/>
        <scheme val="minor"/>
      </rPr>
      <t>fill</t>
    </r>
    <r>
      <rPr>
        <sz val="11"/>
        <rFont val="Calibri"/>
        <family val="2"/>
        <scheme val="minor"/>
      </rPr>
      <t>/3600 sec/hr)*F</t>
    </r>
    <r>
      <rPr>
        <vertAlign val="subscript"/>
        <sz val="11"/>
        <rFont val="Calibri"/>
        <family val="2"/>
        <scheme val="minor"/>
      </rPr>
      <t>correction_factor</t>
    </r>
    <r>
      <rPr>
        <sz val="11"/>
        <rFont val="Calibri"/>
        <family val="2"/>
        <scheme val="minor"/>
      </rPr>
      <t>*(VP</t>
    </r>
    <r>
      <rPr>
        <vertAlign val="subscript"/>
        <sz val="11"/>
        <rFont val="Calibri"/>
        <family val="2"/>
        <scheme val="minor"/>
      </rPr>
      <t>chem</t>
    </r>
    <r>
      <rPr>
        <sz val="11"/>
        <rFont val="Calibri"/>
        <family val="2"/>
        <scheme val="minor"/>
      </rPr>
      <t>/760 torr/atm)/(R*TEMP</t>
    </r>
    <r>
      <rPr>
        <vertAlign val="subscript"/>
        <sz val="11"/>
        <rFont val="Calibri"/>
        <family val="2"/>
        <scheme val="minor"/>
      </rPr>
      <t>ambient</t>
    </r>
    <r>
      <rPr>
        <sz val="11"/>
        <rFont val="Calibri"/>
        <family val="2"/>
        <scheme val="minor"/>
      </rPr>
      <t>)</t>
    </r>
  </si>
  <si>
    <t>Release Point 1 annual release per site (Transfer Operation Losses during Unloading Liquid Chemicals)</t>
  </si>
  <si>
    <r>
      <t>Release_Year</t>
    </r>
    <r>
      <rPr>
        <vertAlign val="subscript"/>
        <sz val="11"/>
        <rFont val="Calibri"/>
        <family val="2"/>
        <scheme val="minor"/>
      </rPr>
      <t>RP1</t>
    </r>
  </si>
  <si>
    <r>
      <t>Release_Day</t>
    </r>
    <r>
      <rPr>
        <vertAlign val="subscript"/>
        <sz val="11"/>
        <rFont val="Calibri"/>
        <family val="2"/>
        <scheme val="minor"/>
      </rPr>
      <t>RP1</t>
    </r>
    <r>
      <rPr>
        <sz val="11"/>
        <rFont val="Calibri"/>
        <family val="2"/>
        <scheme val="minor"/>
      </rPr>
      <t>*OP</t>
    </r>
    <r>
      <rPr>
        <vertAlign val="subscript"/>
        <sz val="11"/>
        <rFont val="Calibri"/>
        <family val="2"/>
        <scheme val="minor"/>
      </rPr>
      <t>days</t>
    </r>
  </si>
  <si>
    <t>Release Point 3 daily release per site (Container Residue Losses)</t>
  </si>
  <si>
    <r>
      <t>Release_Day</t>
    </r>
    <r>
      <rPr>
        <vertAlign val="subscript"/>
        <sz val="11"/>
        <rFont val="Calibri"/>
        <family val="2"/>
        <scheme val="minor"/>
      </rPr>
      <t>RP3</t>
    </r>
  </si>
  <si>
    <r>
      <t>Fcontainer_residue*Q</t>
    </r>
    <r>
      <rPr>
        <vertAlign val="subscript"/>
        <sz val="11"/>
        <rFont val="Calibri"/>
        <family val="2"/>
        <scheme val="minor"/>
      </rPr>
      <t>chem_day</t>
    </r>
  </si>
  <si>
    <t>Release Point 3 annual release per site (Container Residue Losses)</t>
  </si>
  <si>
    <r>
      <t>Release_Year</t>
    </r>
    <r>
      <rPr>
        <vertAlign val="subscript"/>
        <sz val="11"/>
        <rFont val="Calibri"/>
        <family val="2"/>
        <scheme val="minor"/>
      </rPr>
      <t>RP3</t>
    </r>
  </si>
  <si>
    <r>
      <t>Release_Day</t>
    </r>
    <r>
      <rPr>
        <vertAlign val="subscript"/>
        <sz val="11"/>
        <rFont val="Calibri"/>
        <family val="2"/>
        <scheme val="minor"/>
      </rPr>
      <t>RP3</t>
    </r>
    <r>
      <rPr>
        <sz val="11"/>
        <rFont val="Calibri"/>
        <family val="2"/>
        <scheme val="minor"/>
      </rPr>
      <t>*OP</t>
    </r>
    <r>
      <rPr>
        <vertAlign val="subscript"/>
        <sz val="11"/>
        <rFont val="Calibri"/>
        <family val="2"/>
        <scheme val="minor"/>
      </rPr>
      <t>days</t>
    </r>
  </si>
  <si>
    <t>Release Point 4 daily release per site (Open Surface Losses During Container Cleaning)</t>
  </si>
  <si>
    <r>
      <t>Release_Day</t>
    </r>
    <r>
      <rPr>
        <vertAlign val="subscript"/>
        <sz val="11"/>
        <rFont val="Calibri"/>
        <family val="2"/>
        <scheme val="minor"/>
      </rPr>
      <t>RP4</t>
    </r>
  </si>
  <si>
    <r>
      <t>Penetration Model (if air speed &lt;= 100 ft/min):
(N</t>
    </r>
    <r>
      <rPr>
        <vertAlign val="subscript"/>
        <sz val="11"/>
        <rFont val="Calibri"/>
        <family val="2"/>
        <scheme val="minor"/>
      </rPr>
      <t>cont_unloaded_yr</t>
    </r>
    <r>
      <rPr>
        <sz val="11"/>
        <rFont val="Calibri"/>
        <family val="2"/>
        <scheme val="minor"/>
      </rPr>
      <t>/OP</t>
    </r>
    <r>
      <rPr>
        <vertAlign val="subscript"/>
        <sz val="11"/>
        <rFont val="Calibri"/>
        <family val="2"/>
        <scheme val="minor"/>
      </rPr>
      <t>days</t>
    </r>
    <r>
      <rPr>
        <sz val="11"/>
        <rFont val="Calibri"/>
        <family val="2"/>
        <scheme val="minor"/>
      </rPr>
      <t>/RATE</t>
    </r>
    <r>
      <rPr>
        <vertAlign val="subscript"/>
        <sz val="11"/>
        <rFont val="Calibri"/>
        <family val="2"/>
        <scheme val="minor"/>
      </rPr>
      <t>fill_small_cont</t>
    </r>
    <r>
      <rPr>
        <sz val="11"/>
        <rFont val="Calibri"/>
        <family val="2"/>
        <scheme val="minor"/>
      </rPr>
      <t>*(3600 s/hr)/(1000g/kg))*[[(8.24E-8*(MW</t>
    </r>
    <r>
      <rPr>
        <vertAlign val="subscript"/>
        <sz val="11"/>
        <rFont val="Calibri"/>
        <family val="2"/>
        <scheme val="minor"/>
      </rPr>
      <t>11-DCA</t>
    </r>
    <r>
      <rPr>
        <sz val="11"/>
        <rFont val="Calibri"/>
        <family val="2"/>
        <scheme val="minor"/>
      </rPr>
      <t>^0.835)*VP*((1/29+1/MW</t>
    </r>
    <r>
      <rPr>
        <vertAlign val="subscript"/>
        <sz val="11"/>
        <rFont val="Calibri"/>
        <family val="2"/>
        <scheme val="minor"/>
      </rPr>
      <t>11-DCA</t>
    </r>
    <r>
      <rPr>
        <sz val="11"/>
        <rFont val="Calibri"/>
        <family val="2"/>
        <scheme val="minor"/>
      </rPr>
      <t>)^0.25)*(RATE</t>
    </r>
    <r>
      <rPr>
        <vertAlign val="subscript"/>
        <sz val="11"/>
        <rFont val="Calibri"/>
        <family val="2"/>
        <scheme val="minor"/>
      </rPr>
      <t>air_speed</t>
    </r>
    <r>
      <rPr>
        <sz val="11"/>
        <rFont val="Calibri"/>
        <family val="2"/>
        <scheme val="minor"/>
      </rPr>
      <t>^0.5)*(0.25*pi*D</t>
    </r>
    <r>
      <rPr>
        <vertAlign val="subscript"/>
        <sz val="11"/>
        <rFont val="Calibri"/>
        <family val="2"/>
        <scheme val="minor"/>
      </rPr>
      <t>container</t>
    </r>
    <r>
      <rPr>
        <sz val="11"/>
        <rFont val="Calibri"/>
        <family val="2"/>
        <scheme val="minor"/>
      </rPr>
      <t>^2)]/(T^0.05*D</t>
    </r>
    <r>
      <rPr>
        <vertAlign val="subscript"/>
        <sz val="11"/>
        <rFont val="Calibri"/>
        <family val="2"/>
        <scheme val="minor"/>
      </rPr>
      <t>container</t>
    </r>
    <r>
      <rPr>
        <sz val="11"/>
        <rFont val="Calibri"/>
        <family val="2"/>
        <scheme val="minor"/>
      </rPr>
      <t>^0.5*P^0.5)]
Mass Transfer Coefficient Model (if air speed &gt;100 ft/min):
(N</t>
    </r>
    <r>
      <rPr>
        <vertAlign val="subscript"/>
        <sz val="11"/>
        <rFont val="Calibri"/>
        <family val="2"/>
        <scheme val="minor"/>
      </rPr>
      <t>cont_unloaded_yr</t>
    </r>
    <r>
      <rPr>
        <sz val="11"/>
        <rFont val="Calibri"/>
        <family val="2"/>
        <scheme val="minor"/>
      </rPr>
      <t>/OP</t>
    </r>
    <r>
      <rPr>
        <vertAlign val="subscript"/>
        <sz val="11"/>
        <rFont val="Calibri"/>
        <family val="2"/>
        <scheme val="minor"/>
      </rPr>
      <t>days</t>
    </r>
    <r>
      <rPr>
        <sz val="11"/>
        <rFont val="Calibri"/>
        <family val="2"/>
        <scheme val="minor"/>
      </rPr>
      <t>/RATE</t>
    </r>
    <r>
      <rPr>
        <vertAlign val="subscript"/>
        <sz val="11"/>
        <rFont val="Calibri"/>
        <family val="2"/>
        <scheme val="minor"/>
      </rPr>
      <t>fill_small_cont</t>
    </r>
    <r>
      <rPr>
        <sz val="11"/>
        <rFont val="Calibri"/>
        <family val="2"/>
        <scheme val="minor"/>
      </rPr>
      <t>*(3600 s/hr)/(1000g/kg))*[[(1.93E-7*(MW</t>
    </r>
    <r>
      <rPr>
        <vertAlign val="subscript"/>
        <sz val="11"/>
        <rFont val="Calibri"/>
        <family val="2"/>
        <scheme val="minor"/>
      </rPr>
      <t>11-DCA</t>
    </r>
    <r>
      <rPr>
        <sz val="11"/>
        <rFont val="Calibri"/>
        <family val="2"/>
        <scheme val="minor"/>
      </rPr>
      <t>^0.78)*VP*((1/29+1/MW</t>
    </r>
    <r>
      <rPr>
        <vertAlign val="subscript"/>
        <sz val="11"/>
        <rFont val="Calibri"/>
        <family val="2"/>
        <scheme val="minor"/>
      </rPr>
      <t>11-DCA</t>
    </r>
    <r>
      <rPr>
        <sz val="11"/>
        <rFont val="Calibri"/>
        <family val="2"/>
        <scheme val="minor"/>
      </rPr>
      <t>)^0.33)*(RATE</t>
    </r>
    <r>
      <rPr>
        <vertAlign val="subscript"/>
        <sz val="11"/>
        <rFont val="Calibri"/>
        <family val="2"/>
        <scheme val="minor"/>
      </rPr>
      <t>air_speed</t>
    </r>
    <r>
      <rPr>
        <sz val="11"/>
        <rFont val="Calibri"/>
        <family val="2"/>
        <scheme val="minor"/>
      </rPr>
      <t>^0.78)*(0.25*pi*D</t>
    </r>
    <r>
      <rPr>
        <vertAlign val="subscript"/>
        <sz val="11"/>
        <rFont val="Calibri"/>
        <family val="2"/>
        <scheme val="minor"/>
      </rPr>
      <t>container</t>
    </r>
    <r>
      <rPr>
        <sz val="11"/>
        <rFont val="Calibri"/>
        <family val="2"/>
        <scheme val="minor"/>
      </rPr>
      <t>^2)]/(T^0.4*D</t>
    </r>
    <r>
      <rPr>
        <vertAlign val="subscript"/>
        <sz val="11"/>
        <rFont val="Calibri"/>
        <family val="2"/>
        <scheme val="minor"/>
      </rPr>
      <t>container</t>
    </r>
    <r>
      <rPr>
        <sz val="11"/>
        <rFont val="Calibri"/>
        <family val="2"/>
        <scheme val="minor"/>
      </rPr>
      <t>^0.11*(T^0.5-5.87)^(2/3)]</t>
    </r>
  </si>
  <si>
    <t>Release Point 4 annual release per site (Open Surface Losses During Container Cleaning)</t>
  </si>
  <si>
    <r>
      <t>Release_Year</t>
    </r>
    <r>
      <rPr>
        <vertAlign val="subscript"/>
        <sz val="11"/>
        <rFont val="Calibri"/>
        <family val="2"/>
        <scheme val="minor"/>
      </rPr>
      <t>RP4</t>
    </r>
  </si>
  <si>
    <r>
      <t>Release_Day</t>
    </r>
    <r>
      <rPr>
        <vertAlign val="subscript"/>
        <sz val="11"/>
        <rFont val="Calibri"/>
        <family val="2"/>
        <scheme val="minor"/>
      </rPr>
      <t>RP4</t>
    </r>
    <r>
      <rPr>
        <sz val="11"/>
        <rFont val="Calibri"/>
        <family val="2"/>
        <scheme val="minor"/>
      </rPr>
      <t>*OP</t>
    </r>
    <r>
      <rPr>
        <vertAlign val="subscript"/>
        <sz val="11"/>
        <rFont val="Calibri"/>
        <family val="2"/>
        <scheme val="minor"/>
      </rPr>
      <t>days</t>
    </r>
  </si>
  <si>
    <t>Release Point 5 daily release per site (Equipment Cleaning Losses)</t>
  </si>
  <si>
    <r>
      <t>Release_Day</t>
    </r>
    <r>
      <rPr>
        <vertAlign val="subscript"/>
        <sz val="11"/>
        <rFont val="Calibri"/>
        <family val="2"/>
        <scheme val="minor"/>
      </rPr>
      <t>RP5</t>
    </r>
  </si>
  <si>
    <r>
      <t>F</t>
    </r>
    <r>
      <rPr>
        <vertAlign val="subscript"/>
        <sz val="11"/>
        <rFont val="Calibri"/>
        <family val="2"/>
        <scheme val="minor"/>
      </rPr>
      <t>loss_equip</t>
    </r>
    <r>
      <rPr>
        <sz val="11"/>
        <rFont val="Calibri"/>
        <family val="2"/>
        <scheme val="minor"/>
      </rPr>
      <t>*Q</t>
    </r>
    <r>
      <rPr>
        <vertAlign val="subscript"/>
        <sz val="11"/>
        <rFont val="Calibri"/>
        <family val="2"/>
        <scheme val="minor"/>
      </rPr>
      <t>chem_day</t>
    </r>
  </si>
  <si>
    <t>Release Point 5 annual release per site (Equipment Cleaning Losses)</t>
  </si>
  <si>
    <r>
      <t>Release_Year</t>
    </r>
    <r>
      <rPr>
        <vertAlign val="subscript"/>
        <sz val="11"/>
        <rFont val="Calibri"/>
        <family val="2"/>
        <scheme val="minor"/>
      </rPr>
      <t>RP5</t>
    </r>
  </si>
  <si>
    <r>
      <t>Release_Day</t>
    </r>
    <r>
      <rPr>
        <vertAlign val="subscript"/>
        <sz val="11"/>
        <rFont val="Calibri"/>
        <family val="2"/>
        <scheme val="minor"/>
      </rPr>
      <t>RP5</t>
    </r>
    <r>
      <rPr>
        <sz val="11"/>
        <rFont val="Calibri"/>
        <family val="2"/>
        <scheme val="minor"/>
      </rPr>
      <t>*OP</t>
    </r>
    <r>
      <rPr>
        <vertAlign val="subscript"/>
        <sz val="11"/>
        <rFont val="Calibri"/>
        <family val="2"/>
        <scheme val="minor"/>
      </rPr>
      <t>days</t>
    </r>
  </si>
  <si>
    <t>Release Point 6 daily release per site (Open Surface Losses during Equipment Cleaning)</t>
  </si>
  <si>
    <r>
      <t>Release_Day</t>
    </r>
    <r>
      <rPr>
        <vertAlign val="subscript"/>
        <sz val="11"/>
        <rFont val="Calibri"/>
        <family val="2"/>
        <scheme val="minor"/>
      </rPr>
      <t>RP6</t>
    </r>
  </si>
  <si>
    <r>
      <t>Penetration Model (if air speed &lt;= 100 ft/min):
(OH</t>
    </r>
    <r>
      <rPr>
        <vertAlign val="subscript"/>
        <sz val="11"/>
        <rFont val="Calibri"/>
        <family val="2"/>
        <scheme val="minor"/>
      </rPr>
      <t>equip</t>
    </r>
    <r>
      <rPr>
        <sz val="11"/>
        <rFont val="Calibri"/>
        <family val="2"/>
        <scheme val="minor"/>
      </rPr>
      <t>*(3600 s/hr)/(1000g/kg))*[[(8.24E-8*(MW</t>
    </r>
    <r>
      <rPr>
        <vertAlign val="subscript"/>
        <sz val="11"/>
        <rFont val="Calibri"/>
        <family val="2"/>
        <scheme val="minor"/>
      </rPr>
      <t>11-DCA</t>
    </r>
    <r>
      <rPr>
        <sz val="11"/>
        <rFont val="Calibri"/>
        <family val="2"/>
        <scheme val="minor"/>
      </rPr>
      <t>^0.835)*VP*((1/29+1/MW</t>
    </r>
    <r>
      <rPr>
        <vertAlign val="subscript"/>
        <sz val="11"/>
        <rFont val="Calibri"/>
        <family val="2"/>
        <scheme val="minor"/>
      </rPr>
      <t>11-DCA</t>
    </r>
    <r>
      <rPr>
        <sz val="11"/>
        <rFont val="Calibri"/>
        <family val="2"/>
        <scheme val="minor"/>
      </rPr>
      <t>)^0.25)*(RATE</t>
    </r>
    <r>
      <rPr>
        <vertAlign val="subscript"/>
        <sz val="11"/>
        <rFont val="Calibri"/>
        <family val="2"/>
        <scheme val="minor"/>
      </rPr>
      <t>air_speed</t>
    </r>
    <r>
      <rPr>
        <sz val="11"/>
        <rFont val="Calibri"/>
        <family val="2"/>
        <scheme val="minor"/>
      </rPr>
      <t>^0.5)*(0.25*pi*D</t>
    </r>
    <r>
      <rPr>
        <vertAlign val="subscript"/>
        <sz val="11"/>
        <rFont val="Calibri"/>
        <family val="2"/>
        <scheme val="minor"/>
      </rPr>
      <t>container</t>
    </r>
    <r>
      <rPr>
        <sz val="11"/>
        <rFont val="Calibri"/>
        <family val="2"/>
        <scheme val="minor"/>
      </rPr>
      <t>^2)]/(T^0.05*D</t>
    </r>
    <r>
      <rPr>
        <vertAlign val="subscript"/>
        <sz val="11"/>
        <rFont val="Calibri"/>
        <family val="2"/>
        <scheme val="minor"/>
      </rPr>
      <t>container</t>
    </r>
    <r>
      <rPr>
        <sz val="11"/>
        <rFont val="Calibri"/>
        <family val="2"/>
        <scheme val="minor"/>
      </rPr>
      <t>^0.5*P^0.5)]
Mass Transfer Coefficient Model (if air speed &gt;100 ft/min):
(OH</t>
    </r>
    <r>
      <rPr>
        <vertAlign val="subscript"/>
        <sz val="11"/>
        <rFont val="Calibri"/>
        <family val="2"/>
        <scheme val="minor"/>
      </rPr>
      <t>equip</t>
    </r>
    <r>
      <rPr>
        <sz val="11"/>
        <rFont val="Calibri"/>
        <family val="2"/>
        <scheme val="minor"/>
      </rPr>
      <t>*(3600 s/hr)/(1000g/kg))*[[(1.93E-7*(MW</t>
    </r>
    <r>
      <rPr>
        <vertAlign val="subscript"/>
        <sz val="11"/>
        <rFont val="Calibri"/>
        <family val="2"/>
        <scheme val="minor"/>
      </rPr>
      <t>11-DCA</t>
    </r>
    <r>
      <rPr>
        <sz val="11"/>
        <rFont val="Calibri"/>
        <family val="2"/>
        <scheme val="minor"/>
      </rPr>
      <t>^0.78)*VP*((1/29+1/MW</t>
    </r>
    <r>
      <rPr>
        <vertAlign val="subscript"/>
        <sz val="11"/>
        <rFont val="Calibri"/>
        <family val="2"/>
        <scheme val="minor"/>
      </rPr>
      <t>11-DCA</t>
    </r>
    <r>
      <rPr>
        <sz val="11"/>
        <rFont val="Calibri"/>
        <family val="2"/>
        <scheme val="minor"/>
      </rPr>
      <t>)^0.33)*(RATE</t>
    </r>
    <r>
      <rPr>
        <vertAlign val="subscript"/>
        <sz val="11"/>
        <rFont val="Calibri"/>
        <family val="2"/>
        <scheme val="minor"/>
      </rPr>
      <t>air_speed</t>
    </r>
    <r>
      <rPr>
        <sz val="11"/>
        <rFont val="Calibri"/>
        <family val="2"/>
        <scheme val="minor"/>
      </rPr>
      <t>^0.78)*(0.25*pi*D</t>
    </r>
    <r>
      <rPr>
        <vertAlign val="subscript"/>
        <sz val="11"/>
        <rFont val="Calibri"/>
        <family val="2"/>
        <scheme val="minor"/>
      </rPr>
      <t>container</t>
    </r>
    <r>
      <rPr>
        <sz val="11"/>
        <rFont val="Calibri"/>
        <family val="2"/>
        <scheme val="minor"/>
      </rPr>
      <t>^2)]/(T^0.4*D</t>
    </r>
    <r>
      <rPr>
        <vertAlign val="subscript"/>
        <sz val="11"/>
        <rFont val="Calibri"/>
        <family val="2"/>
        <scheme val="minor"/>
      </rPr>
      <t>container</t>
    </r>
    <r>
      <rPr>
        <sz val="11"/>
        <rFont val="Calibri"/>
        <family val="2"/>
        <scheme val="minor"/>
      </rPr>
      <t>^0.11*(T^0.5-5.87)^(2/3)]</t>
    </r>
  </si>
  <si>
    <t>Release Point 6 annual release per site (Open Surface Losses during Equipment Cleaning)</t>
  </si>
  <si>
    <r>
      <t>Release_Year</t>
    </r>
    <r>
      <rPr>
        <vertAlign val="subscript"/>
        <sz val="11"/>
        <rFont val="Calibri"/>
        <family val="2"/>
        <scheme val="minor"/>
      </rPr>
      <t>RP6</t>
    </r>
  </si>
  <si>
    <r>
      <t>Release_Day</t>
    </r>
    <r>
      <rPr>
        <vertAlign val="subscript"/>
        <sz val="11"/>
        <rFont val="Calibri"/>
        <family val="2"/>
        <scheme val="minor"/>
      </rPr>
      <t>RP6</t>
    </r>
    <r>
      <rPr>
        <sz val="11"/>
        <rFont val="Calibri"/>
        <family val="2"/>
        <scheme val="minor"/>
      </rPr>
      <t>*OP</t>
    </r>
    <r>
      <rPr>
        <vertAlign val="subscript"/>
        <sz val="11"/>
        <rFont val="Calibri"/>
        <family val="2"/>
        <scheme val="minor"/>
      </rPr>
      <t>days</t>
    </r>
  </si>
  <si>
    <t>Release Point 7 daily release per site (Release during Laboratory Analyses)</t>
  </si>
  <si>
    <r>
      <t>Release_Day</t>
    </r>
    <r>
      <rPr>
        <vertAlign val="subscript"/>
        <sz val="11"/>
        <rFont val="Calibri"/>
        <family val="2"/>
        <scheme val="minor"/>
      </rPr>
      <t>RP7</t>
    </r>
  </si>
  <si>
    <r>
      <t>Penetration Model (if air speed &lt;= 100 ft/min):
(OH</t>
    </r>
    <r>
      <rPr>
        <vertAlign val="subscript"/>
        <sz val="11"/>
        <rFont val="Calibri"/>
        <family val="2"/>
        <scheme val="minor"/>
      </rPr>
      <t>sampling</t>
    </r>
    <r>
      <rPr>
        <sz val="11"/>
        <rFont val="Calibri"/>
        <family val="2"/>
        <scheme val="minor"/>
      </rPr>
      <t>*(3600 s/hr)/(1000g/kg))*[[(8.24E-8*(MW</t>
    </r>
    <r>
      <rPr>
        <vertAlign val="subscript"/>
        <sz val="11"/>
        <rFont val="Calibri"/>
        <family val="2"/>
        <scheme val="minor"/>
      </rPr>
      <t>11-DCA</t>
    </r>
    <r>
      <rPr>
        <sz val="11"/>
        <rFont val="Calibri"/>
        <family val="2"/>
        <scheme val="minor"/>
      </rPr>
      <t>^0.835)*VP*((1/29+1/MW</t>
    </r>
    <r>
      <rPr>
        <vertAlign val="subscript"/>
        <sz val="11"/>
        <rFont val="Calibri"/>
        <family val="2"/>
        <scheme val="minor"/>
      </rPr>
      <t>11-DCA</t>
    </r>
    <r>
      <rPr>
        <sz val="11"/>
        <rFont val="Calibri"/>
        <family val="2"/>
        <scheme val="minor"/>
      </rPr>
      <t>)^0.25)*(RATE</t>
    </r>
    <r>
      <rPr>
        <vertAlign val="subscript"/>
        <sz val="11"/>
        <rFont val="Calibri"/>
        <family val="2"/>
        <scheme val="minor"/>
      </rPr>
      <t>air_speed</t>
    </r>
    <r>
      <rPr>
        <sz val="11"/>
        <rFont val="Calibri"/>
        <family val="2"/>
        <scheme val="minor"/>
      </rPr>
      <t>^0.5)*(0.25*pi*D</t>
    </r>
    <r>
      <rPr>
        <vertAlign val="subscript"/>
        <sz val="11"/>
        <rFont val="Calibri"/>
        <family val="2"/>
        <scheme val="minor"/>
      </rPr>
      <t>container_lab_analysis</t>
    </r>
    <r>
      <rPr>
        <sz val="11"/>
        <rFont val="Calibri"/>
        <family val="2"/>
        <scheme val="minor"/>
      </rPr>
      <t>^2)]/(T^0.05*D</t>
    </r>
    <r>
      <rPr>
        <vertAlign val="subscript"/>
        <sz val="11"/>
        <rFont val="Calibri"/>
        <family val="2"/>
        <scheme val="minor"/>
      </rPr>
      <t>container_lab_analysis</t>
    </r>
    <r>
      <rPr>
        <sz val="11"/>
        <rFont val="Calibri"/>
        <family val="2"/>
        <scheme val="minor"/>
      </rPr>
      <t>^0.5*P^0.5)]
Mass Transfer Coefficient Model (if air speed &gt;100 ft/min):
(OH</t>
    </r>
    <r>
      <rPr>
        <vertAlign val="subscript"/>
        <sz val="11"/>
        <rFont val="Calibri"/>
        <family val="2"/>
        <scheme val="minor"/>
      </rPr>
      <t>sampling</t>
    </r>
    <r>
      <rPr>
        <sz val="11"/>
        <rFont val="Calibri"/>
        <family val="2"/>
        <scheme val="minor"/>
      </rPr>
      <t>*(3600 s/hr)/(1000g/kg))*[[(1.93E-7*(MW</t>
    </r>
    <r>
      <rPr>
        <vertAlign val="subscript"/>
        <sz val="11"/>
        <rFont val="Calibri"/>
        <family val="2"/>
        <scheme val="minor"/>
      </rPr>
      <t>11-DCA</t>
    </r>
    <r>
      <rPr>
        <sz val="11"/>
        <rFont val="Calibri"/>
        <family val="2"/>
        <scheme val="minor"/>
      </rPr>
      <t>^0.78)*VP*((1/29+1/MW</t>
    </r>
    <r>
      <rPr>
        <vertAlign val="subscript"/>
        <sz val="11"/>
        <rFont val="Calibri"/>
        <family val="2"/>
        <scheme val="minor"/>
      </rPr>
      <t>11-DCA</t>
    </r>
    <r>
      <rPr>
        <sz val="11"/>
        <rFont val="Calibri"/>
        <family val="2"/>
        <scheme val="minor"/>
      </rPr>
      <t>)^0.33)*(RATE</t>
    </r>
    <r>
      <rPr>
        <vertAlign val="subscript"/>
        <sz val="11"/>
        <rFont val="Calibri"/>
        <family val="2"/>
        <scheme val="minor"/>
      </rPr>
      <t>air_speed</t>
    </r>
    <r>
      <rPr>
        <sz val="11"/>
        <rFont val="Calibri"/>
        <family val="2"/>
        <scheme val="minor"/>
      </rPr>
      <t>^0.78)*(0.25*pi*D</t>
    </r>
    <r>
      <rPr>
        <vertAlign val="subscript"/>
        <sz val="11"/>
        <rFont val="Calibri"/>
        <family val="2"/>
        <scheme val="minor"/>
      </rPr>
      <t>container_lab_analysis</t>
    </r>
    <r>
      <rPr>
        <sz val="11"/>
        <rFont val="Calibri"/>
        <family val="2"/>
        <scheme val="minor"/>
      </rPr>
      <t>^2)]/(T^0.4*D</t>
    </r>
    <r>
      <rPr>
        <vertAlign val="subscript"/>
        <sz val="11"/>
        <rFont val="Calibri"/>
        <family val="2"/>
        <scheme val="minor"/>
      </rPr>
      <t>container_lab_analysis</t>
    </r>
    <r>
      <rPr>
        <sz val="11"/>
        <rFont val="Calibri"/>
        <family val="2"/>
        <scheme val="minor"/>
      </rPr>
      <t>^0.11*(T^0.5-5.87)^(2/3)]</t>
    </r>
  </si>
  <si>
    <t>Release Point 7 annual release per site (Release during Laboratory Analyses)</t>
  </si>
  <si>
    <r>
      <t>Release_Year</t>
    </r>
    <r>
      <rPr>
        <vertAlign val="subscript"/>
        <sz val="11"/>
        <rFont val="Calibri"/>
        <family val="2"/>
        <scheme val="minor"/>
      </rPr>
      <t>RP7</t>
    </r>
  </si>
  <si>
    <r>
      <t>Release_Day</t>
    </r>
    <r>
      <rPr>
        <vertAlign val="subscript"/>
        <sz val="11"/>
        <rFont val="Calibri"/>
        <family val="2"/>
        <scheme val="minor"/>
      </rPr>
      <t>RP7</t>
    </r>
    <r>
      <rPr>
        <sz val="11"/>
        <rFont val="Calibri"/>
        <family val="2"/>
        <scheme val="minor"/>
      </rPr>
      <t>*OP</t>
    </r>
    <r>
      <rPr>
        <vertAlign val="subscript"/>
        <sz val="11"/>
        <rFont val="Calibri"/>
        <family val="2"/>
        <scheme val="minor"/>
      </rPr>
      <t>days</t>
    </r>
  </si>
  <si>
    <t>Release Point 8 daily release per site (Release from Disposal of Laboratory Waste)</t>
  </si>
  <si>
    <r>
      <t>Release_Day</t>
    </r>
    <r>
      <rPr>
        <vertAlign val="subscript"/>
        <sz val="11"/>
        <rFont val="Calibri"/>
        <family val="2"/>
        <scheme val="minor"/>
      </rPr>
      <t>RP8</t>
    </r>
  </si>
  <si>
    <r>
      <t>Q</t>
    </r>
    <r>
      <rPr>
        <vertAlign val="subscript"/>
        <sz val="11"/>
        <rFont val="Calibri"/>
        <family val="2"/>
        <scheme val="minor"/>
      </rPr>
      <t>chem_day</t>
    </r>
    <r>
      <rPr>
        <sz val="11"/>
        <rFont val="Calibri"/>
        <family val="2"/>
        <scheme val="minor"/>
      </rPr>
      <t xml:space="preserve"> - Release_Day</t>
    </r>
    <r>
      <rPr>
        <vertAlign val="subscript"/>
        <sz val="11"/>
        <rFont val="Calibri"/>
        <family val="2"/>
        <scheme val="minor"/>
      </rPr>
      <t>RP1</t>
    </r>
    <r>
      <rPr>
        <sz val="11"/>
        <rFont val="Calibri"/>
        <family val="2"/>
        <scheme val="minor"/>
      </rPr>
      <t xml:space="preserve"> - Release_Day</t>
    </r>
    <r>
      <rPr>
        <vertAlign val="subscript"/>
        <sz val="11"/>
        <rFont val="Calibri"/>
        <family val="2"/>
        <scheme val="minor"/>
      </rPr>
      <t>RP2</t>
    </r>
    <r>
      <rPr>
        <sz val="11"/>
        <rFont val="Calibri"/>
        <family val="2"/>
        <scheme val="minor"/>
      </rPr>
      <t xml:space="preserve"> - Release_Day</t>
    </r>
    <r>
      <rPr>
        <vertAlign val="subscript"/>
        <sz val="11"/>
        <rFont val="Calibri"/>
        <family val="2"/>
        <scheme val="minor"/>
      </rPr>
      <t xml:space="preserve">RP3 </t>
    </r>
    <r>
      <rPr>
        <sz val="11"/>
        <rFont val="Calibri"/>
        <family val="2"/>
        <scheme val="minor"/>
      </rPr>
      <t>- Release_Day</t>
    </r>
    <r>
      <rPr>
        <vertAlign val="subscript"/>
        <sz val="11"/>
        <rFont val="Calibri"/>
        <family val="2"/>
        <scheme val="minor"/>
      </rPr>
      <t>RP4</t>
    </r>
    <r>
      <rPr>
        <sz val="11"/>
        <rFont val="Calibri"/>
        <family val="2"/>
        <scheme val="minor"/>
      </rPr>
      <t xml:space="preserve"> - Release_Day</t>
    </r>
    <r>
      <rPr>
        <vertAlign val="subscript"/>
        <sz val="11"/>
        <rFont val="Calibri"/>
        <family val="2"/>
        <scheme val="minor"/>
      </rPr>
      <t>RP5</t>
    </r>
    <r>
      <rPr>
        <sz val="11"/>
        <rFont val="Calibri"/>
        <family val="2"/>
        <scheme val="minor"/>
      </rPr>
      <t xml:space="preserve"> - Release_Day</t>
    </r>
    <r>
      <rPr>
        <vertAlign val="subscript"/>
        <sz val="11"/>
        <rFont val="Calibri"/>
        <family val="2"/>
        <scheme val="minor"/>
      </rPr>
      <t>RP6</t>
    </r>
    <r>
      <rPr>
        <sz val="11"/>
        <rFont val="Calibri"/>
        <family val="2"/>
        <scheme val="minor"/>
      </rPr>
      <t xml:space="preserve"> - Release_Day</t>
    </r>
    <r>
      <rPr>
        <vertAlign val="subscript"/>
        <sz val="11"/>
        <rFont val="Calibri"/>
        <family val="2"/>
        <scheme val="minor"/>
      </rPr>
      <t>RP7</t>
    </r>
  </si>
  <si>
    <t>Release Point 8 annual release per site (Release from Disposal of Laboratory Waste)</t>
  </si>
  <si>
    <r>
      <t>Release_Year</t>
    </r>
    <r>
      <rPr>
        <vertAlign val="subscript"/>
        <sz val="11"/>
        <rFont val="Calibri"/>
        <family val="2"/>
        <scheme val="minor"/>
      </rPr>
      <t>RP8</t>
    </r>
  </si>
  <si>
    <r>
      <t>Release_Day</t>
    </r>
    <r>
      <rPr>
        <vertAlign val="subscript"/>
        <sz val="11"/>
        <rFont val="Calibri"/>
        <family val="2"/>
        <scheme val="minor"/>
      </rPr>
      <t>RP8</t>
    </r>
    <r>
      <rPr>
        <sz val="11"/>
        <rFont val="Calibri"/>
        <family val="2"/>
        <scheme val="minor"/>
      </rPr>
      <t>*OP</t>
    </r>
    <r>
      <rPr>
        <vertAlign val="subscript"/>
        <sz val="11"/>
        <rFont val="Calibri"/>
        <family val="2"/>
        <scheme val="minor"/>
      </rPr>
      <t>days</t>
    </r>
  </si>
  <si>
    <t>Total Daily Release to fugitive or stack air</t>
  </si>
  <si>
    <t>Release_Day_Air</t>
  </si>
  <si>
    <r>
      <t>Release_Day</t>
    </r>
    <r>
      <rPr>
        <vertAlign val="subscript"/>
        <sz val="11"/>
        <rFont val="Calibri"/>
        <family val="2"/>
        <scheme val="minor"/>
      </rPr>
      <t>RP1</t>
    </r>
    <r>
      <rPr>
        <sz val="11"/>
        <rFont val="Calibri"/>
        <family val="2"/>
        <scheme val="minor"/>
      </rPr>
      <t xml:space="preserve"> + Release_Day</t>
    </r>
    <r>
      <rPr>
        <vertAlign val="subscript"/>
        <sz val="11"/>
        <rFont val="Calibri"/>
        <family val="2"/>
        <scheme val="minor"/>
      </rPr>
      <t>RP4</t>
    </r>
    <r>
      <rPr>
        <sz val="11"/>
        <rFont val="Calibri"/>
        <family val="2"/>
        <scheme val="minor"/>
      </rPr>
      <t xml:space="preserve"> + Release_Day</t>
    </r>
    <r>
      <rPr>
        <vertAlign val="subscript"/>
        <sz val="11"/>
        <rFont val="Calibri"/>
        <family val="2"/>
        <scheme val="minor"/>
      </rPr>
      <t>RP6</t>
    </r>
    <r>
      <rPr>
        <sz val="11"/>
        <rFont val="Calibri"/>
        <family val="2"/>
        <scheme val="minor"/>
      </rPr>
      <t xml:space="preserve"> + Release_Day</t>
    </r>
    <r>
      <rPr>
        <vertAlign val="subscript"/>
        <sz val="11"/>
        <rFont val="Calibri"/>
        <family val="2"/>
        <scheme val="minor"/>
      </rPr>
      <t>RP7</t>
    </r>
  </si>
  <si>
    <t>Total Annual Release to fugitive or stack air</t>
  </si>
  <si>
    <t>Release_Year_Air</t>
  </si>
  <si>
    <r>
      <t>Release_Day_Air*OP</t>
    </r>
    <r>
      <rPr>
        <vertAlign val="subscript"/>
        <sz val="11"/>
        <rFont val="Calibri"/>
        <family val="2"/>
        <scheme val="minor"/>
      </rPr>
      <t>days</t>
    </r>
  </si>
  <si>
    <t>Total Daily Release to water, incineration, or landfill</t>
  </si>
  <si>
    <t>Release_Day_Wat_Inc_Lan</t>
  </si>
  <si>
    <r>
      <t>Release_Day</t>
    </r>
    <r>
      <rPr>
        <vertAlign val="subscript"/>
        <sz val="11"/>
        <rFont val="Calibri"/>
        <family val="2"/>
        <scheme val="minor"/>
      </rPr>
      <t>RP3</t>
    </r>
    <r>
      <rPr>
        <sz val="11"/>
        <rFont val="Calibri"/>
        <family val="2"/>
        <scheme val="minor"/>
      </rPr>
      <t xml:space="preserve"> + Release_Day</t>
    </r>
    <r>
      <rPr>
        <vertAlign val="subscript"/>
        <sz val="11"/>
        <rFont val="Calibri"/>
        <family val="2"/>
        <scheme val="minor"/>
      </rPr>
      <t>RP5</t>
    </r>
    <r>
      <rPr>
        <sz val="11"/>
        <rFont val="Calibri"/>
        <family val="2"/>
        <scheme val="minor"/>
      </rPr>
      <t xml:space="preserve"> + Release_Day</t>
    </r>
    <r>
      <rPr>
        <vertAlign val="subscript"/>
        <sz val="11"/>
        <rFont val="Calibri"/>
        <family val="2"/>
        <scheme val="minor"/>
      </rPr>
      <t>RP8</t>
    </r>
  </si>
  <si>
    <t>Total Annual Release to water, incineration, or landfill</t>
  </si>
  <si>
    <t>Release_Year_Wat_Inc_Lan</t>
  </si>
  <si>
    <r>
      <t>Release_Day_Wat_Inc_Lan*OP</t>
    </r>
    <r>
      <rPr>
        <vertAlign val="subscript"/>
        <sz val="11"/>
        <rFont val="Calibri"/>
        <family val="2"/>
        <scheme val="minor"/>
      </rPr>
      <t>days</t>
    </r>
  </si>
  <si>
    <t>What-If Scenario</t>
  </si>
  <si>
    <t>Monte Carlo Simulation Parameters</t>
  </si>
  <si>
    <t>Number of Iterations</t>
  </si>
  <si>
    <t>Sampling Method</t>
  </si>
  <si>
    <t>Latin Hypercube</t>
  </si>
  <si>
    <t>Release Media</t>
  </si>
  <si>
    <t>Total Annual Release (kg/site-yr)</t>
  </si>
  <si>
    <t>Fugitive or stack air</t>
  </si>
  <si>
    <t>Annual Throughput of 12-DCA (kg/site-yr)</t>
  </si>
  <si>
    <r>
      <t>Q</t>
    </r>
    <r>
      <rPr>
        <vertAlign val="subscript"/>
        <sz val="11"/>
        <rFont val="Calibri"/>
        <family val="2"/>
        <scheme val="minor"/>
      </rPr>
      <t>chem_site_yr</t>
    </r>
  </si>
  <si>
    <t>Daily Throughput 12-DCA (kg/site-day)</t>
  </si>
  <si>
    <r>
      <t>Q</t>
    </r>
    <r>
      <rPr>
        <vertAlign val="subscript"/>
        <sz val="11"/>
        <rFont val="Calibri"/>
        <family val="2"/>
        <scheme val="minor"/>
      </rPr>
      <t>chem_site_day</t>
    </r>
  </si>
  <si>
    <t>Daily Throughput of Stock Solution (mL/site-day)</t>
  </si>
  <si>
    <r>
      <t>Q</t>
    </r>
    <r>
      <rPr>
        <vertAlign val="subscript"/>
        <sz val="11"/>
        <rFont val="Calibri"/>
        <family val="2"/>
        <scheme val="minor"/>
      </rPr>
      <t>stock_site_day</t>
    </r>
  </si>
  <si>
    <t>Maximum</t>
  </si>
  <si>
    <t>99th Percentile</t>
  </si>
  <si>
    <t>5th Percentile</t>
  </si>
  <si>
    <t>Minimum</t>
  </si>
  <si>
    <t>Mean</t>
  </si>
  <si>
    <t>Total Release per-Day (kg/site-day)</t>
  </si>
  <si>
    <t>Release Days (days/yr)</t>
  </si>
  <si>
    <r>
      <t>N</t>
    </r>
    <r>
      <rPr>
        <vertAlign val="subscript"/>
        <sz val="11"/>
        <color theme="1"/>
        <rFont val="Calibri"/>
        <family val="2"/>
        <scheme val="minor"/>
      </rPr>
      <t>sites</t>
    </r>
  </si>
  <si>
    <t>Number of Transport Containers Unloaded Annually per Laboratory (containers/site-yr)</t>
  </si>
  <si>
    <t>Release Point (from Generic Scenario)</t>
  </si>
  <si>
    <t>Release Day Basis</t>
  </si>
  <si>
    <t>-</t>
  </si>
  <si>
    <t>Release (kg/site-yr)</t>
  </si>
  <si>
    <r>
      <t>Release_Year</t>
    </r>
    <r>
      <rPr>
        <vertAlign val="subscript"/>
        <sz val="11"/>
        <color theme="1"/>
        <rFont val="Calibri"/>
        <family val="2"/>
        <scheme val="minor"/>
      </rPr>
      <t>RP1</t>
    </r>
  </si>
  <si>
    <r>
      <t>Release_Year</t>
    </r>
    <r>
      <rPr>
        <vertAlign val="subscript"/>
        <sz val="11"/>
        <color theme="1"/>
        <rFont val="Calibri"/>
        <family val="2"/>
        <scheme val="minor"/>
      </rPr>
      <t>RP3</t>
    </r>
    <r>
      <rPr>
        <sz val="11"/>
        <color theme="1"/>
        <rFont val="Calibri"/>
        <family val="2"/>
        <scheme val="minor"/>
      </rPr>
      <t/>
    </r>
  </si>
  <si>
    <r>
      <t>Release_Year</t>
    </r>
    <r>
      <rPr>
        <vertAlign val="subscript"/>
        <sz val="11"/>
        <color theme="1"/>
        <rFont val="Calibri"/>
        <family val="2"/>
        <scheme val="minor"/>
      </rPr>
      <t>RP4</t>
    </r>
    <r>
      <rPr>
        <sz val="11"/>
        <color theme="1"/>
        <rFont val="Calibri"/>
        <family val="2"/>
        <scheme val="minor"/>
      </rPr>
      <t/>
    </r>
  </si>
  <si>
    <r>
      <t>Release_Year</t>
    </r>
    <r>
      <rPr>
        <vertAlign val="subscript"/>
        <sz val="11"/>
        <color theme="1"/>
        <rFont val="Calibri"/>
        <family val="2"/>
        <scheme val="minor"/>
      </rPr>
      <t>RP5</t>
    </r>
    <r>
      <rPr>
        <sz val="11"/>
        <color theme="1"/>
        <rFont val="Calibri"/>
        <family val="2"/>
        <scheme val="minor"/>
      </rPr>
      <t/>
    </r>
  </si>
  <si>
    <r>
      <t>Release_Year</t>
    </r>
    <r>
      <rPr>
        <vertAlign val="subscript"/>
        <sz val="11"/>
        <color theme="1"/>
        <rFont val="Calibri"/>
        <family val="2"/>
        <scheme val="minor"/>
      </rPr>
      <t>RP6</t>
    </r>
  </si>
  <si>
    <r>
      <t>Release_Year</t>
    </r>
    <r>
      <rPr>
        <vertAlign val="subscript"/>
        <sz val="11"/>
        <color theme="1"/>
        <rFont val="Calibri"/>
        <family val="2"/>
        <scheme val="minor"/>
      </rPr>
      <t>RP7</t>
    </r>
    <r>
      <rPr>
        <sz val="11"/>
        <color theme="1"/>
        <rFont val="Calibri"/>
        <family val="2"/>
        <scheme val="minor"/>
      </rPr>
      <t/>
    </r>
  </si>
  <si>
    <r>
      <t>Release_Year</t>
    </r>
    <r>
      <rPr>
        <vertAlign val="subscript"/>
        <sz val="11"/>
        <color theme="1"/>
        <rFont val="Calibri"/>
        <family val="2"/>
        <scheme val="minor"/>
      </rPr>
      <t>RP8</t>
    </r>
    <r>
      <rPr>
        <sz val="11"/>
        <color theme="1"/>
        <rFont val="Calibri"/>
        <family val="2"/>
        <scheme val="minor"/>
      </rPr>
      <t/>
    </r>
  </si>
  <si>
    <t>Release (kg/site-day)</t>
  </si>
  <si>
    <r>
      <t>Release_per Day</t>
    </r>
    <r>
      <rPr>
        <vertAlign val="subscript"/>
        <sz val="11"/>
        <color theme="1"/>
        <rFont val="Calibri"/>
        <family val="2"/>
        <scheme val="minor"/>
      </rPr>
      <t>RP1</t>
    </r>
  </si>
  <si>
    <r>
      <t>Release_per Day</t>
    </r>
    <r>
      <rPr>
        <vertAlign val="subscript"/>
        <sz val="11"/>
        <color theme="1"/>
        <rFont val="Calibri"/>
        <family val="2"/>
        <scheme val="minor"/>
      </rPr>
      <t>RP3</t>
    </r>
    <r>
      <rPr>
        <sz val="11"/>
        <color theme="1"/>
        <rFont val="Calibri"/>
        <family val="2"/>
        <scheme val="minor"/>
      </rPr>
      <t/>
    </r>
  </si>
  <si>
    <r>
      <t>Release_per Day</t>
    </r>
    <r>
      <rPr>
        <vertAlign val="subscript"/>
        <sz val="11"/>
        <color theme="1"/>
        <rFont val="Calibri"/>
        <family val="2"/>
        <scheme val="minor"/>
      </rPr>
      <t>RP4</t>
    </r>
    <r>
      <rPr>
        <sz val="11"/>
        <color theme="1"/>
        <rFont val="Calibri"/>
        <family val="2"/>
        <scheme val="minor"/>
      </rPr>
      <t/>
    </r>
  </si>
  <si>
    <r>
      <t>Release_per Day</t>
    </r>
    <r>
      <rPr>
        <vertAlign val="subscript"/>
        <sz val="11"/>
        <color theme="1"/>
        <rFont val="Calibri"/>
        <family val="2"/>
        <scheme val="minor"/>
      </rPr>
      <t>RP5</t>
    </r>
    <r>
      <rPr>
        <sz val="11"/>
        <color theme="1"/>
        <rFont val="Calibri"/>
        <family val="2"/>
        <scheme val="minor"/>
      </rPr>
      <t/>
    </r>
  </si>
  <si>
    <r>
      <t>Release_per Day</t>
    </r>
    <r>
      <rPr>
        <vertAlign val="subscript"/>
        <sz val="11"/>
        <color theme="1"/>
        <rFont val="Calibri"/>
        <family val="2"/>
        <scheme val="minor"/>
      </rPr>
      <t>RP6</t>
    </r>
  </si>
  <si>
    <r>
      <t>Release_per Day</t>
    </r>
    <r>
      <rPr>
        <vertAlign val="subscript"/>
        <sz val="11"/>
        <color theme="1"/>
        <rFont val="Calibri"/>
        <family val="2"/>
        <scheme val="minor"/>
      </rPr>
      <t>RP7</t>
    </r>
    <r>
      <rPr>
        <sz val="11"/>
        <color theme="1"/>
        <rFont val="Calibri"/>
        <family val="2"/>
        <scheme val="minor"/>
      </rPr>
      <t/>
    </r>
  </si>
  <si>
    <r>
      <t>Release_per Day</t>
    </r>
    <r>
      <rPr>
        <vertAlign val="subscript"/>
        <sz val="11"/>
        <color theme="1"/>
        <rFont val="Calibri"/>
        <family val="2"/>
        <scheme val="minor"/>
      </rPr>
      <t>RP8</t>
    </r>
    <r>
      <rPr>
        <sz val="11"/>
        <color theme="1"/>
        <rFont val="Calibri"/>
        <family val="2"/>
        <scheme val="minor"/>
      </rPr>
      <t/>
    </r>
  </si>
  <si>
    <t>Daily Release Duration (hours/day)</t>
  </si>
  <si>
    <t>Release_Duration per Day_RP1</t>
  </si>
  <si>
    <t>Release_Duration per Day_RP3</t>
  </si>
  <si>
    <t>Release_Duration per Day_RP4</t>
  </si>
  <si>
    <t>Release_Duration per Day_RP5</t>
  </si>
  <si>
    <t>Release_Duration per Day_RP6</t>
  </si>
  <si>
    <t>Release_Duration per Day_RP7</t>
  </si>
  <si>
    <t>Release_Duration per Day_RP8</t>
  </si>
  <si>
    <t>Annual Release Duration (hours/yr)</t>
  </si>
  <si>
    <t>Release_Duration per Year_RP1</t>
  </si>
  <si>
    <t>Release_Duration per Year_RP3</t>
  </si>
  <si>
    <t>Release_Duration per Year_RP4</t>
  </si>
  <si>
    <t>Release_Duration per Year_RP5</t>
  </si>
  <si>
    <t>Release_Duration per Year_RP6</t>
  </si>
  <si>
    <t>Release_Duration per Year_RP7</t>
  </si>
  <si>
    <t>Release_Duration per Year_RP8</t>
  </si>
  <si>
    <t>Qchem_site_yr</t>
  </si>
  <si>
    <t>Qchem_site_day</t>
  </si>
  <si>
    <t>Qstock_site_day</t>
  </si>
  <si>
    <t>TIMEoperating_days</t>
  </si>
  <si>
    <t>Nsites</t>
  </si>
  <si>
    <t>Ncont_unload_yr</t>
  </si>
  <si>
    <t>Release_YearRP1</t>
  </si>
  <si>
    <t>Release_YearRP3</t>
  </si>
  <si>
    <t>Release_YearRP4</t>
  </si>
  <si>
    <t>Release_YearRP5</t>
  </si>
  <si>
    <t>Release_YearRP6</t>
  </si>
  <si>
    <t>Release_YearRP7</t>
  </si>
  <si>
    <t>Release_YearRP8</t>
  </si>
  <si>
    <t>Release_per DayRP1</t>
  </si>
  <si>
    <t>Release_per DayRP3</t>
  </si>
  <si>
    <t>Release_per DayRP4</t>
  </si>
  <si>
    <t>Release_per DayRP5</t>
  </si>
  <si>
    <t>Release_per DayRP6</t>
  </si>
  <si>
    <t>Release_per DayRP7</t>
  </si>
  <si>
    <t>Release_per DayRP8</t>
  </si>
  <si>
    <t>CASRN 107-06-2</t>
  </si>
  <si>
    <t>Provided by the Generic Scenario for Laboratory Chemicals. The Generic Scenario estimates 174 to 260 days/yr for operating days however we use 173 to 261 days/yr for mathematical purposes only for building the distribution. These values of 173 and 261 days/yr have a probability of zero. The effective range in the simulation is 174 to 260 days/yr, which corresponds to the Generic Scenario.</t>
  </si>
  <si>
    <t>1,2-Dichloroethane (1,2-DCA) Concentration and Product Density information associated with laboratory chemical products listed on the July 2022 Use Report, August 2020 Scope Document, and process descriptions for 1,2-dichloroethane. Data from this sheet informed the values entered into the "Release Parameters" worksheet.</t>
  </si>
  <si>
    <t>General 1,2-Dichloroethane Info:  
 -  Total PV = 30,000,000,000 - &lt;40,000,000,000 lb (each year from 2016-2019) (Manufactured domestically)
 -  Number of sites that use 1,2-dichloroethane as a laboratory chemical are unknown; therefore it was assumed for the purpose of this analysis that one sole site used 1,2-dichloroethane strictly as a laboratory chemical.
 -  PV for Laboratory Use is unknown; assuming 1 site, annual throughput of 1,2-dichloroethane was calculated to range from 0.1 to 1,259 kg/site-yr (50th percentile  = 16.7 kg/site-yr; mean = 196.4 kg/site-yr), over 174 to 260 days/site-yr, resulting in 0.0002 to 4.9 kg/site-day (50th percentile = 0.1 kg/site-day; mean = 0.8 kg/site-day) - see "Scenario 1_Static" tab..
 - 1,2-Dichloroethane is a volatile liquid, VP = 78.9 torr; MW = 98.96 g/mol. 
 - No dust or solid releases for 1,2-dichloroethane are expected since it is assumed to be managed as a liquid.</t>
  </si>
  <si>
    <r>
      <t>Basis for Laboratory Use: Products listed as laboratory chemicals in the July 2022 Use Report, August 2020 Scope Document, and Laboratory Chemicals Process Description for 1,2-dichloroethane are liquid formulations that are expected to only be used as reference material/analytical standards.</t>
    </r>
    <r>
      <rPr>
        <sz val="11"/>
        <rFont val="Calibri"/>
        <family val="2"/>
        <scheme val="minor"/>
      </rPr>
      <t xml:space="preserve"> These products are expected to follow procedures outlined as part of the Laboratory Chemicals Generic Scenario (GS). When no 1,2-dichloroethane-specific or scenario-specific data is available, default values provided by the Laboratory Chemicals GS or engineering judgment for selection of applicable models and parameters will be used.</t>
    </r>
  </si>
  <si>
    <t>The 1,2-Dichloroethane Use Report, Final Scope Document, and Laboratory Chemicals Process Description provide an SDS for ten laboratory products which contain 1,2-dichloroethane. Four of the products contain concentrations of 1,2-dichloroethane greater than 90% and three additional products contain about 2.5% 1,2-dichloroethane. It is assumed that the other products, containing &lt;1% 1,2-dichloroethane contain the chemical as an impurity and will not be considered in calculations for this proposal.</t>
  </si>
  <si>
    <r>
      <t xml:space="preserve">The GS provides daily throughput rates for liquid laboratory chemicals that are described in the general parameters tab. ERG proposes the use of a triangular distribution using the low- and high-ends from the GS and set the mode equal to the median from the GS. To convert the volumetric throughput to a mass throughput, ERG proposes using the density of 1,2-dichloroethane which is estimated in the 1,2-Dichloroethane Final Scope as </t>
    </r>
    <r>
      <rPr>
        <sz val="11"/>
        <rFont val="Calibri"/>
        <family val="2"/>
        <scheme val="minor"/>
      </rPr>
      <t>1,256.9</t>
    </r>
    <r>
      <rPr>
        <sz val="11"/>
        <color theme="1"/>
        <rFont val="Calibri"/>
        <family val="2"/>
        <scheme val="minor"/>
      </rPr>
      <t xml:space="preserve"> kg/m3. Alternatively, where SDSs for laboratory chemicals containing 1,2-dichloroethane are available, the density from the SDSs may be used in place of the 1,2-dichloroethane density.</t>
    </r>
  </si>
  <si>
    <t>* Note that incineration release estimates represent the amount of chemical sent for incineration and do not account for destruction efficiency. Water releases are not expected as 1,2-dichloroethane is classified as hazardous by RCRA; according to the GS hazardous wastes are likely sent to hazardous landfill or incineration - water releases are not expected.</t>
  </si>
  <si>
    <t>Laboratory Use Release Model for 1,2-Dichloroethane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</si>
</sst>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000"/>
    <numFmt numFmtId="165" formatCode="0.00000"/>
    <numFmt numFmtId="166" formatCode="0.0%"/>
    <numFmt numFmtId="167" formatCode="0.000"/>
    <numFmt numFmtId="168" formatCode="#,##0.0"/>
    <numFmt numFmtId="169" formatCode="0.0"/>
    <numFmt numFmtId="170" formatCode="#,##0.000"/>
    <numFmt numFmtId="171" formatCode="0.0000E+00"/>
    <numFmt numFmtId="172" formatCode="0.00000000"/>
    <numFmt numFmtId="173" formatCode="0.0E+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3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sz val="12"/>
      <color theme="1"/>
      <name val="Times New Roman"/>
      <family val="1"/>
    </font>
    <font>
      <b/>
      <sz val="18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6E0B4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dashDot">
        <color theme="4"/>
      </left>
      <right style="medium">
        <color theme="4"/>
      </right>
      <top style="thin">
        <color theme="4"/>
      </top>
      <bottom style="medium">
        <color theme="4"/>
      </bottom>
      <diagonal/>
    </border>
    <border>
      <left style="medium">
        <color theme="4"/>
      </left>
      <right/>
      <top style="thin">
        <color theme="4"/>
      </top>
      <bottom style="medium">
        <color theme="4"/>
      </bottom>
      <diagonal/>
    </border>
    <border>
      <left style="dashDot">
        <color theme="4"/>
      </left>
      <right style="medium">
        <color theme="4"/>
      </right>
      <top style="thin">
        <color theme="4"/>
      </top>
      <bottom style="thin">
        <color theme="4"/>
      </bottom>
      <diagonal/>
    </border>
    <border>
      <left style="medium">
        <color theme="4"/>
      </left>
      <right/>
      <top style="thin">
        <color theme="4"/>
      </top>
      <bottom style="thin">
        <color theme="4"/>
      </bottom>
      <diagonal/>
    </border>
    <border>
      <left style="dashDot">
        <color theme="4"/>
      </left>
      <right style="medium">
        <color theme="4"/>
      </right>
      <top style="thick">
        <color theme="4"/>
      </top>
      <bottom style="thin">
        <color theme="4"/>
      </bottom>
      <diagonal/>
    </border>
    <border>
      <left style="medium">
        <color theme="4"/>
      </left>
      <right/>
      <top style="thick">
        <color theme="4"/>
      </top>
      <bottom style="thin">
        <color theme="4"/>
      </bottom>
      <diagonal/>
    </border>
    <border>
      <left/>
      <right style="medium">
        <color theme="4"/>
      </right>
      <top style="thick">
        <color theme="4"/>
      </top>
      <bottom style="thick">
        <color theme="4"/>
      </bottom>
      <diagonal/>
    </border>
    <border>
      <left style="medium">
        <color theme="4"/>
      </left>
      <right/>
      <top style="thick">
        <color theme="4"/>
      </top>
      <bottom style="thick">
        <color theme="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6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1" fillId="2" borderId="0" applyNumberFormat="0" applyBorder="0" applyAlignment="0" applyProtection="0"/>
    <xf numFmtId="9" fontId="1" fillId="0" borderId="0" applyFont="0" applyFill="0" applyBorder="0" applyAlignment="0" applyProtection="0"/>
    <xf numFmtId="0" fontId="15" fillId="0" borderId="0" applyNumberFormat="0" applyFill="0" applyBorder="0" applyAlignment="0" applyProtection="0"/>
  </cellStyleXfs>
  <cellXfs count="259">
    <xf numFmtId="0" fontId="0" fillId="0" borderId="0" xfId="0"/>
    <xf numFmtId="0" fontId="0" fillId="3" borderId="0" xfId="0" applyFill="1"/>
    <xf numFmtId="0" fontId="0" fillId="2" borderId="6" xfId="3" applyFont="1" applyBorder="1" applyAlignment="1">
      <alignment wrapText="1"/>
    </xf>
    <xf numFmtId="0" fontId="0" fillId="2" borderId="7" xfId="3" applyFont="1" applyBorder="1" applyAlignment="1">
      <alignment wrapText="1"/>
    </xf>
    <xf numFmtId="0" fontId="0" fillId="2" borderId="8" xfId="3" applyFont="1" applyBorder="1" applyAlignment="1">
      <alignment wrapText="1"/>
    </xf>
    <xf numFmtId="0" fontId="0" fillId="2" borderId="9" xfId="3" applyFont="1" applyBorder="1" applyAlignment="1">
      <alignment wrapText="1"/>
    </xf>
    <xf numFmtId="0" fontId="1" fillId="2" borderId="10" xfId="3" applyBorder="1" applyAlignment="1">
      <alignment wrapText="1"/>
    </xf>
    <xf numFmtId="0" fontId="1" fillId="2" borderId="11" xfId="3" applyBorder="1" applyAlignment="1">
      <alignment wrapText="1"/>
    </xf>
    <xf numFmtId="0" fontId="2" fillId="3" borderId="12" xfId="1" applyFill="1" applyBorder="1" applyAlignment="1">
      <alignment horizontal="center"/>
    </xf>
    <xf numFmtId="0" fontId="2" fillId="3" borderId="13" xfId="1" applyFill="1" applyBorder="1" applyAlignment="1">
      <alignment horizontal="center"/>
    </xf>
    <xf numFmtId="0" fontId="6" fillId="3" borderId="0" xfId="0" applyFont="1" applyFill="1"/>
    <xf numFmtId="0" fontId="0" fillId="0" borderId="0" xfId="0" applyAlignment="1">
      <alignment wrapText="1"/>
    </xf>
    <xf numFmtId="0" fontId="0" fillId="4" borderId="14" xfId="0" applyFill="1" applyBorder="1" applyAlignment="1">
      <alignment wrapText="1"/>
    </xf>
    <xf numFmtId="0" fontId="0" fillId="4" borderId="15" xfId="0" applyFill="1" applyBorder="1" applyAlignment="1">
      <alignment wrapText="1"/>
    </xf>
    <xf numFmtId="49" fontId="0" fillId="0" borderId="0" xfId="0" applyNumberFormat="1" applyAlignment="1">
      <alignment wrapText="1"/>
    </xf>
    <xf numFmtId="49" fontId="0" fillId="4" borderId="15" xfId="0" applyNumberFormat="1" applyFill="1" applyBorder="1" applyAlignment="1">
      <alignment wrapText="1"/>
    </xf>
    <xf numFmtId="49" fontId="0" fillId="0" borderId="5" xfId="0" applyNumberFormat="1" applyBorder="1" applyAlignment="1">
      <alignment wrapText="1"/>
    </xf>
    <xf numFmtId="0" fontId="0" fillId="0" borderId="16" xfId="0" applyBorder="1" applyAlignment="1">
      <alignment wrapText="1"/>
    </xf>
    <xf numFmtId="0" fontId="0" fillId="0" borderId="17" xfId="0" applyBorder="1" applyAlignment="1">
      <alignment wrapText="1"/>
    </xf>
    <xf numFmtId="0" fontId="0" fillId="4" borderId="18" xfId="0" applyFill="1" applyBorder="1" applyAlignment="1">
      <alignment wrapText="1"/>
    </xf>
    <xf numFmtId="0" fontId="0" fillId="0" borderId="19" xfId="0" applyBorder="1" applyAlignment="1">
      <alignment wrapText="1"/>
    </xf>
    <xf numFmtId="0" fontId="0" fillId="0" borderId="18" xfId="0" applyBorder="1" applyAlignment="1">
      <alignment wrapText="1"/>
    </xf>
    <xf numFmtId="0" fontId="0" fillId="0" borderId="0" xfId="0" applyAlignment="1">
      <alignment horizontal="center" vertical="center" wrapText="1"/>
    </xf>
    <xf numFmtId="0" fontId="0" fillId="0" borderId="20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22" xfId="0" applyBorder="1" applyAlignment="1">
      <alignment wrapText="1"/>
    </xf>
    <xf numFmtId="0" fontId="7" fillId="0" borderId="5" xfId="0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7" fillId="0" borderId="0" xfId="0" applyFont="1" applyAlignment="1">
      <alignment wrapText="1"/>
    </xf>
    <xf numFmtId="0" fontId="7" fillId="4" borderId="15" xfId="0" applyFont="1" applyFill="1" applyBorder="1" applyAlignment="1">
      <alignment wrapText="1"/>
    </xf>
    <xf numFmtId="0" fontId="7" fillId="6" borderId="5" xfId="0" applyFont="1" applyFill="1" applyBorder="1" applyAlignment="1">
      <alignment wrapText="1"/>
    </xf>
    <xf numFmtId="0" fontId="7" fillId="6" borderId="3" xfId="0" applyFont="1" applyFill="1" applyBorder="1" applyAlignment="1">
      <alignment wrapText="1"/>
    </xf>
    <xf numFmtId="0" fontId="7" fillId="4" borderId="23" xfId="0" applyFont="1" applyFill="1" applyBorder="1" applyAlignment="1">
      <alignment wrapText="1"/>
    </xf>
    <xf numFmtId="0" fontId="7" fillId="0" borderId="0" xfId="0" applyFont="1"/>
    <xf numFmtId="0" fontId="0" fillId="0" borderId="0" xfId="0" applyAlignment="1">
      <alignment horizontal="center"/>
    </xf>
    <xf numFmtId="0" fontId="0" fillId="3" borderId="0" xfId="0" applyFill="1" applyAlignment="1">
      <alignment horizontal="left"/>
    </xf>
    <xf numFmtId="0" fontId="0" fillId="3" borderId="16" xfId="0" applyFill="1" applyBorder="1"/>
    <xf numFmtId="164" fontId="0" fillId="3" borderId="25" xfId="0" applyNumberFormat="1" applyFill="1" applyBorder="1" applyAlignment="1">
      <alignment horizontal="center"/>
    </xf>
    <xf numFmtId="0" fontId="0" fillId="3" borderId="17" xfId="0" applyFill="1" applyBorder="1"/>
    <xf numFmtId="0" fontId="0" fillId="3" borderId="19" xfId="0" applyFill="1" applyBorder="1"/>
    <xf numFmtId="164" fontId="0" fillId="3" borderId="0" xfId="0" applyNumberFormat="1" applyFill="1" applyAlignment="1">
      <alignment horizontal="center"/>
    </xf>
    <xf numFmtId="0" fontId="0" fillId="3" borderId="18" xfId="0" applyFill="1" applyBorder="1"/>
    <xf numFmtId="165" fontId="0" fillId="3" borderId="19" xfId="0" applyNumberFormat="1" applyFill="1" applyBorder="1"/>
    <xf numFmtId="164" fontId="0" fillId="3" borderId="20" xfId="0" applyNumberFormat="1" applyFill="1" applyBorder="1" applyAlignment="1">
      <alignment horizontal="center"/>
    </xf>
    <xf numFmtId="0" fontId="0" fillId="3" borderId="21" xfId="0" applyFill="1" applyBorder="1"/>
    <xf numFmtId="0" fontId="0" fillId="3" borderId="20" xfId="0" applyFill="1" applyBorder="1" applyAlignment="1">
      <alignment horizontal="center" wrapText="1"/>
    </xf>
    <xf numFmtId="0" fontId="0" fillId="3" borderId="24" xfId="0" applyFill="1" applyBorder="1" applyAlignment="1">
      <alignment horizontal="center" wrapText="1"/>
    </xf>
    <xf numFmtId="0" fontId="0" fillId="3" borderId="3" xfId="0" applyFill="1" applyBorder="1" applyAlignment="1">
      <alignment horizontal="center"/>
    </xf>
    <xf numFmtId="0" fontId="0" fillId="0" borderId="3" xfId="0" applyBorder="1"/>
    <xf numFmtId="166" fontId="0" fillId="0" borderId="3" xfId="4" applyNumberFormat="1" applyFont="1" applyBorder="1"/>
    <xf numFmtId="0" fontId="0" fillId="3" borderId="3" xfId="0" applyFill="1" applyBorder="1" applyAlignment="1">
      <alignment horizontal="left"/>
    </xf>
    <xf numFmtId="0" fontId="7" fillId="8" borderId="3" xfId="0" applyFont="1" applyFill="1" applyBorder="1" applyAlignment="1">
      <alignment horizontal="center" wrapText="1"/>
    </xf>
    <xf numFmtId="0" fontId="7" fillId="8" borderId="3" xfId="0" applyFont="1" applyFill="1" applyBorder="1" applyAlignment="1">
      <alignment wrapText="1"/>
    </xf>
    <xf numFmtId="167" fontId="0" fillId="3" borderId="3" xfId="0" applyNumberFormat="1" applyFill="1" applyBorder="1" applyAlignment="1">
      <alignment horizontal="center"/>
    </xf>
    <xf numFmtId="164" fontId="0" fillId="3" borderId="3" xfId="0" applyNumberFormat="1" applyFill="1" applyBorder="1" applyAlignment="1">
      <alignment horizontal="center"/>
    </xf>
    <xf numFmtId="0" fontId="7" fillId="3" borderId="3" xfId="0" applyFont="1" applyFill="1" applyBorder="1"/>
    <xf numFmtId="0" fontId="7" fillId="7" borderId="3" xfId="0" applyFont="1" applyFill="1" applyBorder="1" applyAlignment="1">
      <alignment wrapText="1"/>
    </xf>
    <xf numFmtId="0" fontId="0" fillId="9" borderId="0" xfId="0" applyFill="1"/>
    <xf numFmtId="0" fontId="0" fillId="3" borderId="3" xfId="0" applyFill="1" applyBorder="1"/>
    <xf numFmtId="0" fontId="11" fillId="3" borderId="3" xfId="0" applyFont="1" applyFill="1" applyBorder="1" applyAlignment="1">
      <alignment horizontal="left" vertical="top" wrapText="1"/>
    </xf>
    <xf numFmtId="3" fontId="0" fillId="3" borderId="3" xfId="0" applyNumberFormat="1" applyFill="1" applyBorder="1"/>
    <xf numFmtId="0" fontId="0" fillId="9" borderId="0" xfId="0" applyFill="1" applyAlignment="1">
      <alignment wrapText="1"/>
    </xf>
    <xf numFmtId="0" fontId="0" fillId="0" borderId="23" xfId="0" applyBorder="1"/>
    <xf numFmtId="0" fontId="0" fillId="0" borderId="3" xfId="0" applyBorder="1" applyAlignment="1">
      <alignment horizontal="left"/>
    </xf>
    <xf numFmtId="1" fontId="0" fillId="0" borderId="3" xfId="0" applyNumberFormat="1" applyBorder="1"/>
    <xf numFmtId="0" fontId="7" fillId="10" borderId="3" xfId="0" applyFont="1" applyFill="1" applyBorder="1"/>
    <xf numFmtId="0" fontId="7" fillId="7" borderId="23" xfId="0" applyFont="1" applyFill="1" applyBorder="1" applyAlignment="1">
      <alignment wrapText="1"/>
    </xf>
    <xf numFmtId="0" fontId="7" fillId="7" borderId="23" xfId="0" applyFont="1" applyFill="1" applyBorder="1" applyAlignment="1">
      <alignment horizontal="left" wrapText="1"/>
    </xf>
    <xf numFmtId="0" fontId="12" fillId="0" borderId="3" xfId="0" applyFont="1" applyBorder="1" applyAlignment="1">
      <alignment vertical="top" wrapText="1"/>
    </xf>
    <xf numFmtId="168" fontId="11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2" fontId="12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vertical="top" wrapText="1"/>
    </xf>
    <xf numFmtId="3" fontId="11" fillId="0" borderId="23" xfId="0" applyNumberFormat="1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3" fontId="12" fillId="0" borderId="23" xfId="0" applyNumberFormat="1" applyFont="1" applyBorder="1" applyAlignment="1">
      <alignment horizontal="center" vertical="center" wrapText="1"/>
    </xf>
    <xf numFmtId="0" fontId="0" fillId="0" borderId="23" xfId="0" applyBorder="1" applyAlignment="1">
      <alignment wrapText="1"/>
    </xf>
    <xf numFmtId="3" fontId="12" fillId="0" borderId="3" xfId="0" applyNumberFormat="1" applyFont="1" applyBorder="1" applyAlignment="1">
      <alignment horizontal="center" vertical="center" wrapText="1"/>
    </xf>
    <xf numFmtId="3" fontId="11" fillId="0" borderId="3" xfId="0" applyNumberFormat="1" applyFont="1" applyBorder="1" applyAlignment="1">
      <alignment horizontal="center" vertical="center" wrapText="1"/>
    </xf>
    <xf numFmtId="169" fontId="11" fillId="0" borderId="23" xfId="0" applyNumberFormat="1" applyFont="1" applyBorder="1" applyAlignment="1">
      <alignment horizontal="center" vertical="center" wrapText="1"/>
    </xf>
    <xf numFmtId="1" fontId="11" fillId="0" borderId="3" xfId="0" applyNumberFormat="1" applyFont="1" applyBorder="1" applyAlignment="1">
      <alignment horizontal="center" vertical="center" wrapText="1"/>
    </xf>
    <xf numFmtId="2" fontId="11" fillId="0" borderId="3" xfId="0" applyNumberFormat="1" applyFont="1" applyBorder="1" applyAlignment="1">
      <alignment horizontal="center" vertical="center" wrapText="1"/>
    </xf>
    <xf numFmtId="169" fontId="11" fillId="0" borderId="3" xfId="0" applyNumberFormat="1" applyFont="1" applyBorder="1" applyAlignment="1">
      <alignment horizontal="center" vertical="center" wrapText="1"/>
    </xf>
    <xf numFmtId="0" fontId="0" fillId="3" borderId="0" xfId="0" applyFill="1" applyAlignment="1">
      <alignment horizontal="center"/>
    </xf>
    <xf numFmtId="0" fontId="11" fillId="0" borderId="3" xfId="0" quotePrefix="1" applyFont="1" applyBorder="1" applyAlignment="1">
      <alignment vertical="top" wrapText="1"/>
    </xf>
    <xf numFmtId="170" fontId="11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/>
    <xf numFmtId="0" fontId="0" fillId="3" borderId="0" xfId="0" applyFill="1" applyAlignment="1">
      <alignment wrapText="1"/>
    </xf>
    <xf numFmtId="0" fontId="0" fillId="3" borderId="0" xfId="0" applyFill="1" applyAlignment="1">
      <alignment horizontal="center" wrapText="1"/>
    </xf>
    <xf numFmtId="0" fontId="7" fillId="7" borderId="14" xfId="0" quotePrefix="1" applyFont="1" applyFill="1" applyBorder="1" applyAlignment="1">
      <alignment horizontal="center" wrapText="1"/>
    </xf>
    <xf numFmtId="0" fontId="4" fillId="3" borderId="0" xfId="0" applyFont="1" applyFill="1"/>
    <xf numFmtId="0" fontId="4" fillId="3" borderId="0" xfId="0" applyFont="1" applyFill="1" applyAlignment="1">
      <alignment wrapText="1"/>
    </xf>
    <xf numFmtId="0" fontId="4" fillId="3" borderId="0" xfId="0" applyFont="1" applyFill="1" applyAlignment="1">
      <alignment horizontal="left"/>
    </xf>
    <xf numFmtId="0" fontId="13" fillId="3" borderId="0" xfId="0" applyFont="1" applyFill="1"/>
    <xf numFmtId="11" fontId="0" fillId="3" borderId="0" xfId="0" applyNumberFormat="1" applyFill="1"/>
    <xf numFmtId="0" fontId="4" fillId="3" borderId="3" xfId="0" applyFont="1" applyFill="1" applyBorder="1"/>
    <xf numFmtId="11" fontId="13" fillId="3" borderId="3" xfId="0" applyNumberFormat="1" applyFont="1" applyFill="1" applyBorder="1"/>
    <xf numFmtId="0" fontId="4" fillId="3" borderId="3" xfId="0" applyFont="1" applyFill="1" applyBorder="1" applyAlignment="1">
      <alignment horizontal="left"/>
    </xf>
    <xf numFmtId="0" fontId="0" fillId="11" borderId="3" xfId="0" applyFill="1" applyBorder="1" applyAlignment="1">
      <alignment wrapText="1"/>
    </xf>
    <xf numFmtId="0" fontId="4" fillId="0" borderId="3" xfId="0" applyFont="1" applyBorder="1" applyAlignment="1">
      <alignment wrapText="1"/>
    </xf>
    <xf numFmtId="0" fontId="4" fillId="3" borderId="3" xfId="0" applyFont="1" applyFill="1" applyBorder="1" applyAlignment="1">
      <alignment wrapText="1"/>
    </xf>
    <xf numFmtId="3" fontId="13" fillId="3" borderId="3" xfId="0" applyNumberFormat="1" applyFont="1" applyFill="1" applyBorder="1"/>
    <xf numFmtId="0" fontId="0" fillId="11" borderId="3" xfId="0" applyFill="1" applyBorder="1"/>
    <xf numFmtId="171" fontId="13" fillId="3" borderId="3" xfId="0" applyNumberFormat="1" applyFont="1" applyFill="1" applyBorder="1"/>
    <xf numFmtId="0" fontId="13" fillId="7" borderId="3" xfId="0" applyFont="1" applyFill="1" applyBorder="1" applyAlignment="1">
      <alignment horizontal="center"/>
    </xf>
    <xf numFmtId="0" fontId="13" fillId="7" borderId="3" xfId="0" applyFont="1" applyFill="1" applyBorder="1" applyAlignment="1">
      <alignment horizontal="center" wrapText="1"/>
    </xf>
    <xf numFmtId="0" fontId="13" fillId="7" borderId="3" xfId="0" applyFont="1" applyFill="1" applyBorder="1" applyAlignment="1">
      <alignment wrapText="1"/>
    </xf>
    <xf numFmtId="0" fontId="13" fillId="7" borderId="3" xfId="0" applyFont="1" applyFill="1" applyBorder="1" applyAlignment="1">
      <alignment horizontal="left"/>
    </xf>
    <xf numFmtId="0" fontId="14" fillId="3" borderId="0" xfId="0" applyFont="1" applyFill="1"/>
    <xf numFmtId="0" fontId="0" fillId="12" borderId="0" xfId="0" applyFill="1"/>
    <xf numFmtId="0" fontId="0" fillId="12" borderId="0" xfId="0" applyFill="1" applyAlignment="1">
      <alignment wrapText="1"/>
    </xf>
    <xf numFmtId="11" fontId="0" fillId="0" borderId="3" xfId="0" applyNumberFormat="1" applyBorder="1"/>
    <xf numFmtId="11" fontId="0" fillId="12" borderId="3" xfId="0" applyNumberFormat="1" applyFill="1" applyBorder="1"/>
    <xf numFmtId="0" fontId="0" fillId="3" borderId="3" xfId="0" applyFill="1" applyBorder="1" applyAlignment="1">
      <alignment horizontal="right"/>
    </xf>
    <xf numFmtId="0" fontId="0" fillId="13" borderId="3" xfId="0" applyFill="1" applyBorder="1"/>
    <xf numFmtId="169" fontId="0" fillId="0" borderId="0" xfId="0" applyNumberFormat="1"/>
    <xf numFmtId="0" fontId="7" fillId="12" borderId="0" xfId="0" applyFont="1" applyFill="1" applyAlignment="1">
      <alignment wrapText="1"/>
    </xf>
    <xf numFmtId="0" fontId="7" fillId="0" borderId="3" xfId="0" applyFont="1" applyBorder="1" applyAlignment="1">
      <alignment wrapText="1"/>
    </xf>
    <xf numFmtId="0" fontId="0" fillId="14" borderId="0" xfId="0" applyFill="1" applyAlignment="1">
      <alignment wrapText="1"/>
    </xf>
    <xf numFmtId="169" fontId="0" fillId="0" borderId="3" xfId="0" applyNumberFormat="1" applyBorder="1"/>
    <xf numFmtId="0" fontId="0" fillId="3" borderId="3" xfId="0" applyFill="1" applyBorder="1" applyAlignment="1">
      <alignment horizontal="right" wrapText="1"/>
    </xf>
    <xf numFmtId="0" fontId="0" fillId="3" borderId="5" xfId="0" applyFill="1" applyBorder="1" applyAlignment="1">
      <alignment horizontal="right"/>
    </xf>
    <xf numFmtId="0" fontId="4" fillId="13" borderId="3" xfId="0" applyFont="1" applyFill="1" applyBorder="1" applyAlignment="1">
      <alignment horizontal="left"/>
    </xf>
    <xf numFmtId="0" fontId="7" fillId="3" borderId="0" xfId="0" applyFont="1" applyFill="1" applyAlignment="1">
      <alignment horizontal="right" wrapText="1"/>
    </xf>
    <xf numFmtId="0" fontId="0" fillId="5" borderId="3" xfId="0" applyFill="1" applyBorder="1" applyAlignment="1">
      <alignment wrapText="1"/>
    </xf>
    <xf numFmtId="3" fontId="0" fillId="3" borderId="3" xfId="0" applyNumberFormat="1" applyFill="1" applyBorder="1" applyAlignment="1">
      <alignment horizontal="center"/>
    </xf>
    <xf numFmtId="0" fontId="7" fillId="8" borderId="3" xfId="0" applyFont="1" applyFill="1" applyBorder="1"/>
    <xf numFmtId="0" fontId="0" fillId="8" borderId="6" xfId="3" applyFont="1" applyFill="1" applyBorder="1" applyAlignment="1">
      <alignment wrapText="1"/>
    </xf>
    <xf numFmtId="0" fontId="7" fillId="5" borderId="3" xfId="0" applyFont="1" applyFill="1" applyBorder="1" applyAlignment="1">
      <alignment horizontal="center" wrapText="1"/>
    </xf>
    <xf numFmtId="11" fontId="13" fillId="0" borderId="3" xfId="0" applyNumberFormat="1" applyFont="1" applyBorder="1"/>
    <xf numFmtId="172" fontId="0" fillId="0" borderId="3" xfId="0" applyNumberFormat="1" applyBorder="1"/>
    <xf numFmtId="0" fontId="15" fillId="3" borderId="0" xfId="5" applyFill="1"/>
    <xf numFmtId="11" fontId="0" fillId="0" borderId="3" xfId="0" applyNumberFormat="1" applyBorder="1" applyAlignment="1">
      <alignment horizontal="center"/>
    </xf>
    <xf numFmtId="0" fontId="7" fillId="0" borderId="0" xfId="0" applyFont="1" applyAlignment="1">
      <alignment horizontal="left"/>
    </xf>
    <xf numFmtId="0" fontId="0" fillId="0" borderId="3" xfId="0" applyBorder="1" applyAlignment="1">
      <alignment horizontal="center"/>
    </xf>
    <xf numFmtId="166" fontId="0" fillId="0" borderId="3" xfId="4" applyNumberFormat="1" applyFont="1" applyBorder="1" applyAlignment="1">
      <alignment horizontal="center"/>
    </xf>
    <xf numFmtId="0" fontId="4" fillId="0" borderId="3" xfId="0" applyFont="1" applyBorder="1" applyAlignment="1">
      <alignment horizontal="left"/>
    </xf>
    <xf numFmtId="3" fontId="13" fillId="0" borderId="3" xfId="0" applyNumberFormat="1" applyFont="1" applyBorder="1"/>
    <xf numFmtId="0" fontId="4" fillId="0" borderId="3" xfId="0" applyFont="1" applyBorder="1"/>
    <xf numFmtId="0" fontId="0" fillId="4" borderId="3" xfId="0" applyFill="1" applyBorder="1"/>
    <xf numFmtId="0" fontId="0" fillId="8" borderId="8" xfId="3" applyFont="1" applyFill="1" applyBorder="1" applyAlignment="1">
      <alignment wrapText="1"/>
    </xf>
    <xf numFmtId="0" fontId="7" fillId="15" borderId="26" xfId="0" applyFont="1" applyFill="1" applyBorder="1" applyAlignment="1">
      <alignment horizontal="center" wrapText="1"/>
    </xf>
    <xf numFmtId="0" fontId="0" fillId="16" borderId="3" xfId="0" applyFill="1" applyBorder="1" applyAlignment="1">
      <alignment wrapText="1"/>
    </xf>
    <xf numFmtId="0" fontId="4" fillId="16" borderId="3" xfId="0" applyFont="1" applyFill="1" applyBorder="1" applyAlignment="1">
      <alignment horizontal="left"/>
    </xf>
    <xf numFmtId="0" fontId="4" fillId="16" borderId="3" xfId="0" applyFont="1" applyFill="1" applyBorder="1" applyAlignment="1">
      <alignment wrapText="1"/>
    </xf>
    <xf numFmtId="0" fontId="4" fillId="16" borderId="3" xfId="0" applyFont="1" applyFill="1" applyBorder="1"/>
    <xf numFmtId="0" fontId="0" fillId="0" borderId="3" xfId="0" applyBorder="1" applyAlignment="1">
      <alignment horizontal="center" wrapText="1"/>
    </xf>
    <xf numFmtId="11" fontId="0" fillId="0" borderId="3" xfId="0" applyNumberFormat="1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11" fontId="0" fillId="0" borderId="30" xfId="0" applyNumberFormat="1" applyBorder="1" applyAlignment="1">
      <alignment horizontal="center" wrapText="1"/>
    </xf>
    <xf numFmtId="0" fontId="0" fillId="0" borderId="30" xfId="0" applyBorder="1" applyAlignment="1">
      <alignment horizontal="center" wrapText="1"/>
    </xf>
    <xf numFmtId="0" fontId="7" fillId="15" borderId="26" xfId="0" applyFont="1" applyFill="1" applyBorder="1" applyAlignment="1">
      <alignment horizontal="center"/>
    </xf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 applyAlignment="1">
      <alignment wrapText="1"/>
    </xf>
    <xf numFmtId="0" fontId="0" fillId="0" borderId="33" xfId="0" applyBorder="1"/>
    <xf numFmtId="0" fontId="0" fillId="0" borderId="43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11" fontId="0" fillId="0" borderId="23" xfId="0" applyNumberFormat="1" applyBorder="1" applyAlignment="1">
      <alignment horizontal="center" wrapText="1"/>
    </xf>
    <xf numFmtId="0" fontId="0" fillId="0" borderId="44" xfId="0" applyBorder="1" applyAlignment="1">
      <alignment horizontal="center" wrapText="1"/>
    </xf>
    <xf numFmtId="0" fontId="7" fillId="0" borderId="45" xfId="0" applyFont="1" applyBorder="1"/>
    <xf numFmtId="0" fontId="7" fillId="0" borderId="46" xfId="0" applyFont="1" applyBorder="1"/>
    <xf numFmtId="0" fontId="7" fillId="17" borderId="27" xfId="0" applyFont="1" applyFill="1" applyBorder="1" applyAlignment="1">
      <alignment horizontal="center" wrapText="1"/>
    </xf>
    <xf numFmtId="0" fontId="7" fillId="15" borderId="36" xfId="0" applyFont="1" applyFill="1" applyBorder="1" applyAlignment="1">
      <alignment horizontal="center"/>
    </xf>
    <xf numFmtId="0" fontId="7" fillId="15" borderId="14" xfId="0" applyFont="1" applyFill="1" applyBorder="1" applyAlignment="1">
      <alignment horizontal="center"/>
    </xf>
    <xf numFmtId="0" fontId="7" fillId="15" borderId="27" xfId="0" applyFont="1" applyFill="1" applyBorder="1" applyAlignment="1">
      <alignment horizontal="center"/>
    </xf>
    <xf numFmtId="0" fontId="7" fillId="15" borderId="28" xfId="0" applyFont="1" applyFill="1" applyBorder="1" applyAlignment="1">
      <alignment horizontal="center" wrapText="1"/>
    </xf>
    <xf numFmtId="0" fontId="7" fillId="0" borderId="47" xfId="0" applyFont="1" applyBorder="1" applyAlignment="1">
      <alignment horizontal="center"/>
    </xf>
    <xf numFmtId="3" fontId="13" fillId="16" borderId="3" xfId="0" applyNumberFormat="1" applyFont="1" applyFill="1" applyBorder="1"/>
    <xf numFmtId="11" fontId="0" fillId="0" borderId="32" xfId="0" applyNumberFormat="1" applyBorder="1" applyAlignment="1">
      <alignment horizontal="center"/>
    </xf>
    <xf numFmtId="173" fontId="7" fillId="0" borderId="46" xfId="0" applyNumberFormat="1" applyFont="1" applyBorder="1" applyAlignment="1">
      <alignment horizontal="center"/>
    </xf>
    <xf numFmtId="173" fontId="7" fillId="0" borderId="45" xfId="0" applyNumberFormat="1" applyFont="1" applyBorder="1"/>
    <xf numFmtId="173" fontId="7" fillId="0" borderId="46" xfId="0" applyNumberFormat="1" applyFont="1" applyBorder="1"/>
    <xf numFmtId="1" fontId="7" fillId="0" borderId="46" xfId="0" applyNumberFormat="1" applyFont="1" applyBorder="1" applyAlignment="1">
      <alignment horizontal="center"/>
    </xf>
    <xf numFmtId="0" fontId="0" fillId="0" borderId="3" xfId="0" applyBorder="1" applyAlignment="1">
      <alignment wrapText="1"/>
    </xf>
    <xf numFmtId="0" fontId="0" fillId="3" borderId="3" xfId="0" applyFill="1" applyBorder="1" applyAlignment="1">
      <alignment wrapText="1"/>
    </xf>
    <xf numFmtId="0" fontId="0" fillId="0" borderId="5" xfId="0" applyBorder="1" applyAlignment="1">
      <alignment wrapText="1"/>
    </xf>
    <xf numFmtId="0" fontId="7" fillId="15" borderId="27" xfId="0" applyFont="1" applyFill="1" applyBorder="1" applyAlignment="1">
      <alignment horizontal="center" wrapText="1"/>
    </xf>
    <xf numFmtId="0" fontId="7" fillId="15" borderId="28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 vertical="center"/>
    </xf>
    <xf numFmtId="0" fontId="7" fillId="7" borderId="23" xfId="0" applyFont="1" applyFill="1" applyBorder="1" applyAlignment="1">
      <alignment horizontal="center" wrapText="1"/>
    </xf>
    <xf numFmtId="0" fontId="11" fillId="0" borderId="23" xfId="0" applyFont="1" applyBorder="1" applyAlignment="1">
      <alignment vertical="top" wrapText="1"/>
    </xf>
    <xf numFmtId="0" fontId="7" fillId="3" borderId="3" xfId="0" applyFont="1" applyFill="1" applyBorder="1" applyAlignment="1">
      <alignment horizontal="center" wrapText="1"/>
    </xf>
    <xf numFmtId="0" fontId="7" fillId="7" borderId="3" xfId="0" applyFont="1" applyFill="1" applyBorder="1" applyAlignment="1">
      <alignment horizontal="left" wrapText="1"/>
    </xf>
    <xf numFmtId="0" fontId="7" fillId="7" borderId="3" xfId="0" applyFont="1" applyFill="1" applyBorder="1" applyAlignment="1">
      <alignment horizontal="center" wrapText="1"/>
    </xf>
    <xf numFmtId="0" fontId="18" fillId="0" borderId="48" xfId="0" applyFont="1" applyBorder="1" applyAlignment="1">
      <alignment horizontal="center"/>
    </xf>
    <xf numFmtId="0" fontId="19" fillId="3" borderId="0" xfId="0" applyFont="1" applyFill="1" applyAlignment="1">
      <alignment horizontal="center" vertical="center"/>
    </xf>
    <xf numFmtId="0" fontId="17" fillId="0" borderId="0" xfId="0" applyFont="1" applyAlignment="1">
      <alignment horizontal="center"/>
    </xf>
    <xf numFmtId="49" fontId="20" fillId="0" borderId="0" xfId="0" applyNumberFormat="1" applyFont="1" applyAlignment="1">
      <alignment horizontal="left"/>
    </xf>
    <xf numFmtId="0" fontId="0" fillId="0" borderId="3" xfId="0" applyBorder="1" applyAlignment="1">
      <alignment wrapText="1"/>
    </xf>
    <xf numFmtId="0" fontId="5" fillId="3" borderId="1" xfId="1" applyFont="1" applyFill="1" applyAlignment="1">
      <alignment horizontal="center"/>
    </xf>
    <xf numFmtId="0" fontId="3" fillId="0" borderId="0" xfId="2" applyFill="1" applyBorder="1" applyAlignment="1">
      <alignment horizontal="center"/>
    </xf>
    <xf numFmtId="0" fontId="0" fillId="3" borderId="3" xfId="0" applyFill="1" applyBorder="1" applyAlignment="1">
      <alignment wrapText="1"/>
    </xf>
    <xf numFmtId="0" fontId="0" fillId="0" borderId="5" xfId="0" applyBorder="1" applyAlignment="1">
      <alignment wrapText="1"/>
    </xf>
    <xf numFmtId="0" fontId="0" fillId="0" borderId="4" xfId="0" applyBorder="1" applyAlignment="1">
      <alignment wrapText="1"/>
    </xf>
    <xf numFmtId="0" fontId="4" fillId="0" borderId="5" xfId="2" applyFont="1" applyFill="1" applyBorder="1" applyAlignment="1">
      <alignment horizontal="left" vertical="top" wrapText="1"/>
    </xf>
    <xf numFmtId="0" fontId="4" fillId="0" borderId="4" xfId="2" applyFont="1" applyFill="1" applyBorder="1" applyAlignment="1">
      <alignment horizontal="left" vertical="top"/>
    </xf>
    <xf numFmtId="0" fontId="0" fillId="0" borderId="39" xfId="0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7" fillId="15" borderId="27" xfId="0" applyFont="1" applyFill="1" applyBorder="1" applyAlignment="1">
      <alignment horizontal="center" wrapText="1"/>
    </xf>
    <xf numFmtId="0" fontId="7" fillId="15" borderId="3" xfId="0" applyFont="1" applyFill="1" applyBorder="1" applyAlignment="1">
      <alignment horizontal="center" wrapText="1"/>
    </xf>
    <xf numFmtId="0" fontId="7" fillId="15" borderId="28" xfId="0" applyFont="1" applyFill="1" applyBorder="1" applyAlignment="1">
      <alignment horizontal="center"/>
    </xf>
    <xf numFmtId="0" fontId="7" fillId="15" borderId="30" xfId="0" applyFont="1" applyFill="1" applyBorder="1" applyAlignment="1">
      <alignment horizontal="center"/>
    </xf>
    <xf numFmtId="0" fontId="7" fillId="15" borderId="36" xfId="0" applyFont="1" applyFill="1" applyBorder="1" applyAlignment="1">
      <alignment horizontal="center" wrapText="1"/>
    </xf>
    <xf numFmtId="0" fontId="7" fillId="15" borderId="14" xfId="0" applyFont="1" applyFill="1" applyBorder="1" applyAlignment="1">
      <alignment horizontal="center" wrapText="1"/>
    </xf>
    <xf numFmtId="0" fontId="7" fillId="15" borderId="37" xfId="0" applyFont="1" applyFill="1" applyBorder="1" applyAlignment="1">
      <alignment horizontal="center"/>
    </xf>
    <xf numFmtId="0" fontId="7" fillId="15" borderId="35" xfId="0" applyFont="1" applyFill="1" applyBorder="1" applyAlignment="1">
      <alignment horizontal="center"/>
    </xf>
    <xf numFmtId="0" fontId="7" fillId="15" borderId="38" xfId="0" applyFont="1" applyFill="1" applyBorder="1" applyAlignment="1">
      <alignment horizontal="center"/>
    </xf>
    <xf numFmtId="0" fontId="7" fillId="15" borderId="39" xfId="0" applyFont="1" applyFill="1" applyBorder="1" applyAlignment="1">
      <alignment horizontal="center"/>
    </xf>
    <xf numFmtId="0" fontId="7" fillId="15" borderId="40" xfId="0" applyFont="1" applyFill="1" applyBorder="1" applyAlignment="1">
      <alignment horizontal="center"/>
    </xf>
    <xf numFmtId="1" fontId="0" fillId="0" borderId="23" xfId="0" applyNumberFormat="1" applyBorder="1" applyAlignment="1">
      <alignment horizontal="center" vertical="center"/>
    </xf>
    <xf numFmtId="1" fontId="0" fillId="0" borderId="15" xfId="0" applyNumberFormat="1" applyBorder="1" applyAlignment="1">
      <alignment horizontal="center" vertical="center"/>
    </xf>
    <xf numFmtId="1" fontId="0" fillId="0" borderId="42" xfId="0" applyNumberFormat="1" applyBorder="1" applyAlignment="1">
      <alignment horizontal="center" vertical="center"/>
    </xf>
    <xf numFmtId="0" fontId="7" fillId="15" borderId="41" xfId="0" applyFont="1" applyFill="1" applyBorder="1" applyAlignment="1">
      <alignment horizontal="center"/>
    </xf>
    <xf numFmtId="0" fontId="7" fillId="15" borderId="34" xfId="0" applyFont="1" applyFill="1" applyBorder="1" applyAlignment="1">
      <alignment horizontal="center"/>
    </xf>
    <xf numFmtId="0" fontId="7" fillId="4" borderId="3" xfId="0" applyFont="1" applyFill="1" applyBorder="1" applyAlignment="1">
      <alignment horizontal="center" wrapText="1"/>
    </xf>
    <xf numFmtId="0" fontId="7" fillId="4" borderId="5" xfId="0" applyFont="1" applyFill="1" applyBorder="1" applyAlignment="1">
      <alignment horizontal="center" wrapText="1"/>
    </xf>
    <xf numFmtId="0" fontId="7" fillId="4" borderId="4" xfId="0" applyFont="1" applyFill="1" applyBorder="1" applyAlignment="1">
      <alignment horizontal="center" wrapText="1"/>
    </xf>
    <xf numFmtId="0" fontId="7" fillId="0" borderId="5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7" fillId="0" borderId="4" xfId="0" applyFont="1" applyBorder="1" applyAlignment="1">
      <alignment horizontal="center"/>
    </xf>
    <xf numFmtId="0" fontId="7" fillId="5" borderId="23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7" fillId="7" borderId="5" xfId="0" applyFont="1" applyFill="1" applyBorder="1" applyAlignment="1">
      <alignment horizontal="left" wrapText="1"/>
    </xf>
    <xf numFmtId="0" fontId="7" fillId="7" borderId="24" xfId="0" applyFont="1" applyFill="1" applyBorder="1" applyAlignment="1">
      <alignment horizontal="left" wrapText="1"/>
    </xf>
    <xf numFmtId="0" fontId="7" fillId="7" borderId="4" xfId="0" applyFont="1" applyFill="1" applyBorder="1" applyAlignment="1">
      <alignment horizontal="left" wrapText="1"/>
    </xf>
    <xf numFmtId="0" fontId="7" fillId="7" borderId="23" xfId="0" applyFont="1" applyFill="1" applyBorder="1" applyAlignment="1">
      <alignment horizontal="center" wrapText="1"/>
    </xf>
    <xf numFmtId="0" fontId="7" fillId="7" borderId="14" xfId="0" applyFont="1" applyFill="1" applyBorder="1" applyAlignment="1">
      <alignment horizontal="center" wrapText="1"/>
    </xf>
    <xf numFmtId="0" fontId="0" fillId="0" borderId="2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1" fillId="0" borderId="23" xfId="0" applyFont="1" applyBorder="1" applyAlignment="1">
      <alignment vertical="top" wrapText="1"/>
    </xf>
    <xf numFmtId="0" fontId="11" fillId="0" borderId="14" xfId="0" applyFont="1" applyBorder="1" applyAlignment="1">
      <alignment vertical="top" wrapText="1"/>
    </xf>
    <xf numFmtId="0" fontId="7" fillId="3" borderId="3" xfId="0" applyFont="1" applyFill="1" applyBorder="1" applyAlignment="1">
      <alignment horizontal="center" wrapText="1"/>
    </xf>
    <xf numFmtId="0" fontId="7" fillId="7" borderId="3" xfId="0" applyFont="1" applyFill="1" applyBorder="1" applyAlignment="1">
      <alignment horizontal="left" wrapText="1"/>
    </xf>
    <xf numFmtId="0" fontId="7" fillId="7" borderId="3" xfId="0" applyFont="1" applyFill="1" applyBorder="1" applyAlignment="1">
      <alignment horizontal="center" wrapText="1"/>
    </xf>
    <xf numFmtId="0" fontId="7" fillId="7" borderId="5" xfId="0" applyFont="1" applyFill="1" applyBorder="1" applyAlignment="1">
      <alignment horizontal="center"/>
    </xf>
    <xf numFmtId="0" fontId="7" fillId="7" borderId="4" xfId="0" applyFont="1" applyFill="1" applyBorder="1" applyAlignment="1">
      <alignment horizontal="center"/>
    </xf>
    <xf numFmtId="0" fontId="7" fillId="7" borderId="5" xfId="0" applyFont="1" applyFill="1" applyBorder="1" applyAlignment="1">
      <alignment horizontal="center" wrapText="1"/>
    </xf>
    <xf numFmtId="0" fontId="7" fillId="7" borderId="24" xfId="0" applyFont="1" applyFill="1" applyBorder="1" applyAlignment="1">
      <alignment horizontal="center" wrapText="1"/>
    </xf>
    <xf numFmtId="0" fontId="7" fillId="7" borderId="4" xfId="0" applyFont="1" applyFill="1" applyBorder="1" applyAlignment="1">
      <alignment horizontal="center" wrapText="1"/>
    </xf>
    <xf numFmtId="0" fontId="7" fillId="8" borderId="5" xfId="0" applyFont="1" applyFill="1" applyBorder="1" applyAlignment="1">
      <alignment horizontal="center"/>
    </xf>
    <xf numFmtId="0" fontId="7" fillId="8" borderId="4" xfId="0" applyFont="1" applyFill="1" applyBorder="1" applyAlignment="1">
      <alignment horizontal="center"/>
    </xf>
    <xf numFmtId="0" fontId="7" fillId="5" borderId="5" xfId="0" applyFont="1" applyFill="1" applyBorder="1" applyAlignment="1">
      <alignment horizontal="center" wrapText="1"/>
    </xf>
    <xf numFmtId="0" fontId="7" fillId="5" borderId="4" xfId="0" applyFont="1" applyFill="1" applyBorder="1" applyAlignment="1">
      <alignment horizontal="center" wrapText="1"/>
    </xf>
    <xf numFmtId="0" fontId="7" fillId="0" borderId="25" xfId="0" applyFont="1" applyBorder="1" applyAlignment="1">
      <alignment horizontal="center"/>
    </xf>
    <xf numFmtId="0" fontId="7" fillId="13" borderId="5" xfId="0" applyFont="1" applyFill="1" applyBorder="1" applyAlignment="1">
      <alignment horizontal="center"/>
    </xf>
    <xf numFmtId="0" fontId="7" fillId="13" borderId="24" xfId="0" applyFont="1" applyFill="1" applyBorder="1" applyAlignment="1">
      <alignment horizontal="center"/>
    </xf>
    <xf numFmtId="0" fontId="7" fillId="13" borderId="4" xfId="0" applyFont="1" applyFill="1" applyBorder="1" applyAlignment="1">
      <alignment horizontal="center"/>
    </xf>
  </cellXfs>
  <cellStyles count="6">
    <cellStyle name="20% - Accent1" xfId="3" builtinId="30"/>
    <cellStyle name="Heading 1" xfId="1" builtinId="16"/>
    <cellStyle name="Heading 3" xfId="2" builtinId="18"/>
    <cellStyle name="Hyperlink" xfId="5" builtinId="8"/>
    <cellStyle name="Normal" xfId="0" builtinId="0"/>
    <cellStyle name="Percent" xfId="4" builtinId="5"/>
  </cellStyles>
  <dxfs count="3">
    <dxf>
      <numFmt numFmtId="2" formatCode="0.00"/>
    </dxf>
    <dxf>
      <numFmt numFmtId="169" formatCode="0.0"/>
    </dxf>
    <dxf>
      <numFmt numFmtId="3" formatCode="#,##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2962275</xdr:colOff>
      <xdr:row>4</xdr:row>
      <xdr:rowOff>28575</xdr:rowOff>
    </xdr:from>
    <xdr:to>
      <xdr:col>0</xdr:col>
      <xdr:colOff>4587875</xdr:colOff>
      <xdr:row>8</xdr:row>
      <xdr:rowOff>95250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F32B06A5-05D4-4507-A572-7E87A10356E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5146" b="25731"/>
        <a:stretch/>
      </xdr:blipFill>
      <xdr:spPr bwMode="auto">
        <a:xfrm>
          <a:off x="2962275" y="1095375"/>
          <a:ext cx="1625600" cy="80327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26CFAD-EACE-46B0-AA4B-D8F6DFB946F1}">
  <dimension ref="A1:A13"/>
  <sheetViews>
    <sheetView showGridLines="0" tabSelected="1" zoomScale="85" zoomScaleNormal="85" workbookViewId="0"/>
  </sheetViews>
  <sheetFormatPr defaultRowHeight="15" x14ac:dyDescent="0.25"/>
  <cols>
    <col min="1" max="1" width="112.7109375" customWidth="1"/>
  </cols>
  <sheetData>
    <row r="1" spans="1:1" ht="36.75" customHeight="1" x14ac:dyDescent="0.3">
      <c r="A1" s="188" t="s">
        <v>426</v>
      </c>
    </row>
    <row r="2" spans="1:1" x14ac:dyDescent="0.25">
      <c r="A2" s="34"/>
    </row>
    <row r="3" spans="1:1" ht="18.75" x14ac:dyDescent="0.25">
      <c r="A3" s="189" t="s">
        <v>418</v>
      </c>
    </row>
    <row r="4" spans="1:1" ht="15.75" x14ac:dyDescent="0.25">
      <c r="A4" s="190"/>
    </row>
    <row r="5" spans="1:1" x14ac:dyDescent="0.25">
      <c r="A5" s="34"/>
    </row>
    <row r="6" spans="1:1" x14ac:dyDescent="0.25">
      <c r="A6" s="34"/>
    </row>
    <row r="7" spans="1:1" x14ac:dyDescent="0.25">
      <c r="A7" s="34"/>
    </row>
    <row r="8" spans="1:1" x14ac:dyDescent="0.25">
      <c r="A8" s="34"/>
    </row>
    <row r="9" spans="1:1" x14ac:dyDescent="0.25">
      <c r="A9" s="34"/>
    </row>
    <row r="10" spans="1:1" x14ac:dyDescent="0.25">
      <c r="A10" s="34"/>
    </row>
    <row r="13" spans="1:1" ht="15.75" x14ac:dyDescent="0.25">
      <c r="A13" s="191"/>
    </row>
  </sheetData>
  <sheetProtection sheet="1" objects="1" scenarios="1" formatCells="0" formatColumns="0" formatRows="0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FEDF0F-F36D-4BFB-A32F-91769FF5EBA7}">
  <sheetPr codeName="Sheet11">
    <tabColor theme="8" tint="0.79998168889431442"/>
  </sheetPr>
  <dimension ref="B2:E23"/>
  <sheetViews>
    <sheetView workbookViewId="0">
      <selection activeCell="B18" sqref="B18:C18"/>
    </sheetView>
  </sheetViews>
  <sheetFormatPr defaultColWidth="8.85546875" defaultRowHeight="15" x14ac:dyDescent="0.25"/>
  <cols>
    <col min="1" max="1" width="3.28515625" style="1" customWidth="1"/>
    <col min="2" max="2" width="26.28515625" style="1" customWidth="1"/>
    <col min="3" max="3" width="108.7109375" style="1" customWidth="1"/>
    <col min="4" max="16384" width="8.85546875" style="1"/>
  </cols>
  <sheetData>
    <row r="2" spans="2:3" ht="21" x14ac:dyDescent="0.35">
      <c r="B2" s="10" t="s">
        <v>0</v>
      </c>
    </row>
    <row r="4" spans="2:3" ht="24" thickBot="1" x14ac:dyDescent="0.4">
      <c r="B4" s="193" t="s">
        <v>1</v>
      </c>
      <c r="C4" s="193"/>
    </row>
    <row r="5" spans="2:3" ht="21" thickTop="1" thickBot="1" x14ac:dyDescent="0.35">
      <c r="B5" s="9" t="s">
        <v>2</v>
      </c>
      <c r="C5" s="8" t="s">
        <v>3</v>
      </c>
    </row>
    <row r="6" spans="2:3" ht="30.75" thickTop="1" x14ac:dyDescent="0.25">
      <c r="B6" s="7" t="s">
        <v>4</v>
      </c>
      <c r="C6" s="6" t="s">
        <v>5</v>
      </c>
    </row>
    <row r="7" spans="2:3" ht="30" x14ac:dyDescent="0.25">
      <c r="B7" s="5" t="s">
        <v>6</v>
      </c>
      <c r="C7" s="4" t="s">
        <v>7</v>
      </c>
    </row>
    <row r="8" spans="2:3" ht="45" x14ac:dyDescent="0.25">
      <c r="B8" s="5" t="s">
        <v>8</v>
      </c>
      <c r="C8" s="142" t="s">
        <v>420</v>
      </c>
    </row>
    <row r="9" spans="2:3" ht="75" x14ac:dyDescent="0.25">
      <c r="B9" s="5" t="s">
        <v>9</v>
      </c>
      <c r="C9" s="4" t="s">
        <v>10</v>
      </c>
    </row>
    <row r="10" spans="2:3" ht="55.5" customHeight="1" thickBot="1" x14ac:dyDescent="0.3">
      <c r="B10" s="3" t="s">
        <v>11</v>
      </c>
      <c r="C10" s="4" t="s">
        <v>12</v>
      </c>
    </row>
    <row r="11" spans="2:3" ht="29.45" customHeight="1" thickBot="1" x14ac:dyDescent="0.3">
      <c r="B11" s="3" t="s">
        <v>13</v>
      </c>
      <c r="C11" s="2" t="s">
        <v>14</v>
      </c>
    </row>
    <row r="12" spans="2:3" ht="60.75" thickBot="1" x14ac:dyDescent="0.3">
      <c r="B12" s="3" t="s">
        <v>15</v>
      </c>
      <c r="C12" s="129" t="s">
        <v>16</v>
      </c>
    </row>
    <row r="15" spans="2:3" x14ac:dyDescent="0.25">
      <c r="B15" s="194" t="s">
        <v>17</v>
      </c>
      <c r="C15" s="194"/>
    </row>
    <row r="16" spans="2:3" ht="138" customHeight="1" x14ac:dyDescent="0.25">
      <c r="B16" s="198" t="s">
        <v>421</v>
      </c>
      <c r="C16" s="199"/>
    </row>
    <row r="17" spans="2:5" ht="77.25" customHeight="1" x14ac:dyDescent="0.25">
      <c r="B17" s="195" t="s">
        <v>422</v>
      </c>
      <c r="C17" s="195"/>
      <c r="D17"/>
      <c r="E17"/>
    </row>
    <row r="18" spans="2:5" ht="62.25" customHeight="1" x14ac:dyDescent="0.25">
      <c r="B18" s="192" t="s">
        <v>423</v>
      </c>
      <c r="C18" s="192"/>
    </row>
    <row r="19" spans="2:5" ht="81" customHeight="1" x14ac:dyDescent="0.25">
      <c r="B19" s="196" t="s">
        <v>424</v>
      </c>
      <c r="C19" s="197"/>
      <c r="D19"/>
      <c r="E19"/>
    </row>
    <row r="20" spans="2:5" ht="45" customHeight="1" x14ac:dyDescent="0.25">
      <c r="B20" s="192" t="s">
        <v>18</v>
      </c>
      <c r="C20" s="192"/>
    </row>
    <row r="23" spans="2:5" x14ac:dyDescent="0.25">
      <c r="B23" s="133"/>
    </row>
  </sheetData>
  <sheetProtection sheet="1" objects="1" scenarios="1" formatCells="0" formatColumns="0" formatRows="0"/>
  <mergeCells count="7">
    <mergeCell ref="B20:C20"/>
    <mergeCell ref="B18:C18"/>
    <mergeCell ref="B4:C4"/>
    <mergeCell ref="B15:C15"/>
    <mergeCell ref="B17:C17"/>
    <mergeCell ref="B19:C19"/>
    <mergeCell ref="B16:C16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4DECB0-3693-4008-AF01-A89F12996432}">
  <sheetPr>
    <tabColor theme="8" tint="0.79998168889431442"/>
  </sheetPr>
  <dimension ref="A1:T30"/>
  <sheetViews>
    <sheetView topLeftCell="A14" zoomScale="70" zoomScaleNormal="70" workbookViewId="0">
      <selection activeCell="B1" sqref="B1"/>
    </sheetView>
  </sheetViews>
  <sheetFormatPr defaultRowHeight="15" x14ac:dyDescent="0.25"/>
  <cols>
    <col min="1" max="1" width="58.28515625" bestFit="1" customWidth="1"/>
    <col min="2" max="2" width="31.28515625" bestFit="1" customWidth="1"/>
    <col min="3" max="3" width="9.85546875" customWidth="1"/>
    <col min="4" max="4" width="15.28515625" customWidth="1"/>
    <col min="5" max="5" width="8.5703125" customWidth="1"/>
    <col min="6" max="6" width="15.28515625" customWidth="1"/>
    <col min="7" max="7" width="25.85546875" customWidth="1"/>
    <col min="8" max="8" width="33.7109375" customWidth="1"/>
    <col min="9" max="10" width="15.28515625" customWidth="1"/>
    <col min="11" max="11" width="11.7109375" customWidth="1"/>
    <col min="12" max="12" width="11.42578125" customWidth="1"/>
    <col min="17" max="17" width="12.7109375" customWidth="1"/>
    <col min="18" max="18" width="12" customWidth="1"/>
  </cols>
  <sheetData>
    <row r="1" spans="1:20" x14ac:dyDescent="0.25">
      <c r="A1" s="33" t="s">
        <v>19</v>
      </c>
    </row>
    <row r="2" spans="1:20" x14ac:dyDescent="0.25">
      <c r="A2" s="135" t="str">
        <f>"Scenario 1: Nsites = " &amp; 'Scenario 1_Static'!I19</f>
        <v>Scenario 1: Nsites = 1</v>
      </c>
    </row>
    <row r="4" spans="1:20" ht="15.75" thickBot="1" x14ac:dyDescent="0.3">
      <c r="A4" s="135" t="s">
        <v>20</v>
      </c>
      <c r="B4" s="135"/>
    </row>
    <row r="5" spans="1:20" ht="15.75" thickBot="1" x14ac:dyDescent="0.3">
      <c r="A5" s="216" t="s">
        <v>21</v>
      </c>
      <c r="B5" s="166"/>
      <c r="C5" s="206" t="s">
        <v>22</v>
      </c>
      <c r="D5" s="206" t="s">
        <v>23</v>
      </c>
      <c r="E5" s="206" t="s">
        <v>24</v>
      </c>
      <c r="F5" s="206" t="s">
        <v>25</v>
      </c>
      <c r="G5" s="202" t="s">
        <v>26</v>
      </c>
      <c r="H5" s="204" t="s">
        <v>27</v>
      </c>
      <c r="I5" s="210" t="s">
        <v>28</v>
      </c>
      <c r="J5" s="211"/>
      <c r="K5" s="211"/>
      <c r="L5" s="211"/>
      <c r="M5" s="211"/>
      <c r="N5" s="212"/>
      <c r="O5" s="210" t="s">
        <v>29</v>
      </c>
      <c r="P5" s="211"/>
      <c r="Q5" s="211"/>
      <c r="R5" s="211"/>
      <c r="S5" s="211"/>
      <c r="T5" s="212"/>
    </row>
    <row r="6" spans="1:20" ht="60" x14ac:dyDescent="0.25">
      <c r="A6" s="217"/>
      <c r="B6" s="167" t="s">
        <v>30</v>
      </c>
      <c r="C6" s="207"/>
      <c r="D6" s="207"/>
      <c r="E6" s="207"/>
      <c r="F6" s="207"/>
      <c r="G6" s="203"/>
      <c r="H6" s="205"/>
      <c r="I6" s="143" t="s">
        <v>31</v>
      </c>
      <c r="J6" s="180" t="s">
        <v>32</v>
      </c>
      <c r="K6" s="165" t="s">
        <v>33</v>
      </c>
      <c r="L6" s="165" t="s">
        <v>34</v>
      </c>
      <c r="M6" s="180" t="s">
        <v>35</v>
      </c>
      <c r="N6" s="169" t="s">
        <v>36</v>
      </c>
      <c r="O6" s="143" t="s">
        <v>31</v>
      </c>
      <c r="P6" s="180" t="s">
        <v>32</v>
      </c>
      <c r="Q6" s="165" t="s">
        <v>33</v>
      </c>
      <c r="R6" s="165" t="s">
        <v>34</v>
      </c>
      <c r="S6" s="180" t="s">
        <v>35</v>
      </c>
      <c r="T6" s="169" t="s">
        <v>36</v>
      </c>
    </row>
    <row r="7" spans="1:20" ht="30" x14ac:dyDescent="0.25">
      <c r="A7" s="154" t="s">
        <v>37</v>
      </c>
      <c r="B7" s="177" t="s">
        <v>38</v>
      </c>
      <c r="C7" s="213">
        <f>'Scenario 1_Static'!I22</f>
        <v>1</v>
      </c>
      <c r="D7" s="134">
        <f>INDEX('Scenario 1_Static'!$B$43:$I$49,MATCH(A$4,'Scenario 1_Static'!$A$43:$A$49, 0), MATCH($A7, 'Scenario 1_Static'!$B$29:$I$29, 0))</f>
        <v>2.8105362832273051E-3</v>
      </c>
      <c r="E7" s="213">
        <f>'Scenario 1_Static'!$F$21</f>
        <v>258</v>
      </c>
      <c r="F7" s="134">
        <f>INDEX('Scenario 1_Static'!$B$34:$I$40,MATCH(A$4,'Scenario 1_Static'!$A$34:$A$40, 0), MATCH($A7, 'Scenario 1_Static'!$B$29:$I$29, 0))</f>
        <v>0.64629568893106071</v>
      </c>
      <c r="G7" s="148" t="s">
        <v>39</v>
      </c>
      <c r="H7" s="155" t="s">
        <v>40</v>
      </c>
      <c r="I7" s="150"/>
      <c r="J7" s="148"/>
      <c r="K7" s="148"/>
      <c r="L7" s="148"/>
      <c r="M7" s="149">
        <f>D7</f>
        <v>2.8105362832273051E-3</v>
      </c>
      <c r="N7" s="151">
        <f>D7</f>
        <v>2.8105362832273051E-3</v>
      </c>
      <c r="O7" s="150"/>
      <c r="P7" s="148"/>
      <c r="Q7" s="148"/>
      <c r="R7" s="148"/>
      <c r="S7" s="149">
        <f>F7</f>
        <v>0.64629568893106071</v>
      </c>
      <c r="T7" s="151">
        <f>F7</f>
        <v>0.64629568893106071</v>
      </c>
    </row>
    <row r="8" spans="1:20" x14ac:dyDescent="0.25">
      <c r="A8" s="154" t="s">
        <v>41</v>
      </c>
      <c r="B8" s="177" t="s">
        <v>42</v>
      </c>
      <c r="C8" s="214"/>
      <c r="D8" s="134" t="s">
        <v>43</v>
      </c>
      <c r="E8" s="214"/>
      <c r="F8" s="134" t="s">
        <v>43</v>
      </c>
      <c r="G8" s="134" t="s">
        <v>43</v>
      </c>
      <c r="H8" s="155" t="s">
        <v>40</v>
      </c>
      <c r="I8" s="150"/>
      <c r="J8" s="148"/>
      <c r="K8" s="148"/>
      <c r="L8" s="148"/>
      <c r="M8" s="148"/>
      <c r="N8" s="152"/>
      <c r="O8" s="150"/>
      <c r="P8" s="148"/>
      <c r="Q8" s="148"/>
      <c r="R8" s="148"/>
      <c r="S8" s="148"/>
      <c r="T8" s="152"/>
    </row>
    <row r="9" spans="1:20" ht="30" x14ac:dyDescent="0.25">
      <c r="A9" s="154" t="s">
        <v>44</v>
      </c>
      <c r="B9" s="177" t="s">
        <v>45</v>
      </c>
      <c r="C9" s="214"/>
      <c r="D9" s="134">
        <f>INDEX('Scenario 1_Static'!$B$43:$I$49,MATCH(A$4,'Scenario 1_Static'!$A$43:$A$49, 0), MATCH($A9, 'Scenario 1_Static'!$B$29:$I$29, 0))</f>
        <v>2.3357619589842055E-4</v>
      </c>
      <c r="E9" s="214"/>
      <c r="F9" s="134">
        <f>INDEX('Scenario 1_Static'!$B$34:$I$40,MATCH(A$4,'Scenario 1_Static'!$A$34:$A$40, 0), MATCH($A9, 'Scenario 1_Static'!$B$29:$I$29, 0))</f>
        <v>5.3988579794481538E-2</v>
      </c>
      <c r="G9" s="134" t="s">
        <v>43</v>
      </c>
      <c r="H9" s="155" t="s">
        <v>40</v>
      </c>
      <c r="I9" s="150"/>
      <c r="J9" s="148"/>
      <c r="K9" s="149">
        <f>D9</f>
        <v>2.3357619589842055E-4</v>
      </c>
      <c r="L9" s="149">
        <f>D9</f>
        <v>2.3357619589842055E-4</v>
      </c>
      <c r="M9" s="148"/>
      <c r="N9" s="152"/>
      <c r="O9" s="150"/>
      <c r="P9" s="148"/>
      <c r="Q9" s="149">
        <f>F9</f>
        <v>5.3988579794481538E-2</v>
      </c>
      <c r="R9" s="149">
        <f>F9</f>
        <v>5.3988579794481538E-2</v>
      </c>
      <c r="S9" s="148"/>
      <c r="T9" s="152"/>
    </row>
    <row r="10" spans="1:20" ht="30" x14ac:dyDescent="0.25">
      <c r="A10" s="154" t="s">
        <v>46</v>
      </c>
      <c r="B10" s="177" t="s">
        <v>38</v>
      </c>
      <c r="C10" s="214"/>
      <c r="D10" s="134">
        <f>INDEX('Scenario 1_Static'!$B$43:$I$49,MATCH(A$4,'Scenario 1_Static'!$A$43:$A$49, 0), MATCH($A10, 'Scenario 1_Static'!$B$29:$I$29, 0))</f>
        <v>5.2066573939800844E-4</v>
      </c>
      <c r="E10" s="214"/>
      <c r="F10" s="134">
        <f>INDEX('Scenario 1_Static'!$B$34:$I$40,MATCH(A$4,'Scenario 1_Static'!$A$34:$A$40, 0), MATCH($A10, 'Scenario 1_Static'!$B$29:$I$29, 0))</f>
        <v>0.11992559717697562</v>
      </c>
      <c r="G10" s="148" t="s">
        <v>39</v>
      </c>
      <c r="H10" s="155" t="s">
        <v>40</v>
      </c>
      <c r="I10" s="150"/>
      <c r="J10" s="148"/>
      <c r="K10" s="148"/>
      <c r="L10" s="148"/>
      <c r="M10" s="149">
        <f>D10</f>
        <v>5.2066573939800844E-4</v>
      </c>
      <c r="N10" s="151">
        <f>D10</f>
        <v>5.2066573939800844E-4</v>
      </c>
      <c r="O10" s="150"/>
      <c r="P10" s="148"/>
      <c r="Q10" s="148"/>
      <c r="R10" s="148"/>
      <c r="S10" s="149">
        <f>F10</f>
        <v>0.11992559717697562</v>
      </c>
      <c r="T10" s="151">
        <f>F10</f>
        <v>0.11992559717697562</v>
      </c>
    </row>
    <row r="11" spans="1:20" ht="30" x14ac:dyDescent="0.25">
      <c r="A11" s="154" t="s">
        <v>47</v>
      </c>
      <c r="B11" s="177" t="s">
        <v>45</v>
      </c>
      <c r="C11" s="214"/>
      <c r="D11" s="134">
        <f>INDEX('Scenario 1_Static'!$B$43:$I$49,MATCH(A$4,'Scenario 1_Static'!$A$43:$A$49, 0), MATCH($A11, 'Scenario 1_Static'!$B$29:$I$29, 0))</f>
        <v>1.4438366458330455E-3</v>
      </c>
      <c r="E11" s="214"/>
      <c r="F11" s="134">
        <f>INDEX('Scenario 1_Static'!$B$34:$I$40,MATCH(A$4,'Scenario 1_Static'!$A$34:$A$40, 0), MATCH($A11, 'Scenario 1_Static'!$B$29:$I$29, 0))</f>
        <v>0.33431723984493983</v>
      </c>
      <c r="G11" s="134" t="s">
        <v>43</v>
      </c>
      <c r="H11" s="155" t="s">
        <v>40</v>
      </c>
      <c r="I11" s="150"/>
      <c r="J11" s="148"/>
      <c r="K11" s="149">
        <f>D11</f>
        <v>1.4438366458330455E-3</v>
      </c>
      <c r="L11" s="149">
        <f>D11</f>
        <v>1.4438366458330455E-3</v>
      </c>
      <c r="M11" s="148"/>
      <c r="N11" s="152"/>
      <c r="O11" s="150"/>
      <c r="P11" s="148"/>
      <c r="Q11" s="149">
        <f>F11</f>
        <v>0.33431723984493983</v>
      </c>
      <c r="R11" s="149">
        <f>F11</f>
        <v>0.33431723984493983</v>
      </c>
      <c r="S11" s="148"/>
      <c r="T11" s="152"/>
    </row>
    <row r="12" spans="1:20" x14ac:dyDescent="0.25">
      <c r="A12" s="154" t="s">
        <v>48</v>
      </c>
      <c r="B12" s="177" t="s">
        <v>38</v>
      </c>
      <c r="C12" s="214"/>
      <c r="D12" s="134">
        <f>INDEX('Scenario 1_Static'!$B$43:$I$49,MATCH(A$4,'Scenario 1_Static'!$A$43:$A$49, 0), MATCH($A12, 'Scenario 1_Static'!$B$29:$I$29, 0))</f>
        <v>1.4438366458330455E-3</v>
      </c>
      <c r="E12" s="214"/>
      <c r="F12" s="134">
        <f>INDEX('Scenario 1_Static'!$B$34:$I$40,MATCH(A$4,'Scenario 1_Static'!$A$34:$A$40, 0), MATCH($A12, 'Scenario 1_Static'!$B$29:$I$29, 0))</f>
        <v>0.33431723984493983</v>
      </c>
      <c r="G12" s="136">
        <v>4</v>
      </c>
      <c r="H12" s="155" t="s">
        <v>40</v>
      </c>
      <c r="I12" s="150"/>
      <c r="J12" s="148"/>
      <c r="K12" s="148"/>
      <c r="L12" s="148"/>
      <c r="M12" s="149">
        <f>D12</f>
        <v>1.4438366458330455E-3</v>
      </c>
      <c r="N12" s="151">
        <f>D12</f>
        <v>1.4438366458330455E-3</v>
      </c>
      <c r="O12" s="150"/>
      <c r="P12" s="148"/>
      <c r="Q12" s="148"/>
      <c r="R12" s="148"/>
      <c r="S12" s="149">
        <f>F12</f>
        <v>0.33431723984493983</v>
      </c>
      <c r="T12" s="151">
        <f>F12</f>
        <v>0.33431723984493983</v>
      </c>
    </row>
    <row r="13" spans="1:20" x14ac:dyDescent="0.25">
      <c r="A13" s="154" t="s">
        <v>49</v>
      </c>
      <c r="B13" s="177" t="s">
        <v>38</v>
      </c>
      <c r="C13" s="214"/>
      <c r="D13" s="134">
        <f>INDEX('Scenario 1_Static'!$B$43:$I$49,MATCH(A$4,'Scenario 1_Static'!$A$43:$A$49, 0), MATCH($A13, 'Scenario 1_Static'!$B$29:$I$29, 0))</f>
        <v>1.4438366458330455E-3</v>
      </c>
      <c r="E13" s="214"/>
      <c r="F13" s="134">
        <f>INDEX('Scenario 1_Static'!$B$34:$I$40,MATCH(A$4,'Scenario 1_Static'!$A$34:$A$40, 0), MATCH($A13, 'Scenario 1_Static'!$B$29:$I$29, 0))</f>
        <v>0.33431723984493983</v>
      </c>
      <c r="G13" s="136">
        <v>1</v>
      </c>
      <c r="H13" s="155" t="s">
        <v>40</v>
      </c>
      <c r="I13" s="150"/>
      <c r="J13" s="148"/>
      <c r="K13" s="148"/>
      <c r="L13" s="148"/>
      <c r="M13" s="149">
        <f>D13</f>
        <v>1.4438366458330455E-3</v>
      </c>
      <c r="N13" s="151">
        <f>D13</f>
        <v>1.4438366458330455E-3</v>
      </c>
      <c r="O13" s="150"/>
      <c r="P13" s="148"/>
      <c r="Q13" s="148"/>
      <c r="R13" s="148"/>
      <c r="S13" s="149">
        <f>F13</f>
        <v>0.33431723984493983</v>
      </c>
      <c r="T13" s="151">
        <f>F13</f>
        <v>0.33431723984493983</v>
      </c>
    </row>
    <row r="14" spans="1:20" ht="30.75" thickBot="1" x14ac:dyDescent="0.3">
      <c r="A14" s="156" t="s">
        <v>50</v>
      </c>
      <c r="B14" s="157" t="s">
        <v>45</v>
      </c>
      <c r="C14" s="215"/>
      <c r="D14" s="134">
        <f>INDEX('Scenario 1_Static'!$B$43:$I$49,MATCH(A$4,'Scenario 1_Static'!$A$43:$A$49, 0), MATCH($A14, 'Scenario 1_Static'!$B$29:$I$29, 0))</f>
        <v>6.319689520315791E-2</v>
      </c>
      <c r="E14" s="215"/>
      <c r="F14" s="134">
        <f>INDEX('Scenario 1_Static'!$B$34:$I$40,MATCH(A$4,'Scenario 1_Static'!$A$34:$A$40, 0), MATCH($A14, 'Scenario 1_Static'!$B$29:$I$29, 0))</f>
        <v>14.638419412033572</v>
      </c>
      <c r="G14" s="172" t="s">
        <v>43</v>
      </c>
      <c r="H14" s="158" t="s">
        <v>40</v>
      </c>
      <c r="I14" s="159"/>
      <c r="J14" s="160"/>
      <c r="K14" s="161">
        <f>D14</f>
        <v>6.319689520315791E-2</v>
      </c>
      <c r="L14" s="161">
        <f>D14</f>
        <v>6.319689520315791E-2</v>
      </c>
      <c r="M14" s="160"/>
      <c r="N14" s="162"/>
      <c r="O14" s="159"/>
      <c r="P14" s="160"/>
      <c r="Q14" s="161">
        <f>F14</f>
        <v>14.638419412033572</v>
      </c>
      <c r="R14" s="161">
        <f>F14</f>
        <v>14.638419412033572</v>
      </c>
      <c r="S14" s="160"/>
      <c r="T14" s="162"/>
    </row>
    <row r="15" spans="1:20" ht="15.75" thickBot="1" x14ac:dyDescent="0.3">
      <c r="A15" s="200" t="s">
        <v>425</v>
      </c>
      <c r="B15" s="200"/>
      <c r="C15" s="200"/>
      <c r="D15" s="200"/>
      <c r="E15" s="200"/>
      <c r="F15" s="200"/>
      <c r="G15" s="200"/>
      <c r="H15" s="170" t="s">
        <v>51</v>
      </c>
      <c r="I15" s="163" t="s">
        <v>52</v>
      </c>
      <c r="J15" s="164" t="s">
        <v>52</v>
      </c>
      <c r="K15" s="173">
        <f>SUM(K7:K14)</f>
        <v>6.4874308044889376E-2</v>
      </c>
      <c r="L15" s="173">
        <f t="shared" ref="L15:N15" si="0">SUM(L7:L14)</f>
        <v>6.4874308044889376E-2</v>
      </c>
      <c r="M15" s="173">
        <f t="shared" si="0"/>
        <v>6.2188753142914041E-3</v>
      </c>
      <c r="N15" s="173">
        <f t="shared" si="0"/>
        <v>6.2188753142914041E-3</v>
      </c>
      <c r="O15" s="174" t="s">
        <v>52</v>
      </c>
      <c r="P15" s="175" t="s">
        <v>52</v>
      </c>
      <c r="Q15" s="173">
        <f>SUM(Q7:Q14)</f>
        <v>15.026725231672994</v>
      </c>
      <c r="R15" s="173">
        <f t="shared" ref="R15" si="1">SUM(R7:R14)</f>
        <v>15.026725231672994</v>
      </c>
      <c r="S15" s="173">
        <f t="shared" ref="S15" si="2">SUM(S7:S14)</f>
        <v>1.434855765797916</v>
      </c>
      <c r="T15" s="173">
        <f t="shared" ref="T15" si="3">SUM(T7:T14)</f>
        <v>1.434855765797916</v>
      </c>
    </row>
    <row r="16" spans="1:20" ht="35.25" customHeight="1" x14ac:dyDescent="0.25">
      <c r="A16" s="201"/>
      <c r="B16" s="201"/>
      <c r="C16" s="201"/>
      <c r="D16" s="201"/>
      <c r="E16" s="201"/>
      <c r="F16" s="201"/>
      <c r="G16" s="201"/>
    </row>
    <row r="18" spans="1:20" ht="15.75" thickBot="1" x14ac:dyDescent="0.3">
      <c r="A18" s="33" t="s">
        <v>53</v>
      </c>
    </row>
    <row r="19" spans="1:20" ht="15.75" thickBot="1" x14ac:dyDescent="0.3">
      <c r="A19" s="216" t="s">
        <v>21</v>
      </c>
      <c r="B19" s="166"/>
      <c r="C19" s="206" t="s">
        <v>22</v>
      </c>
      <c r="D19" s="206" t="s">
        <v>23</v>
      </c>
      <c r="E19" s="206" t="s">
        <v>24</v>
      </c>
      <c r="F19" s="206" t="s">
        <v>25</v>
      </c>
      <c r="G19" s="206" t="s">
        <v>26</v>
      </c>
      <c r="H19" s="208" t="s">
        <v>27</v>
      </c>
      <c r="I19" s="210" t="s">
        <v>28</v>
      </c>
      <c r="J19" s="211"/>
      <c r="K19" s="211"/>
      <c r="L19" s="211"/>
      <c r="M19" s="211"/>
      <c r="N19" s="212"/>
      <c r="O19" s="210" t="s">
        <v>29</v>
      </c>
      <c r="P19" s="211"/>
      <c r="Q19" s="211"/>
      <c r="R19" s="211"/>
      <c r="S19" s="211"/>
      <c r="T19" s="212"/>
    </row>
    <row r="20" spans="1:20" ht="45" x14ac:dyDescent="0.25">
      <c r="A20" s="217"/>
      <c r="B20" s="167" t="s">
        <v>30</v>
      </c>
      <c r="C20" s="207"/>
      <c r="D20" s="207"/>
      <c r="E20" s="207"/>
      <c r="F20" s="207"/>
      <c r="G20" s="207"/>
      <c r="H20" s="209"/>
      <c r="I20" s="153" t="s">
        <v>31</v>
      </c>
      <c r="J20" s="168" t="s">
        <v>32</v>
      </c>
      <c r="K20" s="165" t="s">
        <v>33</v>
      </c>
      <c r="L20" s="165" t="s">
        <v>34</v>
      </c>
      <c r="M20" s="168" t="s">
        <v>35</v>
      </c>
      <c r="N20" s="181" t="s">
        <v>36</v>
      </c>
      <c r="O20" s="153" t="s">
        <v>31</v>
      </c>
      <c r="P20" s="168" t="s">
        <v>32</v>
      </c>
      <c r="Q20" s="165" t="s">
        <v>33</v>
      </c>
      <c r="R20" s="165" t="s">
        <v>34</v>
      </c>
      <c r="S20" s="168" t="s">
        <v>35</v>
      </c>
      <c r="T20" s="181" t="s">
        <v>36</v>
      </c>
    </row>
    <row r="21" spans="1:20" ht="30" x14ac:dyDescent="0.25">
      <c r="A21" s="154" t="s">
        <v>37</v>
      </c>
      <c r="B21" s="177" t="s">
        <v>38</v>
      </c>
      <c r="C21" s="213">
        <f>'Scenario 1_Static'!I21</f>
        <v>1</v>
      </c>
      <c r="D21" s="134">
        <f>INDEX('Scenario 1_Static'!$B$43:$I$49,MATCH(A$18,'Scenario 1_Static'!$A$43:$A$49, 0), MATCH($A21, 'Scenario 1_Static'!$B$29:$I$29, 0))</f>
        <v>5.8804400524548892E-3</v>
      </c>
      <c r="E21" s="213">
        <f>'Scenario 1_Static'!$F$22</f>
        <v>235</v>
      </c>
      <c r="F21" s="134">
        <f>INDEX('Scenario 1_Static'!$B$34:$I$40,MATCH(A$18,'Scenario 1_Static'!$A$34:$A$40, 0), MATCH($A21, 'Scenario 1_Static'!$B$29:$I$29, 0))</f>
        <v>1.3764803213869774</v>
      </c>
      <c r="G21" s="148" t="s">
        <v>39</v>
      </c>
      <c r="H21" s="155" t="s">
        <v>40</v>
      </c>
      <c r="I21" s="150"/>
      <c r="J21" s="148"/>
      <c r="K21" s="148"/>
      <c r="L21" s="148"/>
      <c r="M21" s="149">
        <f>D21</f>
        <v>5.8804400524548892E-3</v>
      </c>
      <c r="N21" s="151">
        <f>D21</f>
        <v>5.8804400524548892E-3</v>
      </c>
      <c r="O21" s="150"/>
      <c r="P21" s="148"/>
      <c r="Q21" s="148"/>
      <c r="R21" s="148"/>
      <c r="S21" s="149">
        <f>F21</f>
        <v>1.3764803213869774</v>
      </c>
      <c r="T21" s="151">
        <f>F21</f>
        <v>1.3764803213869774</v>
      </c>
    </row>
    <row r="22" spans="1:20" x14ac:dyDescent="0.25">
      <c r="A22" s="154" t="s">
        <v>41</v>
      </c>
      <c r="B22" s="177" t="s">
        <v>42</v>
      </c>
      <c r="C22" s="214"/>
      <c r="D22" s="134" t="s">
        <v>43</v>
      </c>
      <c r="E22" s="214"/>
      <c r="F22" s="134" t="s">
        <v>43</v>
      </c>
      <c r="G22" s="134" t="s">
        <v>43</v>
      </c>
      <c r="H22" s="155" t="s">
        <v>40</v>
      </c>
      <c r="I22" s="150"/>
      <c r="J22" s="148"/>
      <c r="K22" s="148"/>
      <c r="L22" s="148"/>
      <c r="M22" s="148"/>
      <c r="N22" s="152"/>
      <c r="O22" s="150"/>
      <c r="P22" s="148"/>
      <c r="Q22" s="148"/>
      <c r="R22" s="148"/>
      <c r="S22" s="148"/>
      <c r="T22" s="152"/>
    </row>
    <row r="23" spans="1:20" ht="30" x14ac:dyDescent="0.25">
      <c r="A23" s="154" t="s">
        <v>44</v>
      </c>
      <c r="B23" s="177" t="s">
        <v>45</v>
      </c>
      <c r="C23" s="214"/>
      <c r="D23" s="134">
        <f>INDEX('Scenario 1_Static'!$B$43:$I$49,MATCH(A$18,'Scenario 1_Static'!$A$43:$A$49, 0), MATCH($A23, 'Scenario 1_Static'!$B$29:$I$29, 0))</f>
        <v>1.2074664096695551E-2</v>
      </c>
      <c r="E23" s="214"/>
      <c r="F23" s="134">
        <f>INDEX('Scenario 1_Static'!$B$34:$I$40,MATCH(A$18,'Scenario 1_Static'!$A$34:$A$40, 0), MATCH($A23, 'Scenario 1_Static'!$B$29:$I$29, 0))</f>
        <v>2.8083105330223184</v>
      </c>
      <c r="G23" s="134" t="s">
        <v>43</v>
      </c>
      <c r="H23" s="155" t="s">
        <v>40</v>
      </c>
      <c r="I23" s="150"/>
      <c r="J23" s="148"/>
      <c r="K23" s="149">
        <f>D23</f>
        <v>1.2074664096695551E-2</v>
      </c>
      <c r="L23" s="149">
        <f>D23</f>
        <v>1.2074664096695551E-2</v>
      </c>
      <c r="M23" s="148"/>
      <c r="N23" s="152"/>
      <c r="O23" s="150"/>
      <c r="P23" s="148"/>
      <c r="Q23" s="149">
        <f>F23</f>
        <v>2.8083105330223184</v>
      </c>
      <c r="R23" s="149">
        <f>F23</f>
        <v>2.8083105330223184</v>
      </c>
      <c r="S23" s="148"/>
      <c r="T23" s="152"/>
    </row>
    <row r="24" spans="1:20" ht="30" x14ac:dyDescent="0.25">
      <c r="A24" s="154" t="s">
        <v>46</v>
      </c>
      <c r="B24" s="177" t="s">
        <v>38</v>
      </c>
      <c r="C24" s="214"/>
      <c r="D24" s="134">
        <f>INDEX('Scenario 1_Static'!$B$43:$I$49,MATCH(A$18,'Scenario 1_Static'!$A$43:$A$49, 0), MATCH($A24, 'Scenario 1_Static'!$B$29:$I$29, 0))</f>
        <v>1.1420845847336341E-3</v>
      </c>
      <c r="E24" s="214"/>
      <c r="F24" s="134">
        <f>INDEX('Scenario 1_Static'!$B$34:$I$40,MATCH(A$18,'Scenario 1_Static'!$A$34:$A$40, 0), MATCH($A24, 'Scenario 1_Static'!$B$29:$I$29, 0))</f>
        <v>0.26681829696395515</v>
      </c>
      <c r="G24" s="148" t="s">
        <v>39</v>
      </c>
      <c r="H24" s="155" t="s">
        <v>40</v>
      </c>
      <c r="I24" s="150"/>
      <c r="J24" s="148"/>
      <c r="K24" s="148"/>
      <c r="L24" s="148"/>
      <c r="M24" s="149">
        <f>D24</f>
        <v>1.1420845847336341E-3</v>
      </c>
      <c r="N24" s="151">
        <f>D24</f>
        <v>1.1420845847336341E-3</v>
      </c>
      <c r="O24" s="150"/>
      <c r="P24" s="148"/>
      <c r="Q24" s="148"/>
      <c r="R24" s="148"/>
      <c r="S24" s="149">
        <f>F24</f>
        <v>0.26681829696395515</v>
      </c>
      <c r="T24" s="151">
        <f>F24</f>
        <v>0.26681829696395515</v>
      </c>
    </row>
    <row r="25" spans="1:20" ht="30" x14ac:dyDescent="0.25">
      <c r="A25" s="154" t="s">
        <v>47</v>
      </c>
      <c r="B25" s="177" t="s">
        <v>45</v>
      </c>
      <c r="C25" s="214"/>
      <c r="D25" s="134">
        <f>INDEX('Scenario 1_Static'!$B$43:$I$49,MATCH(A$18,'Scenario 1_Static'!$A$43:$A$49, 0), MATCH($A25, 'Scenario 1_Static'!$B$29:$I$29, 0))</f>
        <v>7.062774794058721E-2</v>
      </c>
      <c r="E25" s="214"/>
      <c r="F25" s="134">
        <f>INDEX('Scenario 1_Static'!$B$34:$I$40,MATCH(A$18,'Scenario 1_Static'!$A$34:$A$40, 0), MATCH($A25, 'Scenario 1_Static'!$B$29:$I$29, 0))</f>
        <v>16.397066797176187</v>
      </c>
      <c r="G25" s="134" t="s">
        <v>43</v>
      </c>
      <c r="H25" s="155" t="s">
        <v>40</v>
      </c>
      <c r="I25" s="150"/>
      <c r="J25" s="148"/>
      <c r="K25" s="149">
        <f>D25</f>
        <v>7.062774794058721E-2</v>
      </c>
      <c r="L25" s="149">
        <f>D25</f>
        <v>7.062774794058721E-2</v>
      </c>
      <c r="M25" s="148"/>
      <c r="N25" s="152"/>
      <c r="O25" s="150"/>
      <c r="P25" s="148"/>
      <c r="Q25" s="149">
        <f>F25</f>
        <v>16.397066797176187</v>
      </c>
      <c r="R25" s="149">
        <f>F25</f>
        <v>16.397066797176187</v>
      </c>
      <c r="S25" s="148"/>
      <c r="T25" s="152"/>
    </row>
    <row r="26" spans="1:20" x14ac:dyDescent="0.25">
      <c r="A26" s="154" t="s">
        <v>48</v>
      </c>
      <c r="B26" s="177" t="s">
        <v>38</v>
      </c>
      <c r="C26" s="214"/>
      <c r="D26" s="134">
        <f>INDEX('Scenario 1_Static'!$B$43:$I$49,MATCH(A$18,'Scenario 1_Static'!$A$43:$A$49, 0), MATCH($A26, 'Scenario 1_Static'!$B$29:$I$29, 0))</f>
        <v>1.9290980249178104E-2</v>
      </c>
      <c r="E26" s="214"/>
      <c r="F26" s="134">
        <f>INDEX('Scenario 1_Static'!$B$34:$I$40,MATCH(A$18,'Scenario 1_Static'!$A$34:$A$40, 0), MATCH($A26, 'Scenario 1_Static'!$B$29:$I$29, 0))</f>
        <v>4.5072610256841221</v>
      </c>
      <c r="G26" s="136">
        <v>4</v>
      </c>
      <c r="H26" s="155" t="s">
        <v>40</v>
      </c>
      <c r="I26" s="150"/>
      <c r="J26" s="148"/>
      <c r="K26" s="148"/>
      <c r="L26" s="148"/>
      <c r="M26" s="149">
        <f>D26</f>
        <v>1.9290980249178104E-2</v>
      </c>
      <c r="N26" s="151">
        <f>D26</f>
        <v>1.9290980249178104E-2</v>
      </c>
      <c r="O26" s="150"/>
      <c r="P26" s="148"/>
      <c r="Q26" s="148"/>
      <c r="R26" s="148"/>
      <c r="S26" s="149">
        <f>F26</f>
        <v>4.5072610256841221</v>
      </c>
      <c r="T26" s="151">
        <f>F26</f>
        <v>4.5072610256841221</v>
      </c>
    </row>
    <row r="27" spans="1:20" x14ac:dyDescent="0.25">
      <c r="A27" s="154" t="s">
        <v>49</v>
      </c>
      <c r="B27" s="177" t="s">
        <v>38</v>
      </c>
      <c r="C27" s="214"/>
      <c r="D27" s="134">
        <f>INDEX('Scenario 1_Static'!$B$43:$I$49,MATCH(A$18,'Scenario 1_Static'!$A$43:$A$49, 0), MATCH($A27, 'Scenario 1_Static'!$B$29:$I$29, 0))</f>
        <v>2.3416390085752619E-2</v>
      </c>
      <c r="E27" s="214"/>
      <c r="F27" s="134">
        <f>INDEX('Scenario 1_Static'!$B$34:$I$40,MATCH(A$18,'Scenario 1_Static'!$A$34:$A$40, 0), MATCH($A27, 'Scenario 1_Static'!$B$29:$I$29, 0))</f>
        <v>5.4362743286361166</v>
      </c>
      <c r="G27" s="136">
        <v>1</v>
      </c>
      <c r="H27" s="155" t="s">
        <v>40</v>
      </c>
      <c r="I27" s="150"/>
      <c r="J27" s="148"/>
      <c r="K27" s="148"/>
      <c r="L27" s="148"/>
      <c r="M27" s="149">
        <f>D27</f>
        <v>2.3416390085752619E-2</v>
      </c>
      <c r="N27" s="151">
        <f>D27</f>
        <v>2.3416390085752619E-2</v>
      </c>
      <c r="O27" s="150"/>
      <c r="P27" s="148"/>
      <c r="Q27" s="148"/>
      <c r="R27" s="148"/>
      <c r="S27" s="149">
        <f>F27</f>
        <v>5.4362743286361166</v>
      </c>
      <c r="T27" s="151">
        <f>F27</f>
        <v>5.4362743286361166</v>
      </c>
    </row>
    <row r="28" spans="1:20" ht="30.75" thickBot="1" x14ac:dyDescent="0.3">
      <c r="A28" s="156" t="s">
        <v>50</v>
      </c>
      <c r="B28" s="157" t="s">
        <v>45</v>
      </c>
      <c r="C28" s="215"/>
      <c r="D28" s="134">
        <f>INDEX('Scenario 1_Static'!$B$43:$I$49,MATCH(A$18,'Scenario 1_Static'!$A$43:$A$49, 0), MATCH($A28, 'Scenario 1_Static'!$B$29:$I$29, 0))</f>
        <v>3.4147043693116794</v>
      </c>
      <c r="E28" s="215"/>
      <c r="F28" s="134">
        <f>INDEX('Scenario 1_Static'!$B$34:$I$40,MATCH(A$18,'Scenario 1_Static'!$A$34:$A$40, 0), MATCH($A28, 'Scenario 1_Static'!$B$29:$I$29, 0))</f>
        <v>792.95464349417784</v>
      </c>
      <c r="G28" s="172" t="s">
        <v>43</v>
      </c>
      <c r="H28" s="158" t="s">
        <v>40</v>
      </c>
      <c r="I28" s="159"/>
      <c r="J28" s="160"/>
      <c r="K28" s="161">
        <f>D28</f>
        <v>3.4147043693116794</v>
      </c>
      <c r="L28" s="161">
        <f>D28</f>
        <v>3.4147043693116794</v>
      </c>
      <c r="M28" s="160"/>
      <c r="N28" s="162"/>
      <c r="O28" s="159"/>
      <c r="P28" s="160"/>
      <c r="Q28" s="161">
        <f>F28</f>
        <v>792.95464349417784</v>
      </c>
      <c r="R28" s="161">
        <f>F28</f>
        <v>792.95464349417784</v>
      </c>
      <c r="S28" s="160"/>
      <c r="T28" s="162"/>
    </row>
    <row r="29" spans="1:20" ht="15.75" thickBot="1" x14ac:dyDescent="0.3">
      <c r="A29" s="200" t="s">
        <v>425</v>
      </c>
      <c r="B29" s="200"/>
      <c r="C29" s="200"/>
      <c r="D29" s="200"/>
      <c r="E29" s="200"/>
      <c r="F29" s="200"/>
      <c r="G29" s="200"/>
      <c r="H29" s="170" t="s">
        <v>51</v>
      </c>
      <c r="I29" s="163" t="s">
        <v>52</v>
      </c>
      <c r="J29" s="164" t="s">
        <v>52</v>
      </c>
      <c r="K29" s="173">
        <f>SUM(K21:K28)</f>
        <v>3.4974067813489622</v>
      </c>
      <c r="L29" s="173">
        <f t="shared" ref="L29" si="4">SUM(L21:L28)</f>
        <v>3.4974067813489622</v>
      </c>
      <c r="M29" s="173">
        <f t="shared" ref="M29" si="5">SUM(M21:M28)</f>
        <v>4.9729894972119243E-2</v>
      </c>
      <c r="N29" s="173">
        <f t="shared" ref="N29" si="6">SUM(N21:N28)</f>
        <v>4.9729894972119243E-2</v>
      </c>
      <c r="O29" s="174" t="s">
        <v>52</v>
      </c>
      <c r="P29" s="175" t="s">
        <v>52</v>
      </c>
      <c r="Q29" s="176">
        <f>SUM(Q21:Q28)</f>
        <v>812.16002082437637</v>
      </c>
      <c r="R29" s="176">
        <f t="shared" ref="R29" si="7">SUM(R21:R28)</f>
        <v>812.16002082437637</v>
      </c>
      <c r="S29" s="173">
        <f t="shared" ref="S29" si="8">SUM(S21:S28)</f>
        <v>11.586833972671172</v>
      </c>
      <c r="T29" s="173">
        <f t="shared" ref="T29" si="9">SUM(T21:T28)</f>
        <v>11.586833972671172</v>
      </c>
    </row>
    <row r="30" spans="1:20" ht="31.5" customHeight="1" x14ac:dyDescent="0.25">
      <c r="A30" s="201"/>
      <c r="B30" s="201"/>
      <c r="C30" s="201"/>
      <c r="D30" s="201"/>
      <c r="E30" s="201"/>
      <c r="F30" s="201"/>
      <c r="G30" s="201"/>
    </row>
  </sheetData>
  <sheetProtection sheet="1" objects="1" scenarios="1" formatCells="0" formatColumns="0" formatRows="0"/>
  <mergeCells count="24">
    <mergeCell ref="I19:N19"/>
    <mergeCell ref="O19:T19"/>
    <mergeCell ref="A19:A20"/>
    <mergeCell ref="C19:C20"/>
    <mergeCell ref="C21:C28"/>
    <mergeCell ref="E21:E28"/>
    <mergeCell ref="E19:E20"/>
    <mergeCell ref="D19:D20"/>
    <mergeCell ref="O5:T5"/>
    <mergeCell ref="I5:N5"/>
    <mergeCell ref="A15:G16"/>
    <mergeCell ref="C7:C14"/>
    <mergeCell ref="A5:A6"/>
    <mergeCell ref="E7:E14"/>
    <mergeCell ref="C5:C6"/>
    <mergeCell ref="D5:D6"/>
    <mergeCell ref="A29:G30"/>
    <mergeCell ref="G5:G6"/>
    <mergeCell ref="H5:H6"/>
    <mergeCell ref="E5:E6"/>
    <mergeCell ref="F5:F6"/>
    <mergeCell ref="G19:G20"/>
    <mergeCell ref="H19:H20"/>
    <mergeCell ref="F19:F20"/>
  </mergeCells>
  <pageMargins left="0.7" right="0.7" top="0.75" bottom="0.75" header="0.3" footer="0.3"/>
  <pageSetup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8332F5-52C7-40F7-818B-E2147575B50D}">
  <sheetPr>
    <tabColor theme="8" tint="0.79998168889431442"/>
  </sheetPr>
  <dimension ref="A1:AI37"/>
  <sheetViews>
    <sheetView topLeftCell="N1" zoomScale="70" zoomScaleNormal="70" workbookViewId="0">
      <selection activeCell="Z2" sqref="Z2:AA2"/>
    </sheetView>
  </sheetViews>
  <sheetFormatPr defaultColWidth="9.140625" defaultRowHeight="15" x14ac:dyDescent="0.25"/>
  <cols>
    <col min="1" max="1" width="25.28515625" style="11" customWidth="1"/>
    <col min="2" max="2" width="27.42578125" style="11" customWidth="1"/>
    <col min="3" max="3" width="4.7109375" style="11" customWidth="1"/>
    <col min="4" max="4" width="23.85546875" style="11" customWidth="1"/>
    <col min="5" max="20" width="15.5703125" customWidth="1"/>
    <col min="23" max="24" width="12.42578125" customWidth="1"/>
    <col min="26" max="26" width="14.42578125" customWidth="1"/>
    <col min="27" max="27" width="11.7109375" customWidth="1"/>
    <col min="29" max="29" width="15.85546875" customWidth="1"/>
    <col min="30" max="30" width="12" customWidth="1"/>
  </cols>
  <sheetData>
    <row r="1" spans="1:35" ht="30" customHeight="1" x14ac:dyDescent="0.25">
      <c r="A1" s="218" t="s">
        <v>54</v>
      </c>
      <c r="B1" s="219"/>
      <c r="C1" s="32"/>
      <c r="D1" s="220" t="s">
        <v>55</v>
      </c>
      <c r="E1" s="218"/>
      <c r="F1" s="218"/>
      <c r="G1" s="218"/>
      <c r="H1" s="218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W1" s="221" t="s">
        <v>56</v>
      </c>
      <c r="X1" s="222"/>
      <c r="Y1" s="222"/>
      <c r="Z1" s="222"/>
      <c r="AA1" s="222"/>
      <c r="AB1" s="222"/>
      <c r="AC1" s="222"/>
      <c r="AD1" s="222"/>
      <c r="AE1" s="222"/>
      <c r="AF1" s="222"/>
      <c r="AG1" s="223"/>
    </row>
    <row r="2" spans="1:35" ht="90" customHeight="1" x14ac:dyDescent="0.25">
      <c r="A2" s="31" t="s">
        <v>57</v>
      </c>
      <c r="B2" s="30" t="s">
        <v>58</v>
      </c>
      <c r="C2" s="29"/>
      <c r="D2" s="27" t="s">
        <v>59</v>
      </c>
      <c r="E2" s="224" t="s">
        <v>37</v>
      </c>
      <c r="F2" s="224"/>
      <c r="G2" s="224" t="s">
        <v>41</v>
      </c>
      <c r="H2" s="224"/>
      <c r="I2" s="224" t="s">
        <v>44</v>
      </c>
      <c r="J2" s="224"/>
      <c r="K2" s="224" t="s">
        <v>46</v>
      </c>
      <c r="L2" s="224"/>
      <c r="M2" s="224" t="s">
        <v>47</v>
      </c>
      <c r="N2" s="224"/>
      <c r="O2" s="224" t="s">
        <v>48</v>
      </c>
      <c r="P2" s="224"/>
      <c r="Q2" s="224" t="s">
        <v>49</v>
      </c>
      <c r="R2" s="224"/>
      <c r="S2" s="224" t="s">
        <v>50</v>
      </c>
      <c r="T2" s="224"/>
      <c r="W2" s="225" t="s">
        <v>60</v>
      </c>
      <c r="X2" s="225"/>
      <c r="Y2" s="28"/>
      <c r="Z2" s="225" t="s">
        <v>61</v>
      </c>
      <c r="AA2" s="225"/>
      <c r="AB2" s="28"/>
      <c r="AC2" s="225" t="s">
        <v>62</v>
      </c>
      <c r="AD2" s="225"/>
      <c r="AF2" s="225" t="s">
        <v>63</v>
      </c>
      <c r="AG2" s="225"/>
    </row>
    <row r="3" spans="1:35" s="11" customFormat="1" ht="76.5" customHeight="1" x14ac:dyDescent="0.35">
      <c r="A3" s="177"/>
      <c r="B3" s="179"/>
      <c r="C3" s="13"/>
      <c r="D3" s="27" t="s">
        <v>64</v>
      </c>
      <c r="E3" s="226" t="s">
        <v>65</v>
      </c>
      <c r="F3" s="227"/>
      <c r="G3" s="228" t="s">
        <v>42</v>
      </c>
      <c r="H3" s="229"/>
      <c r="I3" s="226" t="s">
        <v>66</v>
      </c>
      <c r="J3" s="227"/>
      <c r="K3" s="228" t="s">
        <v>65</v>
      </c>
      <c r="L3" s="229"/>
      <c r="M3" s="226" t="s">
        <v>66</v>
      </c>
      <c r="N3" s="227"/>
      <c r="O3" s="226" t="s">
        <v>65</v>
      </c>
      <c r="P3" s="227"/>
      <c r="Q3" s="228" t="s">
        <v>65</v>
      </c>
      <c r="R3" s="229"/>
      <c r="S3" s="226" t="s">
        <v>66</v>
      </c>
      <c r="T3" s="227"/>
      <c r="W3" s="177" t="s">
        <v>67</v>
      </c>
      <c r="X3" s="23" t="s">
        <v>68</v>
      </c>
      <c r="Z3" s="177" t="s">
        <v>69</v>
      </c>
      <c r="AA3" s="177" t="s">
        <v>70</v>
      </c>
      <c r="AC3" s="177" t="s">
        <v>71</v>
      </c>
      <c r="AD3" s="177" t="s">
        <v>72</v>
      </c>
      <c r="AF3" s="177" t="s">
        <v>73</v>
      </c>
      <c r="AG3" s="177" t="s">
        <v>74</v>
      </c>
      <c r="AH3"/>
      <c r="AI3"/>
    </row>
    <row r="4" spans="1:35" s="11" customFormat="1" ht="61.5" x14ac:dyDescent="0.35">
      <c r="A4" s="177"/>
      <c r="B4" s="179"/>
      <c r="C4" s="13"/>
      <c r="D4" s="26" t="s">
        <v>75</v>
      </c>
      <c r="E4" s="24" t="s">
        <v>76</v>
      </c>
      <c r="F4" s="23" t="s">
        <v>77</v>
      </c>
      <c r="G4" s="25"/>
      <c r="H4" s="25"/>
      <c r="I4" s="24" t="s">
        <v>78</v>
      </c>
      <c r="J4" s="23" t="s">
        <v>79</v>
      </c>
      <c r="K4" s="21" t="s">
        <v>80</v>
      </c>
      <c r="L4" s="20" t="s">
        <v>81</v>
      </c>
      <c r="M4" s="24" t="s">
        <v>82</v>
      </c>
      <c r="N4" s="23" t="s">
        <v>68</v>
      </c>
      <c r="O4" s="25" t="s">
        <v>83</v>
      </c>
      <c r="P4" s="23" t="s">
        <v>81</v>
      </c>
      <c r="Q4" s="21" t="s">
        <v>84</v>
      </c>
      <c r="R4" s="20" t="s">
        <v>85</v>
      </c>
      <c r="S4" s="24" t="s">
        <v>82</v>
      </c>
      <c r="T4" s="23" t="s">
        <v>68</v>
      </c>
      <c r="W4" s="177" t="s">
        <v>86</v>
      </c>
      <c r="X4" s="177" t="s">
        <v>87</v>
      </c>
      <c r="Z4" s="177" t="s">
        <v>88</v>
      </c>
      <c r="AA4" s="177" t="s">
        <v>89</v>
      </c>
      <c r="AC4" s="177" t="s">
        <v>73</v>
      </c>
      <c r="AD4" s="177" t="s">
        <v>74</v>
      </c>
      <c r="AF4" s="177" t="s">
        <v>88</v>
      </c>
      <c r="AG4" s="177" t="s">
        <v>89</v>
      </c>
      <c r="AH4"/>
      <c r="AI4"/>
    </row>
    <row r="5" spans="1:35" s="11" customFormat="1" ht="46.5" x14ac:dyDescent="0.35">
      <c r="A5" s="177"/>
      <c r="B5" s="179"/>
      <c r="C5" s="13"/>
      <c r="E5" s="21" t="s">
        <v>90</v>
      </c>
      <c r="F5" s="20" t="s">
        <v>91</v>
      </c>
      <c r="I5" s="21" t="s">
        <v>92</v>
      </c>
      <c r="J5" s="20" t="s">
        <v>93</v>
      </c>
      <c r="K5" s="21" t="s">
        <v>90</v>
      </c>
      <c r="L5" s="20" t="s">
        <v>91</v>
      </c>
      <c r="M5" s="21" t="s">
        <v>86</v>
      </c>
      <c r="N5" s="20" t="s">
        <v>94</v>
      </c>
      <c r="O5" s="11" t="s">
        <v>90</v>
      </c>
      <c r="P5" s="20" t="s">
        <v>91</v>
      </c>
      <c r="Q5" s="21" t="s">
        <v>90</v>
      </c>
      <c r="R5" s="20" t="s">
        <v>91</v>
      </c>
      <c r="S5" s="18" t="s">
        <v>95</v>
      </c>
      <c r="T5" s="17" t="s">
        <v>96</v>
      </c>
      <c r="AF5" s="177" t="s">
        <v>97</v>
      </c>
      <c r="AG5" s="177" t="s">
        <v>98</v>
      </c>
      <c r="AH5"/>
      <c r="AI5"/>
    </row>
    <row r="6" spans="1:35" s="11" customFormat="1" ht="46.5" x14ac:dyDescent="0.35">
      <c r="A6" s="177"/>
      <c r="B6" s="179"/>
      <c r="C6" s="13"/>
      <c r="E6" s="21" t="s">
        <v>99</v>
      </c>
      <c r="F6" s="20" t="s">
        <v>100</v>
      </c>
      <c r="I6" s="21" t="s">
        <v>88</v>
      </c>
      <c r="J6" s="20" t="s">
        <v>101</v>
      </c>
      <c r="K6" s="21" t="s">
        <v>99</v>
      </c>
      <c r="L6" s="20" t="s">
        <v>100</v>
      </c>
      <c r="M6" s="21" t="s">
        <v>102</v>
      </c>
      <c r="N6" s="20" t="s">
        <v>103</v>
      </c>
      <c r="O6" s="11" t="s">
        <v>99</v>
      </c>
      <c r="P6" s="20" t="s">
        <v>100</v>
      </c>
      <c r="Q6" s="21" t="s">
        <v>99</v>
      </c>
      <c r="R6" s="20" t="s">
        <v>104</v>
      </c>
      <c r="AH6"/>
      <c r="AI6"/>
    </row>
    <row r="7" spans="1:35" s="11" customFormat="1" ht="46.5" x14ac:dyDescent="0.35">
      <c r="A7" s="177"/>
      <c r="B7" s="179"/>
      <c r="C7" s="13"/>
      <c r="E7" s="21" t="s">
        <v>22</v>
      </c>
      <c r="F7" s="20" t="s">
        <v>105</v>
      </c>
      <c r="I7" s="21" t="s">
        <v>106</v>
      </c>
      <c r="J7" s="11" t="s">
        <v>107</v>
      </c>
      <c r="K7" s="21" t="s">
        <v>22</v>
      </c>
      <c r="L7" s="20" t="s">
        <v>105</v>
      </c>
      <c r="M7" s="18" t="s">
        <v>22</v>
      </c>
      <c r="N7" s="17" t="s">
        <v>105</v>
      </c>
      <c r="O7" s="11" t="s">
        <v>22</v>
      </c>
      <c r="P7" s="20" t="s">
        <v>105</v>
      </c>
      <c r="Q7" s="21" t="s">
        <v>22</v>
      </c>
      <c r="R7" s="20" t="s">
        <v>105</v>
      </c>
      <c r="AH7"/>
      <c r="AI7"/>
    </row>
    <row r="8" spans="1:35" s="11" customFormat="1" ht="46.5" x14ac:dyDescent="0.35">
      <c r="A8" s="177"/>
      <c r="B8" s="179"/>
      <c r="C8" s="13"/>
      <c r="E8" s="21" t="s">
        <v>108</v>
      </c>
      <c r="F8" s="20" t="s">
        <v>109</v>
      </c>
      <c r="I8" s="21" t="s">
        <v>108</v>
      </c>
      <c r="J8" s="20" t="s">
        <v>110</v>
      </c>
      <c r="K8" s="21" t="s">
        <v>108</v>
      </c>
      <c r="L8" s="20" t="s">
        <v>110</v>
      </c>
      <c r="O8" s="21" t="s">
        <v>111</v>
      </c>
      <c r="P8" s="20" t="s">
        <v>112</v>
      </c>
      <c r="Q8" s="21" t="s">
        <v>111</v>
      </c>
      <c r="R8" s="20" t="s">
        <v>113</v>
      </c>
      <c r="AH8"/>
      <c r="AI8"/>
    </row>
    <row r="9" spans="1:35" s="11" customFormat="1" ht="31.5" x14ac:dyDescent="0.35">
      <c r="A9" s="177"/>
      <c r="B9" s="179"/>
      <c r="C9" s="13"/>
      <c r="E9" s="21" t="s">
        <v>114</v>
      </c>
      <c r="F9" s="20" t="s">
        <v>115</v>
      </c>
      <c r="I9" s="18" t="s">
        <v>82</v>
      </c>
      <c r="J9" s="17" t="s">
        <v>68</v>
      </c>
      <c r="K9" s="21" t="s">
        <v>114</v>
      </c>
      <c r="L9" s="20" t="s">
        <v>116</v>
      </c>
      <c r="O9" s="21" t="s">
        <v>117</v>
      </c>
      <c r="P9" s="20" t="s">
        <v>118</v>
      </c>
      <c r="Q9" s="21" t="s">
        <v>117</v>
      </c>
      <c r="R9" s="20" t="s">
        <v>118</v>
      </c>
      <c r="AH9"/>
      <c r="AI9"/>
    </row>
    <row r="10" spans="1:35" s="11" customFormat="1" ht="46.5" x14ac:dyDescent="0.35">
      <c r="A10" s="177"/>
      <c r="B10" s="179"/>
      <c r="C10" s="13"/>
      <c r="E10" s="21" t="s">
        <v>78</v>
      </c>
      <c r="F10" s="20" t="s">
        <v>79</v>
      </c>
      <c r="J10" s="22"/>
      <c r="K10" s="21" t="s">
        <v>117</v>
      </c>
      <c r="L10" s="20" t="s">
        <v>118</v>
      </c>
      <c r="O10" s="21" t="s">
        <v>119</v>
      </c>
      <c r="P10" s="20" t="s">
        <v>120</v>
      </c>
      <c r="Q10" s="21" t="s">
        <v>119</v>
      </c>
      <c r="R10" s="20" t="s">
        <v>120</v>
      </c>
      <c r="AH10"/>
      <c r="AI10"/>
    </row>
    <row r="11" spans="1:35" s="11" customFormat="1" ht="31.5" x14ac:dyDescent="0.35">
      <c r="A11" s="177"/>
      <c r="B11" s="179"/>
      <c r="C11" s="13"/>
      <c r="E11" s="18" t="s">
        <v>119</v>
      </c>
      <c r="F11" s="17" t="s">
        <v>120</v>
      </c>
      <c r="K11" s="21" t="s">
        <v>119</v>
      </c>
      <c r="L11" s="20" t="s">
        <v>120</v>
      </c>
      <c r="O11" s="18" t="s">
        <v>121</v>
      </c>
      <c r="P11" s="17" t="s">
        <v>122</v>
      </c>
      <c r="Q11" s="18" t="s">
        <v>121</v>
      </c>
      <c r="R11" s="17" t="s">
        <v>122</v>
      </c>
      <c r="AH11"/>
      <c r="AI11"/>
    </row>
    <row r="12" spans="1:35" s="11" customFormat="1" ht="18" x14ac:dyDescent="0.35">
      <c r="A12" s="177"/>
      <c r="B12" s="179"/>
      <c r="C12" s="19"/>
      <c r="K12" s="18" t="s">
        <v>121</v>
      </c>
      <c r="L12" s="17" t="s">
        <v>122</v>
      </c>
      <c r="AH12"/>
      <c r="AI12"/>
    </row>
    <row r="13" spans="1:35" s="11" customFormat="1" x14ac:dyDescent="0.25">
      <c r="A13" s="177"/>
      <c r="B13" s="179"/>
      <c r="C13" s="13"/>
      <c r="AH13"/>
      <c r="AI13"/>
    </row>
    <row r="14" spans="1:35" s="11" customFormat="1" ht="34.5" customHeight="1" x14ac:dyDescent="0.25">
      <c r="A14" s="177"/>
      <c r="B14" s="16"/>
      <c r="C14" s="15"/>
      <c r="D14" s="14"/>
      <c r="AH14"/>
      <c r="AI14"/>
    </row>
    <row r="15" spans="1:35" s="11" customFormat="1" x14ac:dyDescent="0.25">
      <c r="A15" s="177"/>
      <c r="B15" s="179"/>
      <c r="C15" s="13"/>
      <c r="AH15"/>
      <c r="AI15"/>
    </row>
    <row r="16" spans="1:35" s="11" customFormat="1" ht="33" customHeight="1" x14ac:dyDescent="0.25">
      <c r="A16" s="177"/>
      <c r="B16" s="179"/>
      <c r="C16" s="13"/>
      <c r="AH16"/>
      <c r="AI16"/>
    </row>
    <row r="17" spans="1:35" s="11" customFormat="1" x14ac:dyDescent="0.25">
      <c r="A17" s="177"/>
      <c r="B17" s="179"/>
      <c r="C17" s="13"/>
      <c r="AH17"/>
      <c r="AI17"/>
    </row>
    <row r="18" spans="1:35" s="11" customFormat="1" x14ac:dyDescent="0.25">
      <c r="A18" s="177"/>
      <c r="B18" s="179"/>
      <c r="C18" s="13"/>
      <c r="AH18"/>
      <c r="AI18"/>
    </row>
    <row r="19" spans="1:35" s="11" customFormat="1" x14ac:dyDescent="0.25">
      <c r="A19" s="177"/>
      <c r="B19" s="179"/>
      <c r="C19" s="13"/>
      <c r="AH19"/>
      <c r="AI19"/>
    </row>
    <row r="20" spans="1:35" s="11" customFormat="1" x14ac:dyDescent="0.25">
      <c r="A20" s="177"/>
      <c r="B20" s="179"/>
      <c r="C20" s="13"/>
      <c r="AH20"/>
      <c r="AI20"/>
    </row>
    <row r="21" spans="1:35" s="11" customFormat="1" x14ac:dyDescent="0.25">
      <c r="A21" s="177"/>
      <c r="B21" s="179"/>
      <c r="C21" s="13"/>
      <c r="AH21"/>
      <c r="AI21"/>
    </row>
    <row r="22" spans="1:35" s="11" customFormat="1" x14ac:dyDescent="0.25">
      <c r="A22" s="177"/>
      <c r="B22" s="179"/>
      <c r="C22" s="13"/>
      <c r="AH22"/>
      <c r="AI22"/>
    </row>
    <row r="23" spans="1:35" s="11" customFormat="1" x14ac:dyDescent="0.25">
      <c r="A23" s="177"/>
      <c r="B23" s="179"/>
      <c r="C23" s="13"/>
      <c r="AH23"/>
      <c r="AI23"/>
    </row>
    <row r="24" spans="1:35" s="11" customFormat="1" x14ac:dyDescent="0.25">
      <c r="A24" s="177"/>
      <c r="B24" s="179"/>
      <c r="C24" s="13"/>
      <c r="S24"/>
      <c r="T24"/>
      <c r="Z24"/>
      <c r="AA24"/>
      <c r="AH24"/>
      <c r="AI24"/>
    </row>
    <row r="25" spans="1:35" s="11" customFormat="1" x14ac:dyDescent="0.25">
      <c r="A25" s="177"/>
      <c r="B25" s="179"/>
      <c r="C25" s="13"/>
      <c r="M25"/>
      <c r="N25"/>
      <c r="S25"/>
      <c r="T25"/>
      <c r="Z25"/>
      <c r="AA25"/>
      <c r="AH25"/>
      <c r="AI25"/>
    </row>
    <row r="26" spans="1:35" s="11" customFormat="1" x14ac:dyDescent="0.25">
      <c r="A26" s="177"/>
      <c r="B26" s="179"/>
      <c r="C26" s="13"/>
      <c r="M26"/>
      <c r="N26"/>
      <c r="S26"/>
      <c r="T26"/>
      <c r="Z26"/>
      <c r="AA26"/>
      <c r="AH26"/>
      <c r="AI26"/>
    </row>
    <row r="27" spans="1:35" s="11" customFormat="1" x14ac:dyDescent="0.25">
      <c r="A27" s="177"/>
      <c r="B27" s="179"/>
      <c r="C27" s="13"/>
      <c r="M27"/>
      <c r="N27"/>
      <c r="S27"/>
      <c r="T27"/>
      <c r="Z27"/>
      <c r="AA27"/>
      <c r="AH27"/>
      <c r="AI27"/>
    </row>
    <row r="28" spans="1:35" s="11" customFormat="1" x14ac:dyDescent="0.25">
      <c r="A28" s="177"/>
      <c r="B28" s="179"/>
      <c r="C28" s="13"/>
      <c r="I28"/>
      <c r="J28"/>
      <c r="M28"/>
      <c r="N28"/>
      <c r="S28"/>
      <c r="T28"/>
      <c r="Z28"/>
      <c r="AA28"/>
      <c r="AH28"/>
      <c r="AI28"/>
    </row>
    <row r="29" spans="1:35" s="11" customFormat="1" x14ac:dyDescent="0.25">
      <c r="A29" s="177"/>
      <c r="B29" s="179"/>
      <c r="C29" s="15"/>
      <c r="D29" s="14"/>
      <c r="I29"/>
      <c r="J29"/>
      <c r="M29"/>
      <c r="N29"/>
      <c r="S29"/>
      <c r="T29"/>
      <c r="Z29"/>
      <c r="AA29"/>
      <c r="AH29"/>
      <c r="AI29"/>
    </row>
    <row r="30" spans="1:35" s="11" customFormat="1" x14ac:dyDescent="0.25">
      <c r="A30" s="177"/>
      <c r="B30" s="179"/>
      <c r="C30" s="13"/>
      <c r="I30"/>
      <c r="J30"/>
      <c r="M30"/>
      <c r="N30"/>
      <c r="O30"/>
      <c r="P30"/>
      <c r="S30"/>
      <c r="T30"/>
      <c r="Z30"/>
      <c r="AA30"/>
      <c r="AH30"/>
      <c r="AI30"/>
    </row>
    <row r="31" spans="1:35" s="11" customFormat="1" x14ac:dyDescent="0.25">
      <c r="A31" s="177"/>
      <c r="B31" s="179"/>
      <c r="C31" s="12"/>
      <c r="I31"/>
      <c r="J31"/>
      <c r="K31"/>
      <c r="L31"/>
      <c r="M31"/>
      <c r="N31"/>
      <c r="O31"/>
      <c r="P31"/>
      <c r="S31"/>
      <c r="T31"/>
      <c r="Z31"/>
      <c r="AA31"/>
      <c r="AC31"/>
      <c r="AD31"/>
      <c r="AH31"/>
      <c r="AI31"/>
    </row>
    <row r="32" spans="1:35" s="11" customFormat="1" x14ac:dyDescent="0.25">
      <c r="I32"/>
      <c r="J32"/>
      <c r="K32"/>
      <c r="L32"/>
      <c r="M32"/>
      <c r="N32"/>
      <c r="O32"/>
      <c r="P32"/>
      <c r="S32"/>
      <c r="T32"/>
      <c r="Z32"/>
      <c r="AA32"/>
      <c r="AC32"/>
      <c r="AD32"/>
      <c r="AH32"/>
      <c r="AI32"/>
    </row>
    <row r="33" spans="5:35" s="11" customFormat="1" x14ac:dyDescent="0.25">
      <c r="I33"/>
      <c r="J33"/>
      <c r="K33"/>
      <c r="L33"/>
      <c r="M33"/>
      <c r="N33"/>
      <c r="O33"/>
      <c r="P33"/>
      <c r="S33"/>
      <c r="T33"/>
      <c r="W33"/>
      <c r="X33"/>
      <c r="Z33"/>
      <c r="AA33"/>
      <c r="AC33"/>
      <c r="AD33"/>
      <c r="AH33"/>
      <c r="AI33"/>
    </row>
    <row r="34" spans="5:35" x14ac:dyDescent="0.25">
      <c r="E34" s="11"/>
      <c r="F34" s="11"/>
      <c r="G34" s="11"/>
      <c r="H34" s="11"/>
    </row>
    <row r="35" spans="5:35" x14ac:dyDescent="0.25">
      <c r="E35" s="11"/>
      <c r="F35" s="11"/>
      <c r="G35" s="11"/>
      <c r="H35" s="11"/>
    </row>
    <row r="36" spans="5:35" x14ac:dyDescent="0.25">
      <c r="E36" s="11"/>
      <c r="F36" s="11"/>
      <c r="G36" s="11"/>
      <c r="H36" s="11"/>
    </row>
    <row r="37" spans="5:35" x14ac:dyDescent="0.25">
      <c r="G37" s="11"/>
      <c r="H37" s="11"/>
    </row>
  </sheetData>
  <sheetProtection sheet="1" objects="1" scenarios="1" formatCells="0" formatColumns="0" formatRows="0"/>
  <autoFilter ref="W1:AG5" xr:uid="{1B8332F5-52C7-40F7-818B-E2147575B50D}">
    <filterColumn colId="0" showButton="0"/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</autoFilter>
  <mergeCells count="23">
    <mergeCell ref="O3:P3"/>
    <mergeCell ref="Q3:R3"/>
    <mergeCell ref="S3:T3"/>
    <mergeCell ref="S2:T2"/>
    <mergeCell ref="W2:X2"/>
    <mergeCell ref="E3:F3"/>
    <mergeCell ref="G3:H3"/>
    <mergeCell ref="I3:J3"/>
    <mergeCell ref="K3:L3"/>
    <mergeCell ref="M3:N3"/>
    <mergeCell ref="A1:B1"/>
    <mergeCell ref="D1:T1"/>
    <mergeCell ref="W1:AG1"/>
    <mergeCell ref="E2:F2"/>
    <mergeCell ref="G2:H2"/>
    <mergeCell ref="I2:J2"/>
    <mergeCell ref="K2:L2"/>
    <mergeCell ref="M2:N2"/>
    <mergeCell ref="O2:P2"/>
    <mergeCell ref="Q2:R2"/>
    <mergeCell ref="AC2:AD2"/>
    <mergeCell ref="AF2:AG2"/>
    <mergeCell ref="Z2:AA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1E856-082C-45D8-9A91-7D926E0E2290}">
  <sheetPr>
    <tabColor theme="8" tint="0.79998168889431442"/>
  </sheetPr>
  <dimension ref="A1:I12"/>
  <sheetViews>
    <sheetView workbookViewId="0">
      <selection activeCell="A8" sqref="A8:XFD8"/>
    </sheetView>
  </sheetViews>
  <sheetFormatPr defaultRowHeight="15" x14ac:dyDescent="0.25"/>
  <cols>
    <col min="1" max="1" width="10" style="34" customWidth="1"/>
    <col min="2" max="2" width="47.140625" bestFit="1" customWidth="1"/>
    <col min="3" max="3" width="17" style="34" customWidth="1"/>
    <col min="4" max="4" width="17.42578125" style="34" customWidth="1"/>
    <col min="5" max="5" width="17.7109375" style="34" customWidth="1"/>
    <col min="7" max="8" width="18.85546875" customWidth="1"/>
    <col min="9" max="9" width="41.7109375" customWidth="1"/>
  </cols>
  <sheetData>
    <row r="1" spans="1:9" ht="15" customHeight="1" x14ac:dyDescent="0.25">
      <c r="A1" s="230" t="s">
        <v>123</v>
      </c>
      <c r="B1" s="230" t="s">
        <v>124</v>
      </c>
      <c r="C1" s="230" t="s">
        <v>125</v>
      </c>
      <c r="D1" s="230"/>
      <c r="E1" s="231" t="s">
        <v>126</v>
      </c>
    </row>
    <row r="2" spans="1:9" x14ac:dyDescent="0.25">
      <c r="A2" s="230"/>
      <c r="B2" s="230"/>
      <c r="C2" s="182" t="s">
        <v>127</v>
      </c>
      <c r="D2" s="182" t="s">
        <v>128</v>
      </c>
      <c r="E2" s="231"/>
      <c r="I2" s="33"/>
    </row>
    <row r="3" spans="1:9" x14ac:dyDescent="0.25">
      <c r="A3" s="136">
        <v>1</v>
      </c>
      <c r="B3" s="63" t="s">
        <v>129</v>
      </c>
      <c r="C3" s="136" t="s">
        <v>130</v>
      </c>
      <c r="D3" s="136" t="s">
        <v>130</v>
      </c>
      <c r="E3" s="136">
        <v>1250</v>
      </c>
      <c r="F3" s="34"/>
    </row>
    <row r="4" spans="1:9" x14ac:dyDescent="0.25">
      <c r="A4" s="136">
        <v>2</v>
      </c>
      <c r="B4" s="63" t="s">
        <v>131</v>
      </c>
      <c r="C4" s="136">
        <v>2.5</v>
      </c>
      <c r="D4" s="136">
        <v>2.5</v>
      </c>
      <c r="E4" s="136">
        <v>1104</v>
      </c>
    </row>
    <row r="5" spans="1:9" x14ac:dyDescent="0.25">
      <c r="A5" s="136">
        <v>3</v>
      </c>
      <c r="B5" s="63" t="s">
        <v>132</v>
      </c>
      <c r="C5" s="136">
        <v>0.2</v>
      </c>
      <c r="D5" s="136">
        <v>0.2</v>
      </c>
      <c r="E5" s="136">
        <v>1256.9000000000001</v>
      </c>
    </row>
    <row r="6" spans="1:9" x14ac:dyDescent="0.25">
      <c r="A6" s="136">
        <v>3</v>
      </c>
      <c r="B6" s="63" t="s">
        <v>133</v>
      </c>
      <c r="C6" s="136">
        <v>0.1</v>
      </c>
      <c r="D6" s="136">
        <v>0.2</v>
      </c>
      <c r="E6" s="136">
        <v>1256.9000000000001</v>
      </c>
    </row>
    <row r="7" spans="1:9" x14ac:dyDescent="0.25">
      <c r="A7" s="136">
        <v>4</v>
      </c>
      <c r="B7" s="63" t="s">
        <v>134</v>
      </c>
      <c r="C7" s="136">
        <v>2.5</v>
      </c>
      <c r="D7" s="136">
        <v>2.5</v>
      </c>
      <c r="E7" s="136">
        <v>1128.04</v>
      </c>
    </row>
    <row r="8" spans="1:9" x14ac:dyDescent="0.25">
      <c r="A8" s="136">
        <v>5</v>
      </c>
      <c r="B8" s="63" t="s">
        <v>135</v>
      </c>
      <c r="C8" s="136">
        <v>0.1</v>
      </c>
      <c r="D8" s="136">
        <v>0.1</v>
      </c>
      <c r="E8" s="136">
        <v>1256.9000000000001</v>
      </c>
    </row>
    <row r="9" spans="1:9" x14ac:dyDescent="0.25">
      <c r="A9" s="136">
        <v>7</v>
      </c>
      <c r="B9" s="63" t="s">
        <v>136</v>
      </c>
      <c r="C9" s="136">
        <v>2.5299999999999998</v>
      </c>
      <c r="D9" s="136">
        <v>2.5299999999999998</v>
      </c>
      <c r="E9" s="136">
        <v>1256.9000000000001</v>
      </c>
    </row>
    <row r="10" spans="1:9" x14ac:dyDescent="0.25">
      <c r="A10" s="136">
        <v>8</v>
      </c>
      <c r="B10" s="48" t="s">
        <v>137</v>
      </c>
      <c r="C10" s="136" t="s">
        <v>138</v>
      </c>
      <c r="D10" s="136" t="s">
        <v>139</v>
      </c>
      <c r="E10" s="136">
        <v>1250</v>
      </c>
    </row>
    <row r="11" spans="1:9" x14ac:dyDescent="0.25">
      <c r="A11" s="136">
        <v>9</v>
      </c>
      <c r="B11" s="48" t="s">
        <v>129</v>
      </c>
      <c r="C11" s="136" t="s">
        <v>140</v>
      </c>
      <c r="D11" s="136" t="s">
        <v>140</v>
      </c>
      <c r="E11" s="136">
        <v>1256</v>
      </c>
    </row>
    <row r="12" spans="1:9" x14ac:dyDescent="0.25">
      <c r="A12" s="136">
        <v>10</v>
      </c>
      <c r="B12" s="48" t="s">
        <v>141</v>
      </c>
      <c r="C12" s="136">
        <v>91</v>
      </c>
      <c r="D12" s="136">
        <v>100</v>
      </c>
      <c r="E12" s="136">
        <v>1256</v>
      </c>
    </row>
  </sheetData>
  <sheetProtection sheet="1" objects="1" scenarios="1" formatCells="0" formatColumns="0" formatRows="0"/>
  <mergeCells count="4">
    <mergeCell ref="A1:A2"/>
    <mergeCell ref="B1:B2"/>
    <mergeCell ref="C1:D1"/>
    <mergeCell ref="E1:E2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60AD2-17D7-4830-B464-94A73BE0ADB2}">
  <sheetPr codeName="Sheet6">
    <tabColor rgb="FF92D050"/>
  </sheetPr>
  <dimension ref="A2:P159"/>
  <sheetViews>
    <sheetView zoomScale="70" zoomScaleNormal="70" workbookViewId="0">
      <selection activeCell="M10" sqref="M10"/>
    </sheetView>
  </sheetViews>
  <sheetFormatPr defaultColWidth="8.85546875" defaultRowHeight="15" x14ac:dyDescent="0.25"/>
  <cols>
    <col min="1" max="1" width="1.28515625" style="1" customWidth="1"/>
    <col min="2" max="2" width="40" style="1" customWidth="1"/>
    <col min="3" max="3" width="16" style="35" customWidth="1"/>
    <col min="4" max="4" width="9.42578125" style="1" customWidth="1"/>
    <col min="5" max="5" width="16.5703125" style="1" customWidth="1"/>
    <col min="6" max="6" width="20.28515625" style="1" customWidth="1"/>
    <col min="7" max="9" width="11" style="1" customWidth="1"/>
    <col min="10" max="11" width="13.28515625" style="1" customWidth="1"/>
    <col min="12" max="12" width="15.140625" style="1" customWidth="1"/>
    <col min="13" max="13" width="57" style="1" customWidth="1"/>
    <col min="14" max="14" width="8.85546875" style="1"/>
    <col min="15" max="15" width="8.42578125" style="1" customWidth="1"/>
    <col min="16" max="16" width="12.7109375" style="1" customWidth="1"/>
    <col min="17" max="16384" width="8.85546875" style="1"/>
  </cols>
  <sheetData>
    <row r="2" spans="2:16" x14ac:dyDescent="0.25">
      <c r="B2" s="58" t="s">
        <v>142</v>
      </c>
      <c r="C2" s="47" t="s">
        <v>143</v>
      </c>
    </row>
    <row r="4" spans="2:16" s="89" customFormat="1" x14ac:dyDescent="0.25">
      <c r="B4" s="244" t="s">
        <v>144</v>
      </c>
      <c r="C4" s="235" t="s">
        <v>145</v>
      </c>
      <c r="D4" s="245" t="s">
        <v>146</v>
      </c>
      <c r="E4" s="246" t="s">
        <v>147</v>
      </c>
      <c r="F4" s="247"/>
      <c r="G4" s="248" t="s">
        <v>148</v>
      </c>
      <c r="H4" s="249"/>
      <c r="I4" s="250"/>
      <c r="J4" s="245" t="s">
        <v>149</v>
      </c>
      <c r="K4" s="183"/>
      <c r="L4" s="235" t="s">
        <v>150</v>
      </c>
      <c r="M4" s="235" t="s">
        <v>151</v>
      </c>
    </row>
    <row r="5" spans="2:16" s="89" customFormat="1" ht="30" x14ac:dyDescent="0.25">
      <c r="B5" s="244"/>
      <c r="C5" s="236"/>
      <c r="D5" s="245"/>
      <c r="E5" s="187" t="s">
        <v>152</v>
      </c>
      <c r="F5" s="187" t="s">
        <v>153</v>
      </c>
      <c r="G5" s="187" t="s">
        <v>154</v>
      </c>
      <c r="H5" s="187" t="s">
        <v>155</v>
      </c>
      <c r="I5" s="187" t="s">
        <v>156</v>
      </c>
      <c r="J5" s="245"/>
      <c r="K5" s="91" t="s">
        <v>157</v>
      </c>
      <c r="L5" s="236"/>
      <c r="M5" s="236"/>
      <c r="P5" s="90" t="s">
        <v>158</v>
      </c>
    </row>
    <row r="6" spans="2:16" ht="63.75" x14ac:dyDescent="0.35">
      <c r="B6" s="177" t="s">
        <v>159</v>
      </c>
      <c r="C6" s="11" t="s">
        <v>107</v>
      </c>
      <c r="D6" s="88" t="s">
        <v>160</v>
      </c>
      <c r="E6" s="75">
        <v>3.0000000000000001E-3</v>
      </c>
      <c r="F6" s="70" t="s">
        <v>161</v>
      </c>
      <c r="G6" s="75">
        <v>2.9999999999999997E-4</v>
      </c>
      <c r="H6" s="75">
        <v>6.0000000000000001E-3</v>
      </c>
      <c r="I6" s="75">
        <v>3.0000000000000001E-3</v>
      </c>
      <c r="J6" s="75" t="s">
        <v>162</v>
      </c>
      <c r="K6" s="75" t="e" cm="1">
        <f t="array" aca="1" ref="K6" ca="1">_xll.RiskTriang(G6,I6,H6,_xll.RiskStatic(E6))</f>
        <v>#NAME?</v>
      </c>
      <c r="L6" s="87" t="e">
        <f t="shared" ref="L6:L11" ca="1" si="0">IF($C$2=$P$6, K6, E6)</f>
        <v>#NAME?</v>
      </c>
      <c r="M6" s="86" t="s">
        <v>163</v>
      </c>
      <c r="P6" s="85" t="s">
        <v>143</v>
      </c>
    </row>
    <row r="7" spans="2:16" ht="75.75" customHeight="1" x14ac:dyDescent="0.25">
      <c r="B7" s="237" t="s">
        <v>121</v>
      </c>
      <c r="C7" s="239" t="s">
        <v>122</v>
      </c>
      <c r="D7" s="73" t="s">
        <v>164</v>
      </c>
      <c r="E7" s="70">
        <v>10</v>
      </c>
      <c r="F7" s="70" t="s">
        <v>165</v>
      </c>
      <c r="G7" s="70">
        <v>1.3</v>
      </c>
      <c r="H7" s="70">
        <v>202.2</v>
      </c>
      <c r="I7" s="70" t="s">
        <v>166</v>
      </c>
      <c r="J7" s="70" t="s">
        <v>167</v>
      </c>
      <c r="K7" s="75" t="e">
        <f ca="1">_xll.RiskLognorm(10.853,7.8832,_xll.RiskTruncate(,202.2))</f>
        <v>#NAME?</v>
      </c>
      <c r="L7" s="80" t="e">
        <f t="shared" ca="1" si="0"/>
        <v>#NAME?</v>
      </c>
      <c r="M7" s="241" t="s">
        <v>168</v>
      </c>
      <c r="P7" s="85" t="s">
        <v>169</v>
      </c>
    </row>
    <row r="8" spans="2:16" ht="99" customHeight="1" x14ac:dyDescent="0.25">
      <c r="B8" s="238"/>
      <c r="C8" s="240"/>
      <c r="D8" s="73" t="s">
        <v>170</v>
      </c>
      <c r="E8" s="84">
        <f>E7*ft_per_cm*60</f>
        <v>19.684799999999999</v>
      </c>
      <c r="F8" s="70" t="s">
        <v>165</v>
      </c>
      <c r="G8" s="83">
        <f>G7*ft_per_cm*60</f>
        <v>2.559024</v>
      </c>
      <c r="H8" s="82">
        <f>H7*ft_per_cm*60</f>
        <v>398.02665599999995</v>
      </c>
      <c r="I8" s="70" t="s">
        <v>166</v>
      </c>
      <c r="J8" s="70" t="s">
        <v>167</v>
      </c>
      <c r="K8" s="81" t="e">
        <f ca="1">(K7*ft_per_cm*60)</f>
        <v>#NAME?</v>
      </c>
      <c r="L8" s="69" t="e">
        <f t="shared" ca="1" si="0"/>
        <v>#NAME?</v>
      </c>
      <c r="M8" s="242"/>
    </row>
    <row r="9" spans="2:16" ht="29.25" customHeight="1" x14ac:dyDescent="0.35">
      <c r="B9" s="177" t="s">
        <v>76</v>
      </c>
      <c r="C9" s="177" t="s">
        <v>77</v>
      </c>
      <c r="D9" s="184" t="s">
        <v>171</v>
      </c>
      <c r="E9" s="71">
        <v>0.5</v>
      </c>
      <c r="F9" s="71" t="s">
        <v>172</v>
      </c>
      <c r="G9" s="71">
        <v>0.5</v>
      </c>
      <c r="H9" s="71">
        <v>1.45</v>
      </c>
      <c r="I9" s="70">
        <v>0.5</v>
      </c>
      <c r="J9" s="70" t="s">
        <v>162</v>
      </c>
      <c r="K9" s="75" t="e" cm="1">
        <f t="array" aca="1" ref="K9" ca="1">_xll.RiskTriang(G9,I9,H9,_xll.RiskStatic(E9))</f>
        <v>#NAME?</v>
      </c>
      <c r="L9" s="69" t="e">
        <f t="shared" ca="1" si="0"/>
        <v>#NAME?</v>
      </c>
      <c r="M9" s="73" t="s">
        <v>173</v>
      </c>
    </row>
    <row r="10" spans="2:16" ht="76.5" x14ac:dyDescent="0.35">
      <c r="B10" s="177" t="s">
        <v>86</v>
      </c>
      <c r="C10" s="177" t="s">
        <v>94</v>
      </c>
      <c r="D10" s="73" t="s">
        <v>174</v>
      </c>
      <c r="E10" s="71">
        <v>260</v>
      </c>
      <c r="F10" s="70" t="s">
        <v>172</v>
      </c>
      <c r="G10" s="70">
        <v>173</v>
      </c>
      <c r="H10" s="70">
        <v>261</v>
      </c>
      <c r="I10" s="70">
        <v>260</v>
      </c>
      <c r="J10" s="71" t="s">
        <v>162</v>
      </c>
      <c r="K10" s="70" t="e" cm="1">
        <f t="array" aca="1" ref="K10" ca="1">_xll.RiskDiscrete(B71:B159,C71:C159,_xll.RiskName(B10),_xll.RiskStatic(E10))</f>
        <v>#NAME?</v>
      </c>
      <c r="L10" s="80" t="e">
        <f t="shared" ca="1" si="0"/>
        <v>#NAME?</v>
      </c>
      <c r="M10" s="68" t="s">
        <v>419</v>
      </c>
    </row>
    <row r="11" spans="2:16" ht="27" customHeight="1" x14ac:dyDescent="0.35">
      <c r="B11" s="177" t="s">
        <v>175</v>
      </c>
      <c r="C11" s="177" t="s">
        <v>70</v>
      </c>
      <c r="D11" s="73" t="s">
        <v>176</v>
      </c>
      <c r="E11" s="79">
        <v>2000</v>
      </c>
      <c r="F11" s="70" t="s">
        <v>172</v>
      </c>
      <c r="G11" s="70">
        <v>0.5</v>
      </c>
      <c r="H11" s="70">
        <v>4000</v>
      </c>
      <c r="I11" s="70">
        <v>2000</v>
      </c>
      <c r="J11" s="71" t="s">
        <v>162</v>
      </c>
      <c r="K11" s="70" t="e" cm="1">
        <f t="array" aca="1" ref="K11" ca="1">_xll.RiskTriang(G11,I11,H11,_xll.RiskName(B11),_xll.RiskStatic(E11))</f>
        <v>#NAME?</v>
      </c>
      <c r="L11" s="69" t="e">
        <f t="shared" ca="1" si="0"/>
        <v>#NAME?</v>
      </c>
      <c r="M11" s="68" t="s">
        <v>177</v>
      </c>
    </row>
    <row r="12" spans="2:16" ht="66" customHeight="1" x14ac:dyDescent="0.35">
      <c r="B12" s="78" t="s">
        <v>90</v>
      </c>
      <c r="C12" s="20" t="s">
        <v>91</v>
      </c>
      <c r="D12" s="184" t="s">
        <v>174</v>
      </c>
      <c r="E12" s="77">
        <f>E10</f>
        <v>260</v>
      </c>
      <c r="F12" s="75" t="s">
        <v>172</v>
      </c>
      <c r="G12" s="75">
        <f>G10</f>
        <v>173</v>
      </c>
      <c r="H12" s="75">
        <f>H10</f>
        <v>261</v>
      </c>
      <c r="I12" s="75">
        <f>I10</f>
        <v>260</v>
      </c>
      <c r="J12" s="76" t="s">
        <v>162</v>
      </c>
      <c r="K12" s="75" t="e">
        <f ca="1">K10</f>
        <v>#NAME?</v>
      </c>
      <c r="L12" s="74" t="e">
        <f ca="1">L10</f>
        <v>#NAME?</v>
      </c>
      <c r="M12" s="68" t="s">
        <v>178</v>
      </c>
    </row>
    <row r="13" spans="2:16" ht="66" customHeight="1" x14ac:dyDescent="0.35">
      <c r="B13" s="177" t="s">
        <v>179</v>
      </c>
      <c r="C13" s="177" t="s">
        <v>85</v>
      </c>
      <c r="D13" s="73" t="s">
        <v>180</v>
      </c>
      <c r="E13" s="72">
        <v>2.5</v>
      </c>
      <c r="F13" s="70" t="s">
        <v>172</v>
      </c>
      <c r="G13" s="70">
        <v>2.5</v>
      </c>
      <c r="H13" s="70">
        <v>10</v>
      </c>
      <c r="I13" s="70">
        <v>2.5</v>
      </c>
      <c r="J13" s="71" t="s">
        <v>162</v>
      </c>
      <c r="K13" s="70" t="e" cm="1">
        <f t="array" aca="1" ref="K13" ca="1">_xll.RiskTriang(G13,I13,H13,_xll.RiskName(B10),_xll.RiskStatic(E13))</f>
        <v>#NAME?</v>
      </c>
      <c r="L13" s="69" t="e">
        <f ca="1">IF($C$2=$P$6, K13, E13)</f>
        <v>#NAME?</v>
      </c>
      <c r="M13" s="68" t="s">
        <v>177</v>
      </c>
    </row>
    <row r="14" spans="2:16" ht="66" customHeight="1" x14ac:dyDescent="0.25"/>
    <row r="15" spans="2:16" ht="66" customHeight="1" x14ac:dyDescent="0.25">
      <c r="B15" s="66" t="s">
        <v>181</v>
      </c>
      <c r="C15" s="67" t="s">
        <v>145</v>
      </c>
      <c r="D15" s="66" t="s">
        <v>152</v>
      </c>
      <c r="E15" s="66" t="s">
        <v>146</v>
      </c>
      <c r="F15" s="65" t="s">
        <v>151</v>
      </c>
    </row>
    <row r="16" spans="2:16" ht="35.25" customHeight="1" x14ac:dyDescent="0.35">
      <c r="B16" s="48" t="s">
        <v>182</v>
      </c>
      <c r="C16" s="99" t="s">
        <v>105</v>
      </c>
      <c r="D16" s="64">
        <v>1</v>
      </c>
      <c r="E16" s="48" t="s">
        <v>183</v>
      </c>
      <c r="F16" s="48" t="s">
        <v>184</v>
      </c>
    </row>
    <row r="17" spans="2:6" ht="33.75" customHeight="1" x14ac:dyDescent="0.35">
      <c r="B17" s="48" t="s">
        <v>97</v>
      </c>
      <c r="C17" s="48" t="s">
        <v>79</v>
      </c>
      <c r="D17" s="64">
        <v>1</v>
      </c>
      <c r="E17" s="48" t="s">
        <v>185</v>
      </c>
      <c r="F17" s="48" t="s">
        <v>186</v>
      </c>
    </row>
    <row r="18" spans="2:6" ht="40.5" customHeight="1" x14ac:dyDescent="0.25">
      <c r="B18" s="48" t="s">
        <v>117</v>
      </c>
      <c r="C18" s="50" t="s">
        <v>118</v>
      </c>
      <c r="D18" s="58">
        <v>298</v>
      </c>
      <c r="E18" s="58" t="s">
        <v>187</v>
      </c>
      <c r="F18" s="178" t="s">
        <v>188</v>
      </c>
    </row>
    <row r="19" spans="2:6" ht="31.5" customHeight="1" x14ac:dyDescent="0.25">
      <c r="B19" s="177" t="s">
        <v>189</v>
      </c>
      <c r="C19" s="177" t="s">
        <v>190</v>
      </c>
      <c r="D19" s="58">
        <v>760</v>
      </c>
      <c r="E19" s="58" t="s">
        <v>191</v>
      </c>
      <c r="F19" s="178" t="s">
        <v>192</v>
      </c>
    </row>
    <row r="20" spans="2:6" ht="31.5" customHeight="1" x14ac:dyDescent="0.25">
      <c r="B20" s="177" t="s">
        <v>193</v>
      </c>
      <c r="C20" s="177" t="s">
        <v>194</v>
      </c>
      <c r="D20" s="58">
        <v>1</v>
      </c>
      <c r="E20" s="58" t="s">
        <v>195</v>
      </c>
      <c r="F20" s="178" t="s">
        <v>192</v>
      </c>
    </row>
    <row r="21" spans="2:6" ht="28.5" customHeight="1" x14ac:dyDescent="0.25">
      <c r="B21" s="48" t="s">
        <v>196</v>
      </c>
      <c r="C21" s="50" t="s">
        <v>197</v>
      </c>
      <c r="D21" s="58">
        <v>82.05</v>
      </c>
      <c r="E21" s="58" t="s">
        <v>198</v>
      </c>
      <c r="F21" s="178" t="s">
        <v>199</v>
      </c>
    </row>
    <row r="22" spans="2:6" x14ac:dyDescent="0.25">
      <c r="B22" s="177" t="s">
        <v>119</v>
      </c>
      <c r="C22" s="177" t="s">
        <v>120</v>
      </c>
      <c r="D22" s="48">
        <v>78.900000000000006</v>
      </c>
      <c r="E22" s="58" t="s">
        <v>200</v>
      </c>
      <c r="F22" s="178" t="s">
        <v>201</v>
      </c>
    </row>
    <row r="23" spans="2:6" ht="18" x14ac:dyDescent="0.35">
      <c r="B23" s="48" t="s">
        <v>99</v>
      </c>
      <c r="C23" s="63" t="s">
        <v>202</v>
      </c>
      <c r="D23" s="48">
        <v>98.96</v>
      </c>
      <c r="E23" s="48" t="s">
        <v>203</v>
      </c>
      <c r="F23" s="178" t="s">
        <v>204</v>
      </c>
    </row>
    <row r="24" spans="2:6" ht="18" x14ac:dyDescent="0.35">
      <c r="B24" s="177" t="s">
        <v>114</v>
      </c>
      <c r="C24" s="177" t="s">
        <v>115</v>
      </c>
      <c r="D24" s="48">
        <v>60</v>
      </c>
      <c r="E24" s="48" t="s">
        <v>205</v>
      </c>
      <c r="F24" s="178" t="s">
        <v>206</v>
      </c>
    </row>
    <row r="25" spans="2:6" ht="18" x14ac:dyDescent="0.35">
      <c r="B25" s="24" t="s">
        <v>102</v>
      </c>
      <c r="C25" s="25" t="s">
        <v>103</v>
      </c>
      <c r="D25" s="48">
        <v>0.02</v>
      </c>
      <c r="E25" s="62" t="s">
        <v>160</v>
      </c>
      <c r="F25" s="178" t="s">
        <v>206</v>
      </c>
    </row>
    <row r="26" spans="2:6" ht="18" x14ac:dyDescent="0.35">
      <c r="B26" s="177" t="s">
        <v>207</v>
      </c>
      <c r="C26" s="177" t="s">
        <v>113</v>
      </c>
      <c r="D26" s="48">
        <v>1</v>
      </c>
      <c r="E26" s="184" t="s">
        <v>208</v>
      </c>
      <c r="F26" s="178" t="s">
        <v>206</v>
      </c>
    </row>
    <row r="27" spans="2:6" ht="18" x14ac:dyDescent="0.35">
      <c r="B27" s="177" t="s">
        <v>209</v>
      </c>
      <c r="C27" s="177" t="s">
        <v>112</v>
      </c>
      <c r="D27" s="48">
        <v>1</v>
      </c>
      <c r="E27" s="184" t="s">
        <v>208</v>
      </c>
      <c r="F27" s="178" t="s">
        <v>206</v>
      </c>
    </row>
    <row r="28" spans="2:6" ht="18" x14ac:dyDescent="0.35">
      <c r="B28" s="177" t="s">
        <v>210</v>
      </c>
      <c r="C28" s="177" t="s">
        <v>211</v>
      </c>
      <c r="D28" s="48">
        <v>4</v>
      </c>
      <c r="E28" s="184" t="s">
        <v>208</v>
      </c>
      <c r="F28" s="178" t="s">
        <v>206</v>
      </c>
    </row>
    <row r="29" spans="2:6" ht="18" x14ac:dyDescent="0.35">
      <c r="B29" s="177" t="s">
        <v>212</v>
      </c>
      <c r="C29" s="177" t="s">
        <v>213</v>
      </c>
      <c r="D29" s="48">
        <v>1</v>
      </c>
      <c r="E29" s="184" t="s">
        <v>208</v>
      </c>
      <c r="F29" s="178" t="s">
        <v>206</v>
      </c>
    </row>
    <row r="30" spans="2:6" ht="18" x14ac:dyDescent="0.35">
      <c r="B30" s="177" t="s">
        <v>80</v>
      </c>
      <c r="C30" s="177" t="s">
        <v>81</v>
      </c>
      <c r="D30" s="48">
        <v>5.08</v>
      </c>
      <c r="E30" s="48" t="s">
        <v>180</v>
      </c>
      <c r="F30" s="178" t="s">
        <v>206</v>
      </c>
    </row>
    <row r="31" spans="2:6" x14ac:dyDescent="0.25">
      <c r="B31" s="48" t="s">
        <v>214</v>
      </c>
      <c r="C31" s="59" t="s">
        <v>166</v>
      </c>
      <c r="D31" s="48">
        <v>3.7854099999999999E-3</v>
      </c>
      <c r="E31" s="48" t="s">
        <v>214</v>
      </c>
      <c r="F31" s="61"/>
    </row>
    <row r="32" spans="2:6" x14ac:dyDescent="0.25">
      <c r="B32" s="48" t="s">
        <v>215</v>
      </c>
      <c r="C32" s="59" t="s">
        <v>166</v>
      </c>
      <c r="D32" s="60">
        <f>1000</f>
        <v>1000</v>
      </c>
      <c r="E32" s="58" t="s">
        <v>215</v>
      </c>
      <c r="F32" s="61"/>
    </row>
    <row r="33" spans="2:6" x14ac:dyDescent="0.25">
      <c r="B33" s="48" t="s">
        <v>216</v>
      </c>
      <c r="C33" s="59" t="s">
        <v>166</v>
      </c>
      <c r="D33" s="60">
        <v>1000</v>
      </c>
      <c r="E33" s="58" t="s">
        <v>216</v>
      </c>
      <c r="F33" s="61"/>
    </row>
    <row r="34" spans="2:6" ht="27.75" customHeight="1" x14ac:dyDescent="0.25">
      <c r="B34" s="48" t="s">
        <v>217</v>
      </c>
      <c r="C34" s="59" t="s">
        <v>166</v>
      </c>
      <c r="D34" s="58">
        <v>2.2046199999999998</v>
      </c>
      <c r="E34" s="58" t="s">
        <v>217</v>
      </c>
      <c r="F34" s="61"/>
    </row>
    <row r="35" spans="2:6" ht="44.25" customHeight="1" x14ac:dyDescent="0.25">
      <c r="B35" s="58" t="s">
        <v>218</v>
      </c>
      <c r="C35" s="59" t="s">
        <v>166</v>
      </c>
      <c r="D35" s="60">
        <v>2000</v>
      </c>
      <c r="E35" s="58" t="s">
        <v>218</v>
      </c>
      <c r="F35" s="61"/>
    </row>
    <row r="36" spans="2:6" ht="41.25" customHeight="1" x14ac:dyDescent="0.25">
      <c r="B36" s="58" t="s">
        <v>219</v>
      </c>
      <c r="C36" s="59" t="s">
        <v>166</v>
      </c>
      <c r="D36" s="58">
        <v>3.2808000000000002</v>
      </c>
      <c r="E36" s="58" t="s">
        <v>219</v>
      </c>
      <c r="F36" s="61"/>
    </row>
    <row r="37" spans="2:6" x14ac:dyDescent="0.25">
      <c r="B37" s="58" t="s">
        <v>220</v>
      </c>
      <c r="C37" s="59" t="s">
        <v>166</v>
      </c>
      <c r="D37" s="58">
        <v>3.2807999999999997E-2</v>
      </c>
      <c r="E37" s="58" t="s">
        <v>220</v>
      </c>
      <c r="F37" s="61"/>
    </row>
    <row r="38" spans="2:6" ht="16.5" customHeight="1" x14ac:dyDescent="0.25">
      <c r="B38" s="58" t="s">
        <v>221</v>
      </c>
      <c r="C38" s="59" t="s">
        <v>166</v>
      </c>
      <c r="D38" s="60">
        <v>3600</v>
      </c>
      <c r="E38" s="58" t="s">
        <v>221</v>
      </c>
      <c r="F38" s="57"/>
    </row>
    <row r="39" spans="2:6" ht="16.5" customHeight="1" x14ac:dyDescent="0.25">
      <c r="B39" s="58" t="s">
        <v>222</v>
      </c>
      <c r="C39" s="59" t="s">
        <v>166</v>
      </c>
      <c r="D39" s="58">
        <v>60</v>
      </c>
      <c r="E39" s="58" t="s">
        <v>222</v>
      </c>
      <c r="F39" s="57"/>
    </row>
    <row r="40" spans="2:6" ht="16.5" customHeight="1" x14ac:dyDescent="0.25">
      <c r="B40" s="58" t="s">
        <v>223</v>
      </c>
      <c r="C40" s="59" t="s">
        <v>166</v>
      </c>
      <c r="D40" s="58">
        <v>1000</v>
      </c>
      <c r="E40" s="58" t="s">
        <v>223</v>
      </c>
      <c r="F40" s="57"/>
    </row>
    <row r="41" spans="2:6" ht="16.5" customHeight="1" x14ac:dyDescent="0.25">
      <c r="B41" s="58" t="s">
        <v>224</v>
      </c>
      <c r="C41" s="59" t="s">
        <v>166</v>
      </c>
      <c r="D41" s="58">
        <v>1000</v>
      </c>
      <c r="E41" s="58" t="s">
        <v>224</v>
      </c>
      <c r="F41" s="57"/>
    </row>
    <row r="42" spans="2:6" ht="31.5" x14ac:dyDescent="0.35">
      <c r="B42" s="56" t="s">
        <v>225</v>
      </c>
      <c r="C42" s="186" t="s">
        <v>226</v>
      </c>
      <c r="D42" s="56" t="e" cm="1">
        <f t="array" aca="1" ref="D42" ca="1">_xll.RiskOutput()+VLOOKUP(E45,B53:E59,4,FALSE)</f>
        <v>#NAME?</v>
      </c>
      <c r="E42" s="56" t="s">
        <v>171</v>
      </c>
    </row>
    <row r="43" spans="2:6" x14ac:dyDescent="0.25">
      <c r="B43" s="56" t="s">
        <v>92</v>
      </c>
      <c r="C43" s="186" t="s">
        <v>93</v>
      </c>
      <c r="D43" s="56" t="e" cm="1">
        <f t="array" aca="1" ref="D43" ca="1">_xll.RiskOutput()+VLOOKUP(E45,B61:D67,3,FALSE)</f>
        <v>#NAME?</v>
      </c>
      <c r="E43" s="56" t="s">
        <v>227</v>
      </c>
    </row>
    <row r="44" spans="2:6" ht="45" x14ac:dyDescent="0.25">
      <c r="B44" s="55" t="s">
        <v>228</v>
      </c>
      <c r="C44" s="243" t="s">
        <v>229</v>
      </c>
      <c r="D44" s="243"/>
      <c r="E44" s="185" t="s">
        <v>230</v>
      </c>
    </row>
    <row r="45" spans="2:6" x14ac:dyDescent="0.25">
      <c r="B45" s="50">
        <v>1</v>
      </c>
      <c r="C45" s="47">
        <v>1</v>
      </c>
      <c r="D45" s="54">
        <v>0.1</v>
      </c>
      <c r="E45" s="47" t="e" cm="1">
        <f t="array" aca="1" ref="E45" ca="1">_xll.RiskDiscrete(B45:B47,D45:D47,_xll.RiskName("Sampled Formulation Type"),_xll.RiskStatic(1))</f>
        <v>#NAME?</v>
      </c>
    </row>
    <row r="46" spans="2:6" x14ac:dyDescent="0.25">
      <c r="B46" s="50">
        <v>2</v>
      </c>
      <c r="C46" s="47">
        <v>1</v>
      </c>
      <c r="D46" s="54">
        <v>0.1</v>
      </c>
      <c r="E46" s="47" t="e" cm="1">
        <f t="array" aca="1" ref="E46" ca="1">_xll.RiskDiscrete(B46:B47,D46:D47,_xll.RiskName("Sampled Formulation Type"),_xll.RiskStatic(1))</f>
        <v>#NAME?</v>
      </c>
    </row>
    <row r="47" spans="2:6" x14ac:dyDescent="0.25">
      <c r="B47" s="50">
        <v>3</v>
      </c>
      <c r="C47" s="47">
        <v>1</v>
      </c>
      <c r="D47" s="54">
        <v>0.1</v>
      </c>
      <c r="E47" s="47" t="e" cm="1">
        <f t="array" aca="1" ref="E47" ca="1">_xll.RiskDiscrete(B47:B47,D47:D47,_xll.RiskName("Sampled Formulation Type"),_xll.RiskStatic(1))</f>
        <v>#NAME?</v>
      </c>
    </row>
    <row r="48" spans="2:6" x14ac:dyDescent="0.25">
      <c r="B48" s="50">
        <v>4</v>
      </c>
      <c r="C48" s="47">
        <v>1</v>
      </c>
      <c r="D48" s="54">
        <v>0.1</v>
      </c>
      <c r="E48" s="47" t="e" cm="1">
        <f t="array" aca="1" ref="E48" ca="1">_xll.RiskDiscrete(B48:B48,D48:D48,_xll.RiskName("Sampled Formulation Type"),_xll.RiskStatic(1))</f>
        <v>#NAME?</v>
      </c>
    </row>
    <row r="49" spans="2:5" x14ac:dyDescent="0.25">
      <c r="B49" s="50">
        <v>5</v>
      </c>
      <c r="C49" s="47">
        <v>1</v>
      </c>
      <c r="D49" s="54">
        <v>0.1</v>
      </c>
      <c r="E49" s="47" t="e" cm="1">
        <f t="array" aca="1" ref="E49" ca="1">_xll.RiskDiscrete(B49:B49,D49:D49,_xll.RiskName("Sampled Formulation Type"),_xll.RiskStatic(1))</f>
        <v>#NAME?</v>
      </c>
    </row>
    <row r="50" spans="2:5" x14ac:dyDescent="0.25">
      <c r="B50" s="50">
        <v>6</v>
      </c>
      <c r="C50" s="47">
        <v>1</v>
      </c>
      <c r="D50" s="54">
        <v>0.1</v>
      </c>
      <c r="E50" s="47" t="e" cm="1">
        <f t="array" aca="1" ref="E50" ca="1">_xll.RiskDiscrete(B50:B50,D50:D50,_xll.RiskName("Sampled Formulation Type"),_xll.RiskStatic(1))</f>
        <v>#NAME?</v>
      </c>
    </row>
    <row r="51" spans="2:5" x14ac:dyDescent="0.25">
      <c r="B51" s="50">
        <v>7</v>
      </c>
      <c r="C51" s="47">
        <v>1</v>
      </c>
      <c r="D51" s="54">
        <v>0.1</v>
      </c>
      <c r="E51" s="47" t="e" cm="1">
        <f t="array" aca="1" ref="E51" ca="1">_xll.RiskDiscrete(B51:B51,D51:D51,_xll.RiskName("Sampled Formulation Type"),_xll.RiskStatic(1))</f>
        <v>#NAME?</v>
      </c>
    </row>
    <row r="52" spans="2:5" ht="30" x14ac:dyDescent="0.25">
      <c r="B52" s="52" t="s">
        <v>231</v>
      </c>
      <c r="C52" s="251" t="s">
        <v>232</v>
      </c>
      <c r="D52" s="252"/>
      <c r="E52" s="51" t="s">
        <v>233</v>
      </c>
    </row>
    <row r="53" spans="2:5" x14ac:dyDescent="0.25">
      <c r="B53" s="50">
        <v>1</v>
      </c>
      <c r="C53" s="137">
        <v>0.95</v>
      </c>
      <c r="D53" s="137">
        <v>1</v>
      </c>
      <c r="E53" s="53" t="e" cm="1">
        <f t="array" aca="1" ref="E53" ca="1">_xll.RiskUniform(C53,D53)</f>
        <v>#NAME?</v>
      </c>
    </row>
    <row r="54" spans="2:5" x14ac:dyDescent="0.25">
      <c r="B54" s="50">
        <v>2</v>
      </c>
      <c r="C54" s="137">
        <v>2.5000000000000001E-2</v>
      </c>
      <c r="D54" s="137">
        <v>2.5000000000000001E-2</v>
      </c>
      <c r="E54" s="53" t="e" cm="1">
        <f t="array" aca="1" ref="E54" ca="1">_xll.RiskUniform(C54,D54)</f>
        <v>#NAME?</v>
      </c>
    </row>
    <row r="55" spans="2:5" x14ac:dyDescent="0.25">
      <c r="B55" s="50">
        <v>3</v>
      </c>
      <c r="C55" s="137">
        <v>2.5000000000000001E-2</v>
      </c>
      <c r="D55" s="137">
        <v>2.5000000000000001E-2</v>
      </c>
      <c r="E55" s="53" t="e" cm="1">
        <f t="array" aca="1" ref="E55" ca="1">_xll.RiskUniform(C55,D55)</f>
        <v>#NAME?</v>
      </c>
    </row>
    <row r="56" spans="2:5" x14ac:dyDescent="0.25">
      <c r="B56" s="50">
        <v>4</v>
      </c>
      <c r="C56" s="137">
        <v>2.53E-2</v>
      </c>
      <c r="D56" s="137">
        <v>2.53E-2</v>
      </c>
      <c r="E56" s="53" t="e" cm="1">
        <f t="array" aca="1" ref="E56" ca="1">_xll.RiskUniform(C56,D56)</f>
        <v>#NAME?</v>
      </c>
    </row>
    <row r="57" spans="2:5" x14ac:dyDescent="0.25">
      <c r="B57" s="50">
        <v>5</v>
      </c>
      <c r="C57" s="137">
        <v>0.9</v>
      </c>
      <c r="D57" s="137">
        <v>1</v>
      </c>
      <c r="E57" s="53" t="e" cm="1">
        <f t="array" aca="1" ref="E57" ca="1">_xll.RiskUniform(C57,D57)</f>
        <v>#NAME?</v>
      </c>
    </row>
    <row r="58" spans="2:5" x14ac:dyDescent="0.25">
      <c r="B58" s="50">
        <v>6</v>
      </c>
      <c r="C58" s="137">
        <v>1</v>
      </c>
      <c r="D58" s="137">
        <v>1</v>
      </c>
      <c r="E58" s="53" t="e" cm="1">
        <f t="array" aca="1" ref="E58" ca="1">_xll.RiskUniform(C58,D58)</f>
        <v>#NAME?</v>
      </c>
    </row>
    <row r="59" spans="2:5" x14ac:dyDescent="0.25">
      <c r="B59" s="50">
        <v>7</v>
      </c>
      <c r="C59" s="137">
        <v>0.91</v>
      </c>
      <c r="D59" s="137">
        <v>1</v>
      </c>
      <c r="E59" s="53" t="e" cm="1">
        <f t="array" aca="1" ref="E59" ca="1">_xll.RiskUniform(C59,D59)</f>
        <v>#NAME?</v>
      </c>
    </row>
    <row r="60" spans="2:5" ht="30" x14ac:dyDescent="0.25">
      <c r="B60" s="52" t="s">
        <v>231</v>
      </c>
      <c r="C60" s="128" t="s">
        <v>234</v>
      </c>
      <c r="D60" s="128" t="s">
        <v>235</v>
      </c>
      <c r="E60" s="51" t="s">
        <v>236</v>
      </c>
    </row>
    <row r="61" spans="2:5" x14ac:dyDescent="0.25">
      <c r="B61" s="50">
        <v>1</v>
      </c>
      <c r="C61" s="49" t="s">
        <v>227</v>
      </c>
      <c r="D61" s="136">
        <v>1250</v>
      </c>
      <c r="E61" s="47"/>
    </row>
    <row r="62" spans="2:5" x14ac:dyDescent="0.25">
      <c r="B62" s="50">
        <v>2</v>
      </c>
      <c r="C62" s="49" t="s">
        <v>227</v>
      </c>
      <c r="D62" s="136">
        <v>1104</v>
      </c>
      <c r="E62" s="47"/>
    </row>
    <row r="63" spans="2:5" x14ac:dyDescent="0.25">
      <c r="B63" s="50">
        <v>3</v>
      </c>
      <c r="C63" s="49" t="s">
        <v>227</v>
      </c>
      <c r="D63" s="136">
        <v>1128.04</v>
      </c>
      <c r="E63" s="47"/>
    </row>
    <row r="64" spans="2:5" x14ac:dyDescent="0.25">
      <c r="B64" s="50">
        <v>4</v>
      </c>
      <c r="C64" s="49" t="s">
        <v>227</v>
      </c>
      <c r="D64" s="136">
        <v>1256.9000000000001</v>
      </c>
      <c r="E64" s="47"/>
    </row>
    <row r="65" spans="2:5" x14ac:dyDescent="0.25">
      <c r="B65" s="50">
        <v>5</v>
      </c>
      <c r="C65" s="49" t="s">
        <v>227</v>
      </c>
      <c r="D65" s="136">
        <v>1250</v>
      </c>
      <c r="E65" s="47"/>
    </row>
    <row r="66" spans="2:5" x14ac:dyDescent="0.25">
      <c r="B66" s="50">
        <v>6</v>
      </c>
      <c r="C66" s="49" t="s">
        <v>227</v>
      </c>
      <c r="D66" s="136">
        <v>1256</v>
      </c>
      <c r="E66" s="47"/>
    </row>
    <row r="67" spans="2:5" x14ac:dyDescent="0.25">
      <c r="B67" s="50">
        <v>7</v>
      </c>
      <c r="C67" s="49" t="s">
        <v>227</v>
      </c>
      <c r="D67" s="136">
        <v>1256</v>
      </c>
      <c r="E67" s="47"/>
    </row>
    <row r="69" spans="2:5" x14ac:dyDescent="0.25">
      <c r="B69" s="232" t="s">
        <v>237</v>
      </c>
      <c r="C69" s="233"/>
      <c r="D69" s="234"/>
    </row>
    <row r="70" spans="2:5" ht="45" x14ac:dyDescent="0.25">
      <c r="B70" s="44" t="s">
        <v>238</v>
      </c>
      <c r="C70" s="46" t="s">
        <v>239</v>
      </c>
      <c r="D70" s="45" t="s">
        <v>240</v>
      </c>
    </row>
    <row r="71" spans="2:5" x14ac:dyDescent="0.25">
      <c r="B71" s="44">
        <v>173</v>
      </c>
      <c r="C71" s="40">
        <f t="shared" ref="C71:C102" si="1">IF(B71&lt;$I$10,2*(B71-$G$10)/(($H$10-$G$10)*($I$10-$G$10)),IF(B71=$I$10,2/($H$10-$G$10),2*($H$10-B71)/(($H$10-$G$10)*($H$10-$I$10))))</f>
        <v>0</v>
      </c>
      <c r="D71" s="43">
        <f>SUM(C72:C158)</f>
        <v>1.0000000000000002</v>
      </c>
    </row>
    <row r="72" spans="2:5" x14ac:dyDescent="0.25">
      <c r="B72" s="41">
        <f t="shared" ref="B72:B103" si="2">B71+1</f>
        <v>174</v>
      </c>
      <c r="C72" s="40">
        <f t="shared" si="1"/>
        <v>2.6123301985370953E-4</v>
      </c>
      <c r="D72" s="39"/>
    </row>
    <row r="73" spans="2:5" x14ac:dyDescent="0.25">
      <c r="B73" s="41">
        <f t="shared" si="2"/>
        <v>175</v>
      </c>
      <c r="C73" s="40">
        <f t="shared" si="1"/>
        <v>5.2246603970741907E-4</v>
      </c>
      <c r="D73" s="39"/>
    </row>
    <row r="74" spans="2:5" x14ac:dyDescent="0.25">
      <c r="B74" s="41">
        <f t="shared" si="2"/>
        <v>176</v>
      </c>
      <c r="C74" s="40">
        <f t="shared" si="1"/>
        <v>7.836990595611285E-4</v>
      </c>
      <c r="D74" s="39"/>
    </row>
    <row r="75" spans="2:5" x14ac:dyDescent="0.25">
      <c r="B75" s="41">
        <f t="shared" si="2"/>
        <v>177</v>
      </c>
      <c r="C75" s="40">
        <f t="shared" si="1"/>
        <v>1.0449320794148381E-3</v>
      </c>
      <c r="D75" s="39"/>
    </row>
    <row r="76" spans="2:5" x14ac:dyDescent="0.25">
      <c r="B76" s="41">
        <f t="shared" si="2"/>
        <v>178</v>
      </c>
      <c r="C76" s="40">
        <f t="shared" si="1"/>
        <v>1.3061650992685476E-3</v>
      </c>
      <c r="D76" s="39"/>
    </row>
    <row r="77" spans="2:5" x14ac:dyDescent="0.25">
      <c r="B77" s="41">
        <f t="shared" si="2"/>
        <v>179</v>
      </c>
      <c r="C77" s="40">
        <f t="shared" si="1"/>
        <v>1.567398119122257E-3</v>
      </c>
      <c r="D77" s="39"/>
    </row>
    <row r="78" spans="2:5" x14ac:dyDescent="0.25">
      <c r="B78" s="41">
        <f t="shared" si="2"/>
        <v>180</v>
      </c>
      <c r="C78" s="40">
        <f t="shared" si="1"/>
        <v>1.8286311389759666E-3</v>
      </c>
      <c r="D78" s="39"/>
    </row>
    <row r="79" spans="2:5" x14ac:dyDescent="0.25">
      <c r="B79" s="41">
        <f t="shared" si="2"/>
        <v>181</v>
      </c>
      <c r="C79" s="40">
        <f t="shared" si="1"/>
        <v>2.0898641588296763E-3</v>
      </c>
      <c r="D79" s="39"/>
    </row>
    <row r="80" spans="2:5" x14ac:dyDescent="0.25">
      <c r="B80" s="41">
        <f t="shared" si="2"/>
        <v>182</v>
      </c>
      <c r="C80" s="40">
        <f t="shared" si="1"/>
        <v>2.3510971786833857E-3</v>
      </c>
      <c r="D80" s="39"/>
    </row>
    <row r="81" spans="2:4" x14ac:dyDescent="0.25">
      <c r="B81" s="41">
        <f t="shared" si="2"/>
        <v>183</v>
      </c>
      <c r="C81" s="40">
        <f t="shared" si="1"/>
        <v>2.6123301985370951E-3</v>
      </c>
      <c r="D81" s="39"/>
    </row>
    <row r="82" spans="2:4" x14ac:dyDescent="0.25">
      <c r="B82" s="41">
        <f t="shared" si="2"/>
        <v>184</v>
      </c>
      <c r="C82" s="40">
        <f t="shared" si="1"/>
        <v>2.8735632183908046E-3</v>
      </c>
      <c r="D82" s="39"/>
    </row>
    <row r="83" spans="2:4" x14ac:dyDescent="0.25">
      <c r="B83" s="41">
        <f t="shared" si="2"/>
        <v>185</v>
      </c>
      <c r="C83" s="40">
        <f t="shared" si="1"/>
        <v>3.134796238244514E-3</v>
      </c>
      <c r="D83" s="39"/>
    </row>
    <row r="84" spans="2:4" x14ac:dyDescent="0.25">
      <c r="B84" s="41">
        <f t="shared" si="2"/>
        <v>186</v>
      </c>
      <c r="C84" s="40">
        <f t="shared" si="1"/>
        <v>3.3960292580982234E-3</v>
      </c>
      <c r="D84" s="39"/>
    </row>
    <row r="85" spans="2:4" x14ac:dyDescent="0.25">
      <c r="B85" s="41">
        <f t="shared" si="2"/>
        <v>187</v>
      </c>
      <c r="C85" s="40">
        <f t="shared" si="1"/>
        <v>3.6572622779519333E-3</v>
      </c>
      <c r="D85" s="39"/>
    </row>
    <row r="86" spans="2:4" x14ac:dyDescent="0.25">
      <c r="B86" s="41">
        <f t="shared" si="2"/>
        <v>188</v>
      </c>
      <c r="C86" s="40">
        <f t="shared" si="1"/>
        <v>3.9184952978056423E-3</v>
      </c>
      <c r="D86" s="39"/>
    </row>
    <row r="87" spans="2:4" x14ac:dyDescent="0.25">
      <c r="B87" s="41">
        <f t="shared" si="2"/>
        <v>189</v>
      </c>
      <c r="C87" s="40">
        <f t="shared" si="1"/>
        <v>4.1797283176593526E-3</v>
      </c>
      <c r="D87" s="39"/>
    </row>
    <row r="88" spans="2:4" x14ac:dyDescent="0.25">
      <c r="B88" s="41">
        <f t="shared" si="2"/>
        <v>190</v>
      </c>
      <c r="C88" s="40">
        <f t="shared" si="1"/>
        <v>4.440961337513062E-3</v>
      </c>
      <c r="D88" s="39"/>
    </row>
    <row r="89" spans="2:4" x14ac:dyDescent="0.25">
      <c r="B89" s="41">
        <f t="shared" si="2"/>
        <v>191</v>
      </c>
      <c r="C89" s="40">
        <f t="shared" si="1"/>
        <v>4.7021943573667714E-3</v>
      </c>
      <c r="D89" s="39"/>
    </row>
    <row r="90" spans="2:4" x14ac:dyDescent="0.25">
      <c r="B90" s="41">
        <f t="shared" si="2"/>
        <v>192</v>
      </c>
      <c r="C90" s="40">
        <f t="shared" si="1"/>
        <v>4.9634273772204808E-3</v>
      </c>
      <c r="D90" s="39"/>
    </row>
    <row r="91" spans="2:4" x14ac:dyDescent="0.25">
      <c r="B91" s="41">
        <f t="shared" si="2"/>
        <v>193</v>
      </c>
      <c r="C91" s="40">
        <f t="shared" si="1"/>
        <v>5.2246603970741903E-3</v>
      </c>
      <c r="D91" s="39"/>
    </row>
    <row r="92" spans="2:4" x14ac:dyDescent="0.25">
      <c r="B92" s="41">
        <f t="shared" si="2"/>
        <v>194</v>
      </c>
      <c r="C92" s="40">
        <f t="shared" si="1"/>
        <v>5.4858934169278997E-3</v>
      </c>
      <c r="D92" s="39"/>
    </row>
    <row r="93" spans="2:4" x14ac:dyDescent="0.25">
      <c r="B93" s="41">
        <f t="shared" si="2"/>
        <v>195</v>
      </c>
      <c r="C93" s="40">
        <f t="shared" si="1"/>
        <v>5.7471264367816091E-3</v>
      </c>
      <c r="D93" s="39"/>
    </row>
    <row r="94" spans="2:4" x14ac:dyDescent="0.25">
      <c r="B94" s="41">
        <f t="shared" si="2"/>
        <v>196</v>
      </c>
      <c r="C94" s="40">
        <f t="shared" si="1"/>
        <v>6.0083594566353185E-3</v>
      </c>
      <c r="D94" s="39"/>
    </row>
    <row r="95" spans="2:4" x14ac:dyDescent="0.25">
      <c r="B95" s="41">
        <f t="shared" si="2"/>
        <v>197</v>
      </c>
      <c r="C95" s="40">
        <f t="shared" si="1"/>
        <v>6.269592476489028E-3</v>
      </c>
      <c r="D95" s="39"/>
    </row>
    <row r="96" spans="2:4" x14ac:dyDescent="0.25">
      <c r="B96" s="41">
        <f t="shared" si="2"/>
        <v>198</v>
      </c>
      <c r="C96" s="40">
        <f t="shared" si="1"/>
        <v>6.5308254963427374E-3</v>
      </c>
      <c r="D96" s="39"/>
    </row>
    <row r="97" spans="2:4" x14ac:dyDescent="0.25">
      <c r="B97" s="41">
        <f t="shared" si="2"/>
        <v>199</v>
      </c>
      <c r="C97" s="40">
        <f t="shared" si="1"/>
        <v>6.7920585161964468E-3</v>
      </c>
      <c r="D97" s="39"/>
    </row>
    <row r="98" spans="2:4" x14ac:dyDescent="0.25">
      <c r="B98" s="41">
        <f t="shared" si="2"/>
        <v>200</v>
      </c>
      <c r="C98" s="40">
        <f t="shared" si="1"/>
        <v>7.0532915360501571E-3</v>
      </c>
      <c r="D98" s="39"/>
    </row>
    <row r="99" spans="2:4" x14ac:dyDescent="0.25">
      <c r="B99" s="41">
        <f t="shared" si="2"/>
        <v>201</v>
      </c>
      <c r="C99" s="40">
        <f t="shared" si="1"/>
        <v>7.3145245559038665E-3</v>
      </c>
      <c r="D99" s="39"/>
    </row>
    <row r="100" spans="2:4" x14ac:dyDescent="0.25">
      <c r="B100" s="41">
        <f t="shared" si="2"/>
        <v>202</v>
      </c>
      <c r="C100" s="40">
        <f t="shared" si="1"/>
        <v>7.575757575757576E-3</v>
      </c>
      <c r="D100" s="39"/>
    </row>
    <row r="101" spans="2:4" x14ac:dyDescent="0.25">
      <c r="B101" s="41">
        <f t="shared" si="2"/>
        <v>203</v>
      </c>
      <c r="C101" s="40">
        <f t="shared" si="1"/>
        <v>7.8369905956112845E-3</v>
      </c>
      <c r="D101" s="39"/>
    </row>
    <row r="102" spans="2:4" x14ac:dyDescent="0.25">
      <c r="B102" s="41">
        <f t="shared" si="2"/>
        <v>204</v>
      </c>
      <c r="C102" s="40">
        <f t="shared" si="1"/>
        <v>8.0982236154649948E-3</v>
      </c>
      <c r="D102" s="39"/>
    </row>
    <row r="103" spans="2:4" x14ac:dyDescent="0.25">
      <c r="B103" s="41">
        <f t="shared" si="2"/>
        <v>205</v>
      </c>
      <c r="C103" s="40">
        <f t="shared" ref="C103:C134" si="3">IF(B103&lt;$I$10,2*(B103-$G$10)/(($H$10-$G$10)*($I$10-$G$10)),IF(B103=$I$10,2/($H$10-$G$10),2*($H$10-B103)/(($H$10-$G$10)*($H$10-$I$10))))</f>
        <v>8.3594566353187051E-3</v>
      </c>
      <c r="D103" s="39"/>
    </row>
    <row r="104" spans="2:4" x14ac:dyDescent="0.25">
      <c r="B104" s="41">
        <f t="shared" ref="B104:B135" si="4">B103+1</f>
        <v>206</v>
      </c>
      <c r="C104" s="40">
        <f t="shared" si="3"/>
        <v>8.6206896551724137E-3</v>
      </c>
      <c r="D104" s="39"/>
    </row>
    <row r="105" spans="2:4" x14ac:dyDescent="0.25">
      <c r="B105" s="41">
        <f t="shared" si="4"/>
        <v>207</v>
      </c>
      <c r="C105" s="40">
        <f t="shared" si="3"/>
        <v>8.881922675026124E-3</v>
      </c>
      <c r="D105" s="39"/>
    </row>
    <row r="106" spans="2:4" x14ac:dyDescent="0.25">
      <c r="B106" s="41">
        <f t="shared" si="4"/>
        <v>208</v>
      </c>
      <c r="C106" s="40">
        <f t="shared" si="3"/>
        <v>9.1431556948798325E-3</v>
      </c>
      <c r="D106" s="39"/>
    </row>
    <row r="107" spans="2:4" x14ac:dyDescent="0.25">
      <c r="B107" s="41">
        <f t="shared" si="4"/>
        <v>209</v>
      </c>
      <c r="C107" s="40">
        <f t="shared" si="3"/>
        <v>9.4043887147335428E-3</v>
      </c>
      <c r="D107" s="39"/>
    </row>
    <row r="108" spans="2:4" x14ac:dyDescent="0.25">
      <c r="B108" s="41">
        <f t="shared" si="4"/>
        <v>210</v>
      </c>
      <c r="C108" s="40">
        <f t="shared" si="3"/>
        <v>9.6656217345872514E-3</v>
      </c>
      <c r="D108" s="39"/>
    </row>
    <row r="109" spans="2:4" x14ac:dyDescent="0.25">
      <c r="B109" s="41">
        <f t="shared" si="4"/>
        <v>211</v>
      </c>
      <c r="C109" s="40">
        <f t="shared" si="3"/>
        <v>9.9268547544409617E-3</v>
      </c>
      <c r="D109" s="39"/>
    </row>
    <row r="110" spans="2:4" x14ac:dyDescent="0.25">
      <c r="B110" s="41">
        <f t="shared" si="4"/>
        <v>212</v>
      </c>
      <c r="C110" s="40">
        <f t="shared" si="3"/>
        <v>1.018808777429467E-2</v>
      </c>
      <c r="D110" s="39"/>
    </row>
    <row r="111" spans="2:4" x14ac:dyDescent="0.25">
      <c r="B111" s="41">
        <f t="shared" si="4"/>
        <v>213</v>
      </c>
      <c r="C111" s="40">
        <f t="shared" si="3"/>
        <v>1.0449320794148381E-2</v>
      </c>
      <c r="D111" s="39"/>
    </row>
    <row r="112" spans="2:4" x14ac:dyDescent="0.25">
      <c r="B112" s="41">
        <f t="shared" si="4"/>
        <v>214</v>
      </c>
      <c r="C112" s="40">
        <f t="shared" si="3"/>
        <v>1.0710553814002089E-2</v>
      </c>
      <c r="D112" s="39"/>
    </row>
    <row r="113" spans="2:4" x14ac:dyDescent="0.25">
      <c r="B113" s="41">
        <f t="shared" si="4"/>
        <v>215</v>
      </c>
      <c r="C113" s="40">
        <f t="shared" si="3"/>
        <v>1.0971786833855799E-2</v>
      </c>
      <c r="D113" s="39"/>
    </row>
    <row r="114" spans="2:4" x14ac:dyDescent="0.25">
      <c r="B114" s="41">
        <f t="shared" si="4"/>
        <v>216</v>
      </c>
      <c r="C114" s="40">
        <f t="shared" si="3"/>
        <v>1.123301985370951E-2</v>
      </c>
      <c r="D114" s="39"/>
    </row>
    <row r="115" spans="2:4" x14ac:dyDescent="0.25">
      <c r="B115" s="41">
        <f t="shared" si="4"/>
        <v>217</v>
      </c>
      <c r="C115" s="40">
        <f t="shared" si="3"/>
        <v>1.1494252873563218E-2</v>
      </c>
      <c r="D115" s="39"/>
    </row>
    <row r="116" spans="2:4" x14ac:dyDescent="0.25">
      <c r="B116" s="41">
        <f t="shared" si="4"/>
        <v>218</v>
      </c>
      <c r="C116" s="40">
        <f t="shared" si="3"/>
        <v>1.1755485893416929E-2</v>
      </c>
      <c r="D116" s="39"/>
    </row>
    <row r="117" spans="2:4" x14ac:dyDescent="0.25">
      <c r="B117" s="41">
        <f t="shared" si="4"/>
        <v>219</v>
      </c>
      <c r="C117" s="40">
        <f t="shared" si="3"/>
        <v>1.2016718913270637E-2</v>
      </c>
      <c r="D117" s="39"/>
    </row>
    <row r="118" spans="2:4" x14ac:dyDescent="0.25">
      <c r="B118" s="41">
        <f t="shared" si="4"/>
        <v>220</v>
      </c>
      <c r="C118" s="40">
        <f t="shared" si="3"/>
        <v>1.2277951933124347E-2</v>
      </c>
      <c r="D118" s="39"/>
    </row>
    <row r="119" spans="2:4" x14ac:dyDescent="0.25">
      <c r="B119" s="41">
        <f t="shared" si="4"/>
        <v>221</v>
      </c>
      <c r="C119" s="40">
        <f t="shared" si="3"/>
        <v>1.2539184952978056E-2</v>
      </c>
      <c r="D119" s="39"/>
    </row>
    <row r="120" spans="2:4" x14ac:dyDescent="0.25">
      <c r="B120" s="41">
        <f t="shared" si="4"/>
        <v>222</v>
      </c>
      <c r="C120" s="40">
        <f t="shared" si="3"/>
        <v>1.2800417972831766E-2</v>
      </c>
      <c r="D120" s="39"/>
    </row>
    <row r="121" spans="2:4" x14ac:dyDescent="0.25">
      <c r="B121" s="41">
        <f t="shared" si="4"/>
        <v>223</v>
      </c>
      <c r="C121" s="40">
        <f t="shared" si="3"/>
        <v>1.3061650992685475E-2</v>
      </c>
      <c r="D121" s="42"/>
    </row>
    <row r="122" spans="2:4" x14ac:dyDescent="0.25">
      <c r="B122" s="41">
        <f t="shared" si="4"/>
        <v>224</v>
      </c>
      <c r="C122" s="40">
        <f t="shared" si="3"/>
        <v>1.3322884012539185E-2</v>
      </c>
      <c r="D122" s="39"/>
    </row>
    <row r="123" spans="2:4" x14ac:dyDescent="0.25">
      <c r="B123" s="41">
        <f t="shared" si="4"/>
        <v>225</v>
      </c>
      <c r="C123" s="40">
        <f t="shared" si="3"/>
        <v>1.3584117032392894E-2</v>
      </c>
      <c r="D123" s="39"/>
    </row>
    <row r="124" spans="2:4" x14ac:dyDescent="0.25">
      <c r="B124" s="41">
        <f t="shared" si="4"/>
        <v>226</v>
      </c>
      <c r="C124" s="40">
        <f t="shared" si="3"/>
        <v>1.3845350052246604E-2</v>
      </c>
      <c r="D124" s="39"/>
    </row>
    <row r="125" spans="2:4" x14ac:dyDescent="0.25">
      <c r="B125" s="41">
        <f t="shared" si="4"/>
        <v>227</v>
      </c>
      <c r="C125" s="40">
        <f t="shared" si="3"/>
        <v>1.4106583072100314E-2</v>
      </c>
      <c r="D125" s="39"/>
    </row>
    <row r="126" spans="2:4" x14ac:dyDescent="0.25">
      <c r="B126" s="41">
        <f t="shared" si="4"/>
        <v>228</v>
      </c>
      <c r="C126" s="40">
        <f t="shared" si="3"/>
        <v>1.4367816091954023E-2</v>
      </c>
      <c r="D126" s="39"/>
    </row>
    <row r="127" spans="2:4" x14ac:dyDescent="0.25">
      <c r="B127" s="41">
        <f t="shared" si="4"/>
        <v>229</v>
      </c>
      <c r="C127" s="40">
        <f t="shared" si="3"/>
        <v>1.4629049111807733E-2</v>
      </c>
      <c r="D127" s="39"/>
    </row>
    <row r="128" spans="2:4" x14ac:dyDescent="0.25">
      <c r="B128" s="41">
        <f t="shared" si="4"/>
        <v>230</v>
      </c>
      <c r="C128" s="40">
        <f t="shared" si="3"/>
        <v>1.4890282131661442E-2</v>
      </c>
      <c r="D128" s="39"/>
    </row>
    <row r="129" spans="2:4" x14ac:dyDescent="0.25">
      <c r="B129" s="41">
        <f t="shared" si="4"/>
        <v>231</v>
      </c>
      <c r="C129" s="40">
        <f t="shared" si="3"/>
        <v>1.5151515151515152E-2</v>
      </c>
      <c r="D129" s="39"/>
    </row>
    <row r="130" spans="2:4" x14ac:dyDescent="0.25">
      <c r="B130" s="41">
        <f t="shared" si="4"/>
        <v>232</v>
      </c>
      <c r="C130" s="40">
        <f t="shared" si="3"/>
        <v>1.541274817136886E-2</v>
      </c>
      <c r="D130" s="39"/>
    </row>
    <row r="131" spans="2:4" x14ac:dyDescent="0.25">
      <c r="B131" s="41">
        <f t="shared" si="4"/>
        <v>233</v>
      </c>
      <c r="C131" s="40">
        <f t="shared" si="3"/>
        <v>1.5673981191222569E-2</v>
      </c>
      <c r="D131" s="39"/>
    </row>
    <row r="132" spans="2:4" x14ac:dyDescent="0.25">
      <c r="B132" s="41">
        <f t="shared" si="4"/>
        <v>234</v>
      </c>
      <c r="C132" s="40">
        <f t="shared" si="3"/>
        <v>1.5935214211076281E-2</v>
      </c>
      <c r="D132" s="39"/>
    </row>
    <row r="133" spans="2:4" x14ac:dyDescent="0.25">
      <c r="B133" s="41">
        <f t="shared" si="4"/>
        <v>235</v>
      </c>
      <c r="C133" s="40">
        <f t="shared" si="3"/>
        <v>1.619644723092999E-2</v>
      </c>
      <c r="D133" s="39"/>
    </row>
    <row r="134" spans="2:4" x14ac:dyDescent="0.25">
      <c r="B134" s="41">
        <f t="shared" si="4"/>
        <v>236</v>
      </c>
      <c r="C134" s="40">
        <f t="shared" si="3"/>
        <v>1.6457680250783698E-2</v>
      </c>
      <c r="D134" s="39"/>
    </row>
    <row r="135" spans="2:4" x14ac:dyDescent="0.25">
      <c r="B135" s="41">
        <f t="shared" si="4"/>
        <v>237</v>
      </c>
      <c r="C135" s="40">
        <f t="shared" ref="C135:C159" si="5">IF(B135&lt;$I$10,2*(B135-$G$10)/(($H$10-$G$10)*($I$10-$G$10)),IF(B135=$I$10,2/($H$10-$G$10),2*($H$10-B135)/(($H$10-$G$10)*($H$10-$I$10))))</f>
        <v>1.671891327063741E-2</v>
      </c>
      <c r="D135" s="39"/>
    </row>
    <row r="136" spans="2:4" x14ac:dyDescent="0.25">
      <c r="B136" s="41">
        <f t="shared" ref="B136:B159" si="6">B135+1</f>
        <v>238</v>
      </c>
      <c r="C136" s="40">
        <f t="shared" si="5"/>
        <v>1.6980146290491119E-2</v>
      </c>
      <c r="D136" s="39"/>
    </row>
    <row r="137" spans="2:4" x14ac:dyDescent="0.25">
      <c r="B137" s="41">
        <f t="shared" si="6"/>
        <v>239</v>
      </c>
      <c r="C137" s="40">
        <f t="shared" si="5"/>
        <v>1.7241379310344827E-2</v>
      </c>
      <c r="D137" s="39"/>
    </row>
    <row r="138" spans="2:4" x14ac:dyDescent="0.25">
      <c r="B138" s="41">
        <f t="shared" si="6"/>
        <v>240</v>
      </c>
      <c r="C138" s="40">
        <f t="shared" si="5"/>
        <v>1.7502612330198536E-2</v>
      </c>
      <c r="D138" s="39"/>
    </row>
    <row r="139" spans="2:4" x14ac:dyDescent="0.25">
      <c r="B139" s="41">
        <f t="shared" si="6"/>
        <v>241</v>
      </c>
      <c r="C139" s="40">
        <f t="shared" si="5"/>
        <v>1.7763845350052248E-2</v>
      </c>
      <c r="D139" s="39"/>
    </row>
    <row r="140" spans="2:4" x14ac:dyDescent="0.25">
      <c r="B140" s="41">
        <f t="shared" si="6"/>
        <v>242</v>
      </c>
      <c r="C140" s="40">
        <f t="shared" si="5"/>
        <v>1.8025078369905956E-2</v>
      </c>
      <c r="D140" s="39"/>
    </row>
    <row r="141" spans="2:4" x14ac:dyDescent="0.25">
      <c r="B141" s="41">
        <f t="shared" si="6"/>
        <v>243</v>
      </c>
      <c r="C141" s="40">
        <f t="shared" si="5"/>
        <v>1.8286311389759665E-2</v>
      </c>
      <c r="D141" s="39"/>
    </row>
    <row r="142" spans="2:4" x14ac:dyDescent="0.25">
      <c r="B142" s="41">
        <f t="shared" si="6"/>
        <v>244</v>
      </c>
      <c r="C142" s="40">
        <f t="shared" si="5"/>
        <v>1.8547544409613374E-2</v>
      </c>
      <c r="D142" s="39"/>
    </row>
    <row r="143" spans="2:4" x14ac:dyDescent="0.25">
      <c r="B143" s="41">
        <f t="shared" si="6"/>
        <v>245</v>
      </c>
      <c r="C143" s="40">
        <f t="shared" si="5"/>
        <v>1.8808777429467086E-2</v>
      </c>
      <c r="D143" s="39"/>
    </row>
    <row r="144" spans="2:4" x14ac:dyDescent="0.25">
      <c r="B144" s="41">
        <f t="shared" si="6"/>
        <v>246</v>
      </c>
      <c r="C144" s="40">
        <f t="shared" si="5"/>
        <v>1.9070010449320794E-2</v>
      </c>
      <c r="D144" s="39"/>
    </row>
    <row r="145" spans="1:4" x14ac:dyDescent="0.25">
      <c r="B145" s="41">
        <f t="shared" si="6"/>
        <v>247</v>
      </c>
      <c r="C145" s="40">
        <f t="shared" si="5"/>
        <v>1.9331243469174503E-2</v>
      </c>
      <c r="D145" s="39"/>
    </row>
    <row r="146" spans="1:4" x14ac:dyDescent="0.25">
      <c r="B146" s="41">
        <f t="shared" si="6"/>
        <v>248</v>
      </c>
      <c r="C146" s="40">
        <f t="shared" si="5"/>
        <v>1.9592476489028215E-2</v>
      </c>
      <c r="D146" s="39"/>
    </row>
    <row r="147" spans="1:4" x14ac:dyDescent="0.25">
      <c r="B147" s="41">
        <f t="shared" si="6"/>
        <v>249</v>
      </c>
      <c r="C147" s="40">
        <f t="shared" si="5"/>
        <v>1.9853709508881923E-2</v>
      </c>
      <c r="D147" s="39"/>
    </row>
    <row r="148" spans="1:4" x14ac:dyDescent="0.25">
      <c r="B148" s="41">
        <f t="shared" si="6"/>
        <v>250</v>
      </c>
      <c r="C148" s="40">
        <f t="shared" si="5"/>
        <v>2.0114942528735632E-2</v>
      </c>
      <c r="D148" s="39"/>
    </row>
    <row r="149" spans="1:4" x14ac:dyDescent="0.25">
      <c r="B149" s="41">
        <f t="shared" si="6"/>
        <v>251</v>
      </c>
      <c r="C149" s="40">
        <f t="shared" si="5"/>
        <v>2.037617554858934E-2</v>
      </c>
      <c r="D149" s="39"/>
    </row>
    <row r="150" spans="1:4" x14ac:dyDescent="0.25">
      <c r="B150" s="41">
        <f t="shared" si="6"/>
        <v>252</v>
      </c>
      <c r="C150" s="40">
        <f t="shared" si="5"/>
        <v>2.0637408568443052E-2</v>
      </c>
      <c r="D150" s="39"/>
    </row>
    <row r="151" spans="1:4" x14ac:dyDescent="0.25">
      <c r="B151" s="41">
        <f t="shared" si="6"/>
        <v>253</v>
      </c>
      <c r="C151" s="40">
        <f t="shared" si="5"/>
        <v>2.0898641588296761E-2</v>
      </c>
      <c r="D151" s="39"/>
    </row>
    <row r="152" spans="1:4" x14ac:dyDescent="0.25">
      <c r="B152" s="41">
        <f t="shared" si="6"/>
        <v>254</v>
      </c>
      <c r="C152" s="40">
        <f t="shared" si="5"/>
        <v>2.115987460815047E-2</v>
      </c>
      <c r="D152" s="39"/>
    </row>
    <row r="153" spans="1:4" x14ac:dyDescent="0.25">
      <c r="B153" s="41">
        <f t="shared" si="6"/>
        <v>255</v>
      </c>
      <c r="C153" s="40">
        <f t="shared" si="5"/>
        <v>2.1421107628004178E-2</v>
      </c>
      <c r="D153" s="39"/>
    </row>
    <row r="154" spans="1:4" x14ac:dyDescent="0.25">
      <c r="B154" s="41">
        <f t="shared" si="6"/>
        <v>256</v>
      </c>
      <c r="C154" s="40">
        <f t="shared" si="5"/>
        <v>2.168234064785789E-2</v>
      </c>
      <c r="D154" s="39"/>
    </row>
    <row r="155" spans="1:4" x14ac:dyDescent="0.25">
      <c r="B155" s="41">
        <f t="shared" si="6"/>
        <v>257</v>
      </c>
      <c r="C155" s="40">
        <f t="shared" si="5"/>
        <v>2.1943573667711599E-2</v>
      </c>
      <c r="D155" s="39"/>
    </row>
    <row r="156" spans="1:4" x14ac:dyDescent="0.25">
      <c r="B156" s="41">
        <f t="shared" si="6"/>
        <v>258</v>
      </c>
      <c r="C156" s="40">
        <f t="shared" si="5"/>
        <v>2.2204806687565307E-2</v>
      </c>
      <c r="D156" s="39"/>
    </row>
    <row r="157" spans="1:4" x14ac:dyDescent="0.25">
      <c r="A157" s="39"/>
      <c r="B157" s="1">
        <f t="shared" si="6"/>
        <v>259</v>
      </c>
      <c r="C157" s="40">
        <f t="shared" si="5"/>
        <v>2.2466039707419019E-2</v>
      </c>
      <c r="D157" s="39"/>
    </row>
    <row r="158" spans="1:4" x14ac:dyDescent="0.25">
      <c r="A158" s="39"/>
      <c r="B158" s="1">
        <f t="shared" si="6"/>
        <v>260</v>
      </c>
      <c r="C158" s="40">
        <f t="shared" si="5"/>
        <v>2.2727272727272728E-2</v>
      </c>
      <c r="D158" s="39"/>
    </row>
    <row r="159" spans="1:4" x14ac:dyDescent="0.25">
      <c r="B159" s="38">
        <f t="shared" si="6"/>
        <v>261</v>
      </c>
      <c r="C159" s="37">
        <f t="shared" si="5"/>
        <v>0</v>
      </c>
      <c r="D159" s="36"/>
    </row>
  </sheetData>
  <sheetProtection sheet="1" objects="1" scenarios="1" formatCells="0" formatColumns="0" formatRows="0"/>
  <mergeCells count="14">
    <mergeCell ref="B69:D69"/>
    <mergeCell ref="L4:L5"/>
    <mergeCell ref="M4:M5"/>
    <mergeCell ref="B7:B8"/>
    <mergeCell ref="C7:C8"/>
    <mergeCell ref="M7:M8"/>
    <mergeCell ref="C44:D44"/>
    <mergeCell ref="B4:B5"/>
    <mergeCell ref="C4:C5"/>
    <mergeCell ref="D4:D5"/>
    <mergeCell ref="E4:F4"/>
    <mergeCell ref="G4:I4"/>
    <mergeCell ref="J4:J5"/>
    <mergeCell ref="C52:D52"/>
  </mergeCells>
  <phoneticPr fontId="16" type="noConversion"/>
  <dataValidations count="1">
    <dataValidation type="list" allowBlank="1" showInputMessage="1" showErrorMessage="1" sqref="C2" xr:uid="{0C5F796F-2CBB-420C-ACB4-F87634AC8E7B}">
      <formula1>MC_On_Off</formula1>
    </dataValidation>
  </dataValidations>
  <pageMargins left="0.7" right="0.7" top="0.75" bottom="0.75" header="0.3" footer="0.3"/>
  <pageSetup orientation="portrait" horizontalDpi="200" verticalDpi="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C4B74F-5937-4CDB-A5F5-61E5F487E820}">
  <sheetPr codeName="Sheet7">
    <tabColor rgb="FF92D050"/>
  </sheetPr>
  <dimension ref="B2:H59"/>
  <sheetViews>
    <sheetView workbookViewId="0">
      <selection activeCell="B5" sqref="B5"/>
    </sheetView>
  </sheetViews>
  <sheetFormatPr defaultColWidth="8.85546875" defaultRowHeight="15" x14ac:dyDescent="0.25"/>
  <cols>
    <col min="1" max="1" width="2" style="1" customWidth="1"/>
    <col min="2" max="2" width="41.85546875" style="1" bestFit="1" customWidth="1"/>
    <col min="3" max="3" width="24.7109375" style="94" customWidth="1"/>
    <col min="4" max="4" width="122.140625" style="93" customWidth="1"/>
    <col min="5" max="5" width="37.42578125" style="92" customWidth="1"/>
    <col min="6" max="6" width="20.85546875" style="92" bestFit="1" customWidth="1"/>
    <col min="7" max="16384" width="8.85546875" style="1"/>
  </cols>
  <sheetData>
    <row r="2" spans="2:6" ht="18.75" x14ac:dyDescent="0.3">
      <c r="B2" s="110" t="s">
        <v>241</v>
      </c>
    </row>
    <row r="3" spans="2:6" ht="13.5" customHeight="1" x14ac:dyDescent="0.25"/>
    <row r="4" spans="2:6" ht="33.75" customHeight="1" x14ac:dyDescent="0.25">
      <c r="B4" s="109" t="s">
        <v>242</v>
      </c>
      <c r="C4" s="109" t="s">
        <v>145</v>
      </c>
      <c r="D4" s="108" t="s">
        <v>243</v>
      </c>
      <c r="E4" s="107" t="s">
        <v>244</v>
      </c>
      <c r="F4" s="106" t="s">
        <v>146</v>
      </c>
    </row>
    <row r="5" spans="2:6" ht="23.25" customHeight="1" x14ac:dyDescent="0.35">
      <c r="B5" s="104" t="s">
        <v>67</v>
      </c>
      <c r="C5" s="99" t="s">
        <v>245</v>
      </c>
      <c r="D5" s="102" t="s">
        <v>246</v>
      </c>
      <c r="E5" s="105" t="e">
        <f ca="1">(Q_stock_day/(L_per_m3*mL_per_L))*r_prod*F12DCA_prod</f>
        <v>#NAME?</v>
      </c>
      <c r="F5" s="97" t="s">
        <v>247</v>
      </c>
    </row>
    <row r="6" spans="2:6" ht="23.25" customHeight="1" x14ac:dyDescent="0.35">
      <c r="B6" s="104" t="s">
        <v>73</v>
      </c>
      <c r="C6" s="99" t="s">
        <v>248</v>
      </c>
      <c r="D6" s="102" t="s">
        <v>249</v>
      </c>
      <c r="E6" s="103" t="e">
        <f ca="1">Q_chem_day*TIME_Operating_Days</f>
        <v>#NAME?</v>
      </c>
      <c r="F6" s="97" t="s">
        <v>250</v>
      </c>
    </row>
    <row r="7" spans="2:6" ht="23.25" customHeight="1" x14ac:dyDescent="0.35">
      <c r="B7" s="141" t="s">
        <v>251</v>
      </c>
      <c r="C7" s="138" t="s">
        <v>252</v>
      </c>
      <c r="D7" s="138" t="s">
        <v>253</v>
      </c>
      <c r="E7" s="139" t="e">
        <f ca="1">ROUNDUP(Q_chem_yr/Q_chem_day,0)</f>
        <v>#NAME?</v>
      </c>
      <c r="F7" s="140" t="s">
        <v>174</v>
      </c>
    </row>
    <row r="8" spans="2:6" ht="23.25" customHeight="1" x14ac:dyDescent="0.35">
      <c r="B8" s="104" t="s">
        <v>71</v>
      </c>
      <c r="C8" s="99" t="s">
        <v>72</v>
      </c>
      <c r="D8" s="102" t="s">
        <v>254</v>
      </c>
      <c r="E8" s="139" t="e">
        <f ca="1">N_sites*Q_chem_yr</f>
        <v>#NAME?</v>
      </c>
      <c r="F8" s="97" t="s">
        <v>255</v>
      </c>
    </row>
    <row r="9" spans="2:6" ht="23.25" customHeight="1" x14ac:dyDescent="0.35">
      <c r="B9" s="104" t="s">
        <v>256</v>
      </c>
      <c r="C9" s="138" t="s">
        <v>257</v>
      </c>
      <c r="D9" s="101" t="s">
        <v>258</v>
      </c>
      <c r="E9" s="139" t="e">
        <f ca="1">PV/(N_sites*OPdays_recalc)</f>
        <v>#NAME?</v>
      </c>
      <c r="F9" s="97" t="s">
        <v>247</v>
      </c>
    </row>
    <row r="10" spans="2:6" ht="23.25" customHeight="1" x14ac:dyDescent="0.35">
      <c r="B10" s="104" t="s">
        <v>259</v>
      </c>
      <c r="C10" s="99" t="s">
        <v>260</v>
      </c>
      <c r="D10" s="102" t="s">
        <v>261</v>
      </c>
      <c r="E10" s="139" t="e">
        <f ca="1">PV/N_sites</f>
        <v>#NAME?</v>
      </c>
      <c r="F10" s="97" t="s">
        <v>250</v>
      </c>
    </row>
    <row r="11" spans="2:6" ht="31.5" x14ac:dyDescent="0.35">
      <c r="B11" s="100" t="s">
        <v>262</v>
      </c>
      <c r="C11" s="99" t="s">
        <v>109</v>
      </c>
      <c r="D11" s="102" t="s">
        <v>263</v>
      </c>
      <c r="E11" s="139" t="e">
        <f ca="1">Qchem_site_yr_recalc/(F12DCA_prod*Q_cont)</f>
        <v>#NAME?</v>
      </c>
      <c r="F11" s="97" t="s">
        <v>264</v>
      </c>
    </row>
    <row r="12" spans="2:6" ht="31.5" x14ac:dyDescent="0.35">
      <c r="B12" s="100" t="s">
        <v>265</v>
      </c>
      <c r="C12" s="99" t="s">
        <v>266</v>
      </c>
      <c r="D12" s="102" t="s">
        <v>267</v>
      </c>
      <c r="E12" s="103" t="e">
        <f ca="1">Qchem_site_day_recalc/(F12DCA_prod*Q_cont)</f>
        <v>#NAME?</v>
      </c>
      <c r="F12" s="97" t="s">
        <v>264</v>
      </c>
    </row>
    <row r="13" spans="2:6" ht="18" x14ac:dyDescent="0.35">
      <c r="B13" s="144" t="s">
        <v>268</v>
      </c>
      <c r="C13" s="145" t="s">
        <v>269</v>
      </c>
      <c r="D13" s="146" t="s">
        <v>270</v>
      </c>
      <c r="E13" s="171" t="e">
        <f ca="1">Q_cont*r_prod*m3_per_gal</f>
        <v>#NAME?</v>
      </c>
      <c r="F13" s="147" t="s">
        <v>271</v>
      </c>
    </row>
    <row r="14" spans="2:6" ht="18" x14ac:dyDescent="0.35">
      <c r="B14" s="144" t="s">
        <v>272</v>
      </c>
      <c r="C14" s="145" t="s">
        <v>273</v>
      </c>
      <c r="D14" s="145" t="s">
        <v>274</v>
      </c>
      <c r="E14" s="171" t="e">
        <f ca="1">N_cont_unload_day/Rate_fillsmallcont</f>
        <v>#NAME?</v>
      </c>
      <c r="F14" s="147" t="s">
        <v>275</v>
      </c>
    </row>
    <row r="15" spans="2:6" ht="18" x14ac:dyDescent="0.35">
      <c r="B15" s="144" t="s">
        <v>276</v>
      </c>
      <c r="C15" s="145" t="s">
        <v>277</v>
      </c>
      <c r="D15" s="145" t="s">
        <v>278</v>
      </c>
      <c r="E15" s="171" t="e">
        <f ca="1">OHunload_day*OPdays_recalc</f>
        <v>#NAME?</v>
      </c>
      <c r="F15" s="147" t="s">
        <v>279</v>
      </c>
    </row>
    <row r="16" spans="2:6" ht="18" x14ac:dyDescent="0.35">
      <c r="B16" s="144" t="s">
        <v>280</v>
      </c>
      <c r="C16" s="145" t="s">
        <v>281</v>
      </c>
      <c r="D16" s="145" t="s">
        <v>282</v>
      </c>
      <c r="E16" s="171" t="e">
        <f ca="1">OHcont_cleaning*OPdays_recalc</f>
        <v>#NAME?</v>
      </c>
      <c r="F16" s="147" t="s">
        <v>279</v>
      </c>
    </row>
    <row r="17" spans="2:8" ht="18" x14ac:dyDescent="0.35">
      <c r="B17" s="144" t="s">
        <v>283</v>
      </c>
      <c r="C17" s="145" t="s">
        <v>284</v>
      </c>
      <c r="D17" s="145" t="s">
        <v>285</v>
      </c>
      <c r="E17" s="171" t="e">
        <f ca="1">OHlab_testing_day*OPdays_recalc</f>
        <v>#NAME?</v>
      </c>
      <c r="F17" s="147" t="s">
        <v>279</v>
      </c>
    </row>
    <row r="18" spans="2:8" ht="46.5" x14ac:dyDescent="0.35">
      <c r="B18" s="100" t="s">
        <v>286</v>
      </c>
      <c r="C18" s="99" t="s">
        <v>287</v>
      </c>
      <c r="D18" s="102" t="s">
        <v>288</v>
      </c>
      <c r="E18" s="98" t="e" cm="1">
        <f t="array" aca="1" ref="E18" ca="1">_xll.RiskOutput(,"Releases per Release Day",1)+(((Fsat_unload*MW_12DCA*Q_cont*3785.4*(Rate_fillsmallcont/s_per_hr)*(VP_torr/Pressure_torr))/(R_Ltorr_molK*Temp))*(N_cont_unload_yr/OPdays_recalc/Rate_fillsmallcont)*(s_per_hr/g_per_kg))</f>
        <v>#NAME?</v>
      </c>
      <c r="F18" s="97" t="s">
        <v>247</v>
      </c>
      <c r="H18" s="96"/>
    </row>
    <row r="19" spans="2:8" ht="46.5" x14ac:dyDescent="0.35">
      <c r="B19" s="100" t="s">
        <v>289</v>
      </c>
      <c r="C19" s="99" t="s">
        <v>290</v>
      </c>
      <c r="D19" s="99" t="s">
        <v>291</v>
      </c>
      <c r="E19" s="98" t="e" cm="1">
        <f t="array" aca="1" ref="E19" ca="1">_xll.RiskOutput(,"Annual Releases",1)+Release_Day_RP1*OPdays_recalc</f>
        <v>#NAME?</v>
      </c>
      <c r="F19" s="97" t="s">
        <v>250</v>
      </c>
      <c r="H19" s="96"/>
    </row>
    <row r="20" spans="2:8" ht="31.5" x14ac:dyDescent="0.35">
      <c r="B20" s="100" t="s">
        <v>292</v>
      </c>
      <c r="C20" s="99" t="s">
        <v>293</v>
      </c>
      <c r="D20" s="99" t="s">
        <v>294</v>
      </c>
      <c r="E20" s="98" t="e" cm="1">
        <f t="array" aca="1" ref="E20" ca="1">_xll.RiskOutput(,"Releases per Release Day",2)+F_loss_small_cont*Q_chem_day</f>
        <v>#NAME?</v>
      </c>
      <c r="F20" s="97" t="s">
        <v>247</v>
      </c>
      <c r="H20" s="96"/>
    </row>
    <row r="21" spans="2:8" ht="31.5" x14ac:dyDescent="0.35">
      <c r="B21" s="100" t="s">
        <v>295</v>
      </c>
      <c r="C21" s="99" t="s">
        <v>296</v>
      </c>
      <c r="D21" s="99" t="s">
        <v>297</v>
      </c>
      <c r="E21" s="98" t="e" cm="1">
        <f t="array" aca="1" ref="E21" ca="1">_xll.RiskOutput(,"Annual Releases",2)+Release_Day_RP3*OPdays_recalc</f>
        <v>#NAME?</v>
      </c>
      <c r="F21" s="97" t="s">
        <v>250</v>
      </c>
      <c r="H21" s="96"/>
    </row>
    <row r="22" spans="2:8" ht="117" x14ac:dyDescent="0.35">
      <c r="B22" s="100" t="s">
        <v>298</v>
      </c>
      <c r="C22" s="99" t="s">
        <v>299</v>
      </c>
      <c r="D22" s="101" t="s">
        <v>300</v>
      </c>
      <c r="E22" s="131" t="e" cm="1">
        <f t="array" aca="1" ref="E22" ca="1">_xll.RiskOutput(,"Releases per Release Day",3)+IF(Air_speed&gt;100,(0.000000193*POWER(MW_12DCA,0.78)*VP_torr*POWER((1/29)+(1/MW_12DCA),0.33)*POWER(Air_speed,0.78)*PI()*POWER(D_container_opening,2)/4)/(POWER(Temp,0.4)*POWER(D_container_opening,0.11)*POWER((POWER(Temp,0.5)-5.87),2/3)),(0.0000000824*POWER(MW_12DCA,0.835)*VP_torr*POWER((1/29)+(1/MW_12DCA),0.25)*POWER(Air_speed,0.5)*(PI()*POWER(D_container_opening,2)/4))/(POWER(Temp,0.05)*POWER(D_container_opening,0.5)*POWER(Pressure_atm,0.5)))*(N_cont_unload_yr/OPdays_recalc/Rate_fillsmallcont)*(s_per_hr/g_per_kg)</f>
        <v>#NAME?</v>
      </c>
      <c r="F22" s="97" t="s">
        <v>247</v>
      </c>
      <c r="H22" s="96"/>
    </row>
    <row r="23" spans="2:8" ht="46.5" x14ac:dyDescent="0.35">
      <c r="B23" s="100" t="s">
        <v>301</v>
      </c>
      <c r="C23" s="99" t="s">
        <v>302</v>
      </c>
      <c r="D23" s="99" t="s">
        <v>303</v>
      </c>
      <c r="E23" s="98" t="e" cm="1">
        <f t="array" aca="1" ref="E23" ca="1">_xll.RiskOutput(,"Annual Releases",3)+Release_Day_RP4*OPdays_recalc</f>
        <v>#NAME?</v>
      </c>
      <c r="F23" s="97" t="s">
        <v>250</v>
      </c>
      <c r="H23" s="96"/>
    </row>
    <row r="24" spans="2:8" ht="31.5" x14ac:dyDescent="0.35">
      <c r="B24" s="100" t="s">
        <v>304</v>
      </c>
      <c r="C24" s="99" t="s">
        <v>305</v>
      </c>
      <c r="D24" s="101" t="s">
        <v>306</v>
      </c>
      <c r="E24" s="98" t="e" cm="1">
        <f t="array" aca="1" ref="E24" ca="1">_xll.RiskOutput(,"Releases per Release Day",4)+F_loss_equip*Q_chem_day</f>
        <v>#NAME?</v>
      </c>
      <c r="F24" s="97" t="s">
        <v>247</v>
      </c>
      <c r="H24" s="96"/>
    </row>
    <row r="25" spans="2:8" ht="31.5" x14ac:dyDescent="0.35">
      <c r="B25" s="100" t="s">
        <v>307</v>
      </c>
      <c r="C25" s="99" t="s">
        <v>308</v>
      </c>
      <c r="D25" s="99" t="s">
        <v>309</v>
      </c>
      <c r="E25" s="98" t="e" cm="1">
        <f t="array" aca="1" ref="E25" ca="1">_xll.RiskOutput(,"Annual Releases",4)+Release_Day_RP5*OPdays_recalc</f>
        <v>#NAME?</v>
      </c>
      <c r="F25" s="97" t="s">
        <v>250</v>
      </c>
      <c r="H25" s="96"/>
    </row>
    <row r="26" spans="2:8" ht="117" x14ac:dyDescent="0.35">
      <c r="B26" s="100" t="s">
        <v>310</v>
      </c>
      <c r="C26" s="99" t="s">
        <v>311</v>
      </c>
      <c r="D26" s="101" t="s">
        <v>312</v>
      </c>
      <c r="E26" s="131" t="e" cm="1">
        <f t="array" aca="1" ref="E26" ca="1">IF(_xll.RiskOutput(,"Releases per Release Day",5)+(0.0000000824*POWER(MW_12DCA,0.835)*VP_torr*POWER((1/29)+(1/MW_12DCA),0.25)*POWER(Air_speed,0.5)*(PI()*POWER(D_container_opening,2)/4))/(POWER(Temp,0.05)*POWER(D_container_opening,0.5)*POWER(Pressure_atm,0.5))*(OHequip*(s_per_hr/g_per_kg))&gt;(0.02*[0]!Q_chem_day),0.02*[0]!Q_chem_day,(_xll.RiskOutput(,"Releases per Release Day",5)+(0.0000000824*POWER(MW_12DCA,0.835)*VP_torr*POWER((1/29)+(1/MW_12DCA),0.25)*POWER(Air_speed,0.5)*(PI()*POWER(D_container_opening,2)/4))/(POWER(Temp,0.05)*POWER(D_container_opening,0.5)*POWER(Pressure_atm,0.5))*(OHequip*(s_per_hr/g_per_kg))))</f>
        <v>#NAME?</v>
      </c>
      <c r="F26" s="97" t="s">
        <v>247</v>
      </c>
      <c r="H26" s="96"/>
    </row>
    <row r="27" spans="2:8" ht="46.5" x14ac:dyDescent="0.35">
      <c r="B27" s="100" t="s">
        <v>313</v>
      </c>
      <c r="C27" s="99" t="s">
        <v>314</v>
      </c>
      <c r="D27" s="99" t="s">
        <v>315</v>
      </c>
      <c r="E27" s="98" t="e" cm="1">
        <f t="array" aca="1" ref="E27" ca="1">_xll.RiskOutput(,"Annual Releases",5)+Release_Day_RP6*OPdays_recalc</f>
        <v>#NAME?</v>
      </c>
      <c r="F27" s="97" t="s">
        <v>250</v>
      </c>
      <c r="H27" s="96"/>
    </row>
    <row r="28" spans="2:8" ht="117" x14ac:dyDescent="0.35">
      <c r="B28" s="100" t="s">
        <v>316</v>
      </c>
      <c r="C28" s="99" t="s">
        <v>317</v>
      </c>
      <c r="D28" s="101" t="s">
        <v>318</v>
      </c>
      <c r="E28" s="98" t="e" cm="1">
        <f t="array" aca="1" ref="E28" ca="1">IF(_xll.RiskOutput(,"Releases per Release Day",6)+(0.0000000824*POWER(MW_12DCA,0.835)*VP_torr*POWER((1/29)+(1/MW_12DCA),0.25)*POWER(Air_speed,0.5)*(PI()*POWER(D_container_lab_analysis,2)/4))/(POWER(Temp,0.05)*POWER(D_container_lab_analysis,0.5)*POWER(Pressure_atm,0.5))*(OH_sampling*(s_per_hr/g_per_kg))&gt;(0.02*[0]!Q_chem_day),0.02*[0]!Q_chem_day,(_xll.RiskOutput(,"Releases per Release Day",6)+(0.0000000824*POWER(MW_12DCA,0.835)*VP_torr*POWER((1/29)+(1/MW_12DCA),0.25)*POWER(Air_speed,0.5)*(PI()*POWER(D_container_lab_analysis,2)/4))/(POWER(Temp,0.05)*POWER(D_container_lab_analysis,0.5)*POWER(Pressure_atm,0.5))*(OH_sampling*(s_per_hr/g_per_kg))))</f>
        <v>#NAME?</v>
      </c>
      <c r="F28" s="97" t="s">
        <v>247</v>
      </c>
    </row>
    <row r="29" spans="2:8" ht="31.5" x14ac:dyDescent="0.35">
      <c r="B29" s="100" t="s">
        <v>319</v>
      </c>
      <c r="C29" s="99" t="s">
        <v>320</v>
      </c>
      <c r="D29" s="99" t="s">
        <v>321</v>
      </c>
      <c r="E29" s="98" t="e" cm="1">
        <f t="array" aca="1" ref="E29" ca="1">_xll.RiskOutput(,"Annual Releases",6)+Release_Day_RP7*OPdays_recalc</f>
        <v>#NAME?</v>
      </c>
      <c r="F29" s="97" t="s">
        <v>250</v>
      </c>
      <c r="H29" s="96"/>
    </row>
    <row r="30" spans="2:8" ht="31.5" x14ac:dyDescent="0.35">
      <c r="B30" s="100" t="s">
        <v>322</v>
      </c>
      <c r="C30" s="99" t="s">
        <v>323</v>
      </c>
      <c r="D30" s="101" t="s">
        <v>324</v>
      </c>
      <c r="E30" s="98" t="e" cm="1">
        <f t="array" aca="1" ref="E30" ca="1">_xll.RiskOutput(,"Releases per Release Day",7)+[0]!Q_chem_day-SUM(Release_Day_RP1,Release_Day_RP3,Release_Day_RP4,Release_Day_RP5,Release_Day_RP6,Release_Day_RP7)</f>
        <v>#NAME?</v>
      </c>
      <c r="F30" s="97" t="s">
        <v>247</v>
      </c>
      <c r="H30" s="96"/>
    </row>
    <row r="31" spans="2:8" ht="31.5" x14ac:dyDescent="0.35">
      <c r="B31" s="100" t="s">
        <v>325</v>
      </c>
      <c r="C31" s="99" t="s">
        <v>326</v>
      </c>
      <c r="D31" s="99" t="s">
        <v>327</v>
      </c>
      <c r="E31" s="98" t="e" cm="1">
        <f t="array" aca="1" ref="E31" ca="1">_xll.RiskOutput(,"Annual Releases",7)+Release_Day_RP8*OPdays_recalc</f>
        <v>#NAME?</v>
      </c>
      <c r="F31" s="97" t="s">
        <v>250</v>
      </c>
      <c r="H31" s="96"/>
    </row>
    <row r="32" spans="2:8" ht="18" x14ac:dyDescent="0.35">
      <c r="B32" s="100" t="s">
        <v>328</v>
      </c>
      <c r="C32" s="99" t="s">
        <v>329</v>
      </c>
      <c r="D32" s="99" t="s">
        <v>330</v>
      </c>
      <c r="E32" s="98" t="e">
        <f ca="1">SUM(Release_Day_RP1,Release_Day_RP4,Release_Day_RP6,Release_Day_RP7)</f>
        <v>#NAME?</v>
      </c>
      <c r="F32" s="97" t="s">
        <v>247</v>
      </c>
      <c r="H32" s="96"/>
    </row>
    <row r="33" spans="2:8" ht="18" x14ac:dyDescent="0.35">
      <c r="B33" s="100" t="s">
        <v>331</v>
      </c>
      <c r="C33" s="99" t="s">
        <v>332</v>
      </c>
      <c r="D33" s="99" t="s">
        <v>333</v>
      </c>
      <c r="E33" s="98" t="e">
        <f ca="1">Release_Day_Air*OPdays_recalc</f>
        <v>#NAME?</v>
      </c>
      <c r="F33" s="97" t="s">
        <v>250</v>
      </c>
      <c r="H33" s="96"/>
    </row>
    <row r="34" spans="2:8" ht="31.5" x14ac:dyDescent="0.35">
      <c r="B34" s="100" t="s">
        <v>334</v>
      </c>
      <c r="C34" s="99" t="s">
        <v>335</v>
      </c>
      <c r="D34" s="99" t="s">
        <v>336</v>
      </c>
      <c r="E34" s="98" t="e">
        <f ca="1">SUM(Release_Day_RP3,Release_Day_RP5,Release_Day_RP8)</f>
        <v>#NAME?</v>
      </c>
      <c r="F34" s="97" t="s">
        <v>247</v>
      </c>
      <c r="H34" s="96"/>
    </row>
    <row r="35" spans="2:8" ht="31.5" x14ac:dyDescent="0.35">
      <c r="B35" s="100" t="s">
        <v>337</v>
      </c>
      <c r="C35" s="99" t="s">
        <v>338</v>
      </c>
      <c r="D35" s="99" t="s">
        <v>339</v>
      </c>
      <c r="E35" s="98" t="e">
        <f ca="1">Release_Day_Wat_Inc_Lan*OPdays_recalc</f>
        <v>#NAME?</v>
      </c>
      <c r="F35" s="97" t="s">
        <v>250</v>
      </c>
      <c r="H35" s="96"/>
    </row>
    <row r="36" spans="2:8" x14ac:dyDescent="0.25">
      <c r="D36" s="11"/>
    </row>
    <row r="41" spans="2:8" s="92" customFormat="1" ht="66" customHeight="1" x14ac:dyDescent="0.25">
      <c r="B41" s="1"/>
      <c r="C41" s="94"/>
      <c r="D41" s="93"/>
      <c r="H41" s="95"/>
    </row>
    <row r="42" spans="2:8" s="92" customFormat="1" ht="60" customHeight="1" x14ac:dyDescent="0.25">
      <c r="B42" s="1"/>
      <c r="C42" s="94"/>
      <c r="D42" s="93"/>
    </row>
    <row r="43" spans="2:8" s="92" customFormat="1" ht="160.5" customHeight="1" x14ac:dyDescent="0.25">
      <c r="B43" s="1"/>
      <c r="C43" s="94"/>
      <c r="D43" s="93"/>
    </row>
    <row r="44" spans="2:8" s="92" customFormat="1" ht="156" customHeight="1" x14ac:dyDescent="0.25">
      <c r="B44" s="1"/>
      <c r="C44" s="94"/>
      <c r="D44" s="93"/>
    </row>
    <row r="45" spans="2:8" s="92" customFormat="1" ht="162" customHeight="1" x14ac:dyDescent="0.25">
      <c r="B45" s="1"/>
      <c r="C45" s="94"/>
      <c r="D45" s="93"/>
    </row>
    <row r="46" spans="2:8" s="92" customFormat="1" ht="40.5" customHeight="1" x14ac:dyDescent="0.25">
      <c r="B46" s="1"/>
      <c r="C46" s="94"/>
      <c r="D46" s="93"/>
    </row>
    <row r="47" spans="2:8" ht="156" customHeight="1" x14ac:dyDescent="0.25">
      <c r="G47" s="92"/>
    </row>
    <row r="48" spans="2:8" ht="74.25" customHeight="1" x14ac:dyDescent="0.25"/>
    <row r="49" ht="53.25" customHeight="1" x14ac:dyDescent="0.25"/>
    <row r="59" ht="33" customHeight="1" x14ac:dyDescent="0.25"/>
  </sheetData>
  <sheetProtection sheet="1" objects="1" scenarios="1" formatCells="0" formatColumns="0" formatRows="0"/>
  <conditionalFormatting sqref="E5:E35">
    <cfRule type="cellIs" dxfId="2" priority="1" operator="greaterThanOrEqual">
      <formula>100</formula>
    </cfRule>
    <cfRule type="cellIs" dxfId="1" priority="2" operator="between">
      <formula>1</formula>
      <formula>99</formula>
    </cfRule>
    <cfRule type="cellIs" dxfId="0" priority="3" operator="lessThan">
      <formula>1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7287C-0515-4EF8-A712-8CFAD45CA8C3}">
  <sheetPr>
    <tabColor rgb="FF92D050"/>
  </sheetPr>
  <dimension ref="A1:L96"/>
  <sheetViews>
    <sheetView workbookViewId="0">
      <selection activeCell="C1" sqref="C1"/>
    </sheetView>
  </sheetViews>
  <sheetFormatPr defaultRowHeight="15" x14ac:dyDescent="0.25"/>
  <cols>
    <col min="1" max="1" width="23.28515625" style="11" customWidth="1"/>
    <col min="2" max="2" width="19.85546875" customWidth="1"/>
    <col min="3" max="12" width="21.7109375" customWidth="1"/>
    <col min="13" max="13" width="7.5703125" customWidth="1"/>
    <col min="20" max="20" width="9.140625" customWidth="1"/>
  </cols>
  <sheetData>
    <row r="1" spans="1:12" x14ac:dyDescent="0.25">
      <c r="A1" s="253" t="s">
        <v>340</v>
      </c>
      <c r="B1" s="254"/>
    </row>
    <row r="2" spans="1:12" x14ac:dyDescent="0.25">
      <c r="A2" s="177" t="s">
        <v>22</v>
      </c>
      <c r="B2" s="48">
        <v>1</v>
      </c>
    </row>
    <row r="4" spans="1:12" ht="15" customHeight="1" x14ac:dyDescent="0.25">
      <c r="A4" s="253" t="s">
        <v>341</v>
      </c>
      <c r="B4" s="254"/>
    </row>
    <row r="5" spans="1:12" x14ac:dyDescent="0.25">
      <c r="A5" s="58" t="s">
        <v>342</v>
      </c>
      <c r="B5" s="127">
        <v>100000</v>
      </c>
    </row>
    <row r="6" spans="1:12" x14ac:dyDescent="0.25">
      <c r="A6" s="58" t="s">
        <v>343</v>
      </c>
      <c r="B6" s="47" t="s">
        <v>344</v>
      </c>
    </row>
    <row r="8" spans="1:12" x14ac:dyDescent="0.25">
      <c r="A8"/>
      <c r="B8" s="255" t="s">
        <v>345</v>
      </c>
      <c r="C8" s="255"/>
      <c r="D8" s="33"/>
      <c r="E8" s="33"/>
    </row>
    <row r="9" spans="1:12" ht="46.5" x14ac:dyDescent="0.35">
      <c r="A9" s="28" t="s">
        <v>346</v>
      </c>
      <c r="B9" s="126" t="s">
        <v>347</v>
      </c>
      <c r="C9" s="126" t="s">
        <v>66</v>
      </c>
      <c r="E9" s="28" t="s">
        <v>348</v>
      </c>
      <c r="F9" s="124" t="s">
        <v>349</v>
      </c>
      <c r="H9" s="28" t="s">
        <v>350</v>
      </c>
      <c r="I9" s="124" t="s">
        <v>351</v>
      </c>
      <c r="K9" s="28" t="s">
        <v>352</v>
      </c>
      <c r="L9" s="124" t="s">
        <v>353</v>
      </c>
    </row>
    <row r="10" spans="1:12" x14ac:dyDescent="0.25">
      <c r="A10" s="122" t="s">
        <v>354</v>
      </c>
      <c r="B10" s="113" t="e" cm="1">
        <f t="array" aca="1" ref="B10" ca="1">_xll.RiskMax(Release_Year_Air)</f>
        <v>#NAME?</v>
      </c>
      <c r="C10" s="113" t="e" cm="1">
        <f t="array" aca="1" ref="C10" ca="1">_xll.RiskMax(Release_Year_Wat_Inc_Lan)</f>
        <v>#NAME?</v>
      </c>
      <c r="E10" s="122" t="s">
        <v>354</v>
      </c>
      <c r="F10" s="121" t="e" cm="1">
        <f t="array" aca="1" ref="F10" ca="1">_xll.RiskMax(Q_chem_yr)</f>
        <v>#NAME?</v>
      </c>
      <c r="H10" s="122" t="s">
        <v>354</v>
      </c>
      <c r="I10" s="121" t="e" cm="1">
        <f t="array" aca="1" ref="I10" ca="1">_xll.RiskMax(Q_chem_day)</f>
        <v>#NAME?</v>
      </c>
      <c r="K10" s="122" t="s">
        <v>354</v>
      </c>
      <c r="L10" s="121" t="e" cm="1">
        <f t="array" aca="1" ref="L10" ca="1">_xll.RiskMax(Q_stock_day)</f>
        <v>#NAME?</v>
      </c>
    </row>
    <row r="11" spans="1:12" x14ac:dyDescent="0.25">
      <c r="A11" s="122" t="s">
        <v>355</v>
      </c>
      <c r="B11" s="113" t="e" cm="1">
        <f t="array" aca="1" ref="B11" ca="1">_xll.RiskPercentile(Release_Year_Air,0.99)</f>
        <v>#NAME?</v>
      </c>
      <c r="C11" s="113" t="e" cm="1">
        <f t="array" aca="1" ref="C11" ca="1">_xll.RiskPercentile(Release_Year_Wat_Inc_Lan,0.99)</f>
        <v>#NAME?</v>
      </c>
      <c r="E11" s="122" t="s">
        <v>355</v>
      </c>
      <c r="F11" s="121" t="e" cm="1">
        <f t="array" aca="1" ref="F11" ca="1">_xll.RiskPercentile(Q_chem_yr,0.99)</f>
        <v>#NAME?</v>
      </c>
      <c r="H11" s="122" t="s">
        <v>355</v>
      </c>
      <c r="I11" s="121" t="e" cm="1">
        <f t="array" aca="1" ref="I11" ca="1">_xll.RiskPercentile(Q_chem_day,0.99)</f>
        <v>#NAME?</v>
      </c>
      <c r="K11" s="122" t="s">
        <v>355</v>
      </c>
      <c r="L11" s="121" t="e" cm="1">
        <f t="array" aca="1" ref="L11" ca="1">_xll.RiskPercentile(Q_stock_day,0.99)</f>
        <v>#NAME?</v>
      </c>
    </row>
    <row r="12" spans="1:12" x14ac:dyDescent="0.25">
      <c r="A12" s="122" t="s">
        <v>53</v>
      </c>
      <c r="B12" s="113" t="e" cm="1">
        <f t="array" aca="1" ref="B12" ca="1">_xll.RiskPercentile(Release_Year_Air,0.95)</f>
        <v>#NAME?</v>
      </c>
      <c r="C12" s="113" t="e" cm="1">
        <f t="array" aca="1" ref="C12" ca="1">_xll.RiskPercentile(Release_Year_Wat_Inc_Lan,0.95)</f>
        <v>#NAME?</v>
      </c>
      <c r="E12" s="122" t="s">
        <v>53</v>
      </c>
      <c r="F12" s="121" t="e" cm="1">
        <f t="array" aca="1" ref="F12" ca="1">_xll.RiskPercentile(Q_chem_yr,0.95)</f>
        <v>#NAME?</v>
      </c>
      <c r="H12" s="122" t="s">
        <v>53</v>
      </c>
      <c r="I12" s="121" t="e" cm="1">
        <f t="array" aca="1" ref="I12" ca="1">_xll.RiskPercentile(Q_chem_day,0.95)</f>
        <v>#NAME?</v>
      </c>
      <c r="K12" s="122" t="s">
        <v>53</v>
      </c>
      <c r="L12" s="121" t="e" cm="1">
        <f t="array" aca="1" ref="L12" ca="1">_xll.RiskPercentile(Q_stock_day,0.95)</f>
        <v>#NAME?</v>
      </c>
    </row>
    <row r="13" spans="1:12" x14ac:dyDescent="0.25">
      <c r="A13" s="122" t="s">
        <v>20</v>
      </c>
      <c r="B13" s="113" t="e" cm="1">
        <f t="array" aca="1" ref="B13" ca="1">_xll.RiskPercentile(Release_Year_Air,0.5)</f>
        <v>#NAME?</v>
      </c>
      <c r="C13" s="113" t="e" cm="1">
        <f t="array" aca="1" ref="C13" ca="1">_xll.RiskPercentile(Release_Year_Wat_Inc_Lan,0.5)</f>
        <v>#NAME?</v>
      </c>
      <c r="E13" s="122" t="s">
        <v>20</v>
      </c>
      <c r="F13" s="121" t="e" cm="1">
        <f t="array" aca="1" ref="F13" ca="1">_xll.RiskPercentile(Q_chem_yr,0.5)</f>
        <v>#NAME?</v>
      </c>
      <c r="H13" s="122" t="s">
        <v>20</v>
      </c>
      <c r="I13" s="121" t="e" cm="1">
        <f t="array" aca="1" ref="I13" ca="1">_xll.RiskPercentile(Q_chem_day,0.5)</f>
        <v>#NAME?</v>
      </c>
      <c r="K13" s="122" t="s">
        <v>20</v>
      </c>
      <c r="L13" s="121" t="e" cm="1">
        <f t="array" aca="1" ref="L13" ca="1">_xll.RiskPercentile(Q_stock_day,0.5)</f>
        <v>#NAME?</v>
      </c>
    </row>
    <row r="14" spans="1:12" x14ac:dyDescent="0.25">
      <c r="A14" s="122" t="s">
        <v>356</v>
      </c>
      <c r="B14" s="113" t="e" cm="1">
        <f t="array" aca="1" ref="B14" ca="1">_xll.RiskPercentile(Release_Year_Air,0.05)</f>
        <v>#NAME?</v>
      </c>
      <c r="C14" s="113" t="e" cm="1">
        <f t="array" aca="1" ref="C14" ca="1">_xll.RiskPercentile(Release_Year_Wat_Inc_Lan,0.05)</f>
        <v>#NAME?</v>
      </c>
      <c r="E14" s="122" t="s">
        <v>356</v>
      </c>
      <c r="F14" s="121" t="e" cm="1">
        <f t="array" aca="1" ref="F14" ca="1">_xll.RiskPercentile(Q_chem_yr,0.05)</f>
        <v>#NAME?</v>
      </c>
      <c r="H14" s="122" t="s">
        <v>356</v>
      </c>
      <c r="I14" s="121" t="e" cm="1">
        <f t="array" aca="1" ref="I14" ca="1">_xll.RiskPercentile(Q_chem_day,0.05)</f>
        <v>#NAME?</v>
      </c>
      <c r="K14" s="122" t="s">
        <v>356</v>
      </c>
      <c r="L14" s="121" t="e" cm="1">
        <f t="array" aca="1" ref="L14" ca="1">_xll.RiskPercentile(Q_stock_day,0.05)</f>
        <v>#NAME?</v>
      </c>
    </row>
    <row r="15" spans="1:12" x14ac:dyDescent="0.25">
      <c r="A15" s="122" t="s">
        <v>357</v>
      </c>
      <c r="B15" s="113" t="e" cm="1">
        <f t="array" aca="1" ref="B15" ca="1">_xll.RiskMin(Release_Year_Air)</f>
        <v>#NAME?</v>
      </c>
      <c r="C15" s="113" t="e" cm="1">
        <f t="array" aca="1" ref="C15" ca="1">_xll.RiskMin(Release_Year_Wat_Inc_Lan)</f>
        <v>#NAME?</v>
      </c>
      <c r="E15" s="122" t="s">
        <v>357</v>
      </c>
      <c r="F15" s="121" t="e" cm="1">
        <f t="array" aca="1" ref="F15" ca="1">_xll.RiskMin(Q_chem_yr)</f>
        <v>#NAME?</v>
      </c>
      <c r="H15" s="122" t="s">
        <v>357</v>
      </c>
      <c r="I15" s="132" t="e" cm="1">
        <f t="array" aca="1" ref="I15" ca="1">_xll.RiskMin(Q_chem_day)</f>
        <v>#NAME?</v>
      </c>
      <c r="K15" s="122" t="s">
        <v>357</v>
      </c>
      <c r="L15" s="121" t="e" cm="1">
        <f t="array" aca="1" ref="L15" ca="1">_xll.RiskMin(Q_stock_day)</f>
        <v>#NAME?</v>
      </c>
    </row>
    <row r="16" spans="1:12" x14ac:dyDescent="0.25">
      <c r="A16" s="122" t="s">
        <v>358</v>
      </c>
      <c r="B16" s="113" t="e" cm="1">
        <f t="array" aca="1" ref="B16" ca="1">_xll.RiskMean(Release_Year_Air)</f>
        <v>#NAME?</v>
      </c>
      <c r="C16" s="113" t="e" cm="1">
        <f t="array" aca="1" ref="C16" ca="1">_xll.RiskMean(Release_Year_Wat_Inc_Lan)</f>
        <v>#NAME?</v>
      </c>
      <c r="E16" s="122" t="s">
        <v>358</v>
      </c>
      <c r="F16" s="121" t="e" cm="1">
        <f t="array" aca="1" ref="F16" ca="1">_xll.RiskMean(Q_chem_yr)</f>
        <v>#NAME?</v>
      </c>
      <c r="H16" s="122" t="s">
        <v>358</v>
      </c>
      <c r="I16" s="121" t="e" cm="1">
        <f t="array" aca="1" ref="I16" ca="1">_xll.RiskMean(Q_chem_day)</f>
        <v>#NAME?</v>
      </c>
      <c r="K16" s="122" t="s">
        <v>358</v>
      </c>
      <c r="L16" s="121" t="e" cm="1">
        <f t="array" aca="1" ref="L16" ca="1">_xll.RiskMean(Q_stock_day)</f>
        <v>#NAME?</v>
      </c>
    </row>
    <row r="17" spans="1:12" x14ac:dyDescent="0.25">
      <c r="A17" s="112"/>
      <c r="B17" s="112"/>
      <c r="C17" s="112"/>
    </row>
    <row r="18" spans="1:12" ht="76.5" x14ac:dyDescent="0.35">
      <c r="A18" s="125" t="s">
        <v>359</v>
      </c>
      <c r="B18" s="177"/>
      <c r="C18" s="177"/>
      <c r="E18" s="28" t="s">
        <v>360</v>
      </c>
      <c r="F18" s="116" t="s">
        <v>94</v>
      </c>
      <c r="H18" s="28" t="s">
        <v>22</v>
      </c>
      <c r="I18" s="116" t="s">
        <v>361</v>
      </c>
      <c r="K18" s="28" t="s">
        <v>362</v>
      </c>
      <c r="L18" s="124" t="s">
        <v>109</v>
      </c>
    </row>
    <row r="19" spans="1:12" x14ac:dyDescent="0.25">
      <c r="A19" s="122" t="s">
        <v>354</v>
      </c>
      <c r="B19" s="113" t="e" cm="1">
        <f t="array" aca="1" ref="B19" ca="1">_xll.RiskMax(Release_Day_Air)</f>
        <v>#NAME?</v>
      </c>
      <c r="C19" s="113" t="e" cm="1">
        <f t="array" aca="1" ref="C19" ca="1">_xll.RiskMax(Release_Day_Wat_Inc_Lan)</f>
        <v>#NAME?</v>
      </c>
      <c r="E19" s="123" t="s">
        <v>354</v>
      </c>
      <c r="F19" s="64" t="e" cm="1">
        <f t="array" aca="1" ref="F19" ca="1">_xll.RiskMax(OPdays_recalc)</f>
        <v>#NAME?</v>
      </c>
      <c r="H19" s="123" t="s">
        <v>354</v>
      </c>
      <c r="I19" s="64" t="e" cm="1">
        <f t="array" aca="1" ref="I19" ca="1">_xll.RiskMax(N_sites)</f>
        <v>#NAME?</v>
      </c>
      <c r="K19" s="122" t="s">
        <v>354</v>
      </c>
      <c r="L19" s="121" t="e" cm="1">
        <f t="array" aca="1" ref="L19" ca="1">_xll.RiskMax(N_cont_unload_yr)</f>
        <v>#NAME?</v>
      </c>
    </row>
    <row r="20" spans="1:12" x14ac:dyDescent="0.25">
      <c r="A20" s="122" t="s">
        <v>355</v>
      </c>
      <c r="B20" s="113" t="e" cm="1">
        <f t="array" aca="1" ref="B20" ca="1">_xll.RiskPercentile(Release_Day_Air,0.99)</f>
        <v>#NAME?</v>
      </c>
      <c r="C20" s="113" t="e" cm="1">
        <f t="array" aca="1" ref="C20" ca="1">_xll.RiskPercentile(Release_Day_Wat_Inc_Lan,0.99)</f>
        <v>#NAME?</v>
      </c>
      <c r="E20" s="115" t="s">
        <v>355</v>
      </c>
      <c r="F20" s="64" t="e" cm="1">
        <f t="array" aca="1" ref="F20" ca="1">_xll.RiskPercentile(OPdays_recalc,0.99)</f>
        <v>#NAME?</v>
      </c>
      <c r="H20" s="115" t="s">
        <v>355</v>
      </c>
      <c r="I20" s="64" t="e" cm="1">
        <f t="array" aca="1" ref="I20" ca="1">_xll.RiskPercentile(N_sites,0.99)</f>
        <v>#NAME?</v>
      </c>
      <c r="K20" s="122" t="s">
        <v>355</v>
      </c>
      <c r="L20" s="121" t="e" cm="1">
        <f t="array" aca="1" ref="L20" ca="1">_xll.RiskPercentile(N_cont_unload_yr,0.99)</f>
        <v>#NAME?</v>
      </c>
    </row>
    <row r="21" spans="1:12" x14ac:dyDescent="0.25">
      <c r="A21" s="122" t="s">
        <v>53</v>
      </c>
      <c r="B21" s="113" t="e" cm="1">
        <f t="array" aca="1" ref="B21" ca="1">_xll.RiskPercentile(Release_Day_Air,0.95)</f>
        <v>#NAME?</v>
      </c>
      <c r="C21" s="113" t="e" cm="1">
        <f t="array" aca="1" ref="C21" ca="1">_xll.RiskPercentile(Release_Day_Wat_Inc_Lan,0.95)</f>
        <v>#NAME?</v>
      </c>
      <c r="E21" s="123" t="s">
        <v>53</v>
      </c>
      <c r="F21" s="64" t="e" cm="1">
        <f t="array" aca="1" ref="F21" ca="1">_xll.RiskPercentile(OPdays_recalc,0.95)</f>
        <v>#NAME?</v>
      </c>
      <c r="H21" s="123" t="s">
        <v>53</v>
      </c>
      <c r="I21" s="64" t="e" cm="1">
        <f t="array" aca="1" ref="I21" ca="1">_xll.RiskPercentile(N_sites,0.95)</f>
        <v>#NAME?</v>
      </c>
      <c r="K21" s="122" t="s">
        <v>53</v>
      </c>
      <c r="L21" s="121" t="e" cm="1">
        <f t="array" aca="1" ref="L21" ca="1">_xll.RiskPercentile(N_cont_unload_yr,0.95)</f>
        <v>#NAME?</v>
      </c>
    </row>
    <row r="22" spans="1:12" x14ac:dyDescent="0.25">
      <c r="A22" s="122" t="s">
        <v>20</v>
      </c>
      <c r="B22" s="113" t="e" cm="1">
        <f t="array" aca="1" ref="B22" ca="1">_xll.RiskPercentile(Release_Day_Air,0.5)</f>
        <v>#NAME?</v>
      </c>
      <c r="C22" s="113" t="e" cm="1">
        <f t="array" aca="1" ref="C22" ca="1">_xll.RiskPercentile(Release_Day_Wat_Inc_Lan,0.5)</f>
        <v>#NAME?</v>
      </c>
      <c r="E22" s="123" t="s">
        <v>20</v>
      </c>
      <c r="F22" s="64" t="e" cm="1">
        <f t="array" aca="1" ref="F22" ca="1">_xll.RiskPercentile(OPdays_recalc,0.5)</f>
        <v>#NAME?</v>
      </c>
      <c r="H22" s="123" t="s">
        <v>20</v>
      </c>
      <c r="I22" s="64" t="e" cm="1">
        <f t="array" aca="1" ref="I22" ca="1">_xll.RiskPercentile(N_sites,0.5)</f>
        <v>#NAME?</v>
      </c>
      <c r="K22" s="122" t="s">
        <v>20</v>
      </c>
      <c r="L22" s="121" t="e" cm="1">
        <f t="array" aca="1" ref="L22" ca="1">_xll.RiskPercentile(N_cont_unload_yr,0.5)</f>
        <v>#NAME?</v>
      </c>
    </row>
    <row r="23" spans="1:12" x14ac:dyDescent="0.25">
      <c r="A23" s="122" t="s">
        <v>356</v>
      </c>
      <c r="B23" s="113" t="e" cm="1">
        <f t="array" aca="1" ref="B23" ca="1">_xll.RiskPercentile(Release_Day_Air,0.05)</f>
        <v>#NAME?</v>
      </c>
      <c r="C23" s="113" t="e" cm="1">
        <f t="array" aca="1" ref="C23" ca="1">_xll.RiskPercentile(Release_Day_Wat_Inc_Lan,0.05)</f>
        <v>#NAME?</v>
      </c>
      <c r="E23" s="115" t="s">
        <v>356</v>
      </c>
      <c r="F23" s="64" t="e" cm="1">
        <f t="array" aca="1" ref="F23" ca="1">_xll.RiskPercentile(OPdays_recalc,0.05)</f>
        <v>#NAME?</v>
      </c>
      <c r="H23" s="115" t="s">
        <v>356</v>
      </c>
      <c r="I23" s="64" t="e" cm="1">
        <f t="array" aca="1" ref="I23" ca="1">_xll.RiskPercentile(N_sites,0.05)</f>
        <v>#NAME?</v>
      </c>
      <c r="K23" s="122" t="s">
        <v>356</v>
      </c>
      <c r="L23" s="121" t="e" cm="1">
        <f t="array" aca="1" ref="L23" ca="1">_xll.RiskPercentile(N_cont_unload_yr,0.05)</f>
        <v>#NAME?</v>
      </c>
    </row>
    <row r="24" spans="1:12" x14ac:dyDescent="0.25">
      <c r="A24" s="122" t="s">
        <v>357</v>
      </c>
      <c r="B24" s="113" t="e" cm="1">
        <f t="array" aca="1" ref="B24" ca="1">_xll.RiskMin(Release_Day_Air)</f>
        <v>#NAME?</v>
      </c>
      <c r="C24" s="113" t="e" cm="1">
        <f t="array" aca="1" ref="C24" ca="1">_xll.RiskMin(Release_Day_Wat_Inc_Lan)</f>
        <v>#NAME?</v>
      </c>
      <c r="E24" s="123" t="s">
        <v>357</v>
      </c>
      <c r="F24" s="48" t="e" cm="1">
        <f t="array" aca="1" ref="F24" ca="1">_xll.RiskMin(OPdays_recalc)</f>
        <v>#NAME?</v>
      </c>
      <c r="H24" s="123" t="s">
        <v>357</v>
      </c>
      <c r="I24" s="48" t="e" cm="1">
        <f t="array" aca="1" ref="I24" ca="1">_xll.RiskMin(N_sites)</f>
        <v>#NAME?</v>
      </c>
      <c r="K24" s="122" t="s">
        <v>357</v>
      </c>
      <c r="L24" s="121" t="e" cm="1">
        <f t="array" aca="1" ref="L24" ca="1">_xll.RiskMin(N_cont_unload_yr)</f>
        <v>#NAME?</v>
      </c>
    </row>
    <row r="25" spans="1:12" x14ac:dyDescent="0.25">
      <c r="A25" s="122" t="s">
        <v>358</v>
      </c>
      <c r="B25" s="113" t="e" cm="1">
        <f t="array" aca="1" ref="B25" ca="1">_xll.RiskMean(Release_Day_Air)</f>
        <v>#NAME?</v>
      </c>
      <c r="C25" s="113" t="e" cm="1">
        <f t="array" aca="1" ref="C25" ca="1">_xll.RiskMean(Release_Day_Wat_Inc_Lan)</f>
        <v>#NAME?</v>
      </c>
      <c r="E25" s="123" t="s">
        <v>358</v>
      </c>
      <c r="F25" s="48" t="e" cm="1">
        <f t="array" aca="1" ref="F25" ca="1">ROUND(_xll.RiskMean(OPdays_recalc),0)</f>
        <v>#NAME?</v>
      </c>
      <c r="H25" s="123" t="s">
        <v>358</v>
      </c>
      <c r="I25" s="48" t="e" cm="1">
        <f t="array" aca="1" ref="I25" ca="1">ROUND(_xll.RiskMean(N_sites),0)</f>
        <v>#NAME?</v>
      </c>
      <c r="K25" s="122" t="s">
        <v>358</v>
      </c>
      <c r="L25" s="121" t="e" cm="1">
        <f t="array" aca="1" ref="L25" ca="1">_xll.RiskMean(N_cont_unload_yr)</f>
        <v>#NAME?</v>
      </c>
    </row>
    <row r="28" spans="1:12" x14ac:dyDescent="0.25">
      <c r="A28" s="120"/>
      <c r="B28" s="256" t="s">
        <v>363</v>
      </c>
      <c r="C28" s="257"/>
      <c r="D28" s="257"/>
      <c r="E28" s="257"/>
      <c r="F28" s="257"/>
      <c r="G28" s="257"/>
      <c r="H28" s="257"/>
      <c r="I28" s="258"/>
    </row>
    <row r="29" spans="1:12" ht="114" customHeight="1" x14ac:dyDescent="0.25">
      <c r="A29" s="119" t="s">
        <v>59</v>
      </c>
      <c r="B29" s="130" t="s">
        <v>37</v>
      </c>
      <c r="C29" s="130" t="s">
        <v>41</v>
      </c>
      <c r="D29" s="130" t="s">
        <v>44</v>
      </c>
      <c r="E29" s="130" t="s">
        <v>46</v>
      </c>
      <c r="F29" s="130" t="s">
        <v>47</v>
      </c>
      <c r="G29" s="130" t="s">
        <v>48</v>
      </c>
      <c r="H29" s="130" t="s">
        <v>49</v>
      </c>
      <c r="I29" s="130" t="s">
        <v>50</v>
      </c>
    </row>
    <row r="30" spans="1:12" ht="65.25" customHeight="1" x14ac:dyDescent="0.25">
      <c r="A30" s="119" t="s">
        <v>64</v>
      </c>
      <c r="B30" s="177" t="s">
        <v>38</v>
      </c>
      <c r="C30" s="177" t="s">
        <v>42</v>
      </c>
      <c r="D30" s="177" t="s">
        <v>66</v>
      </c>
      <c r="E30" s="177" t="s">
        <v>38</v>
      </c>
      <c r="F30" s="177" t="s">
        <v>66</v>
      </c>
      <c r="G30" s="177" t="s">
        <v>38</v>
      </c>
      <c r="H30" s="177" t="s">
        <v>38</v>
      </c>
      <c r="I30" s="177" t="s">
        <v>66</v>
      </c>
    </row>
    <row r="31" spans="1:12" ht="56.25" customHeight="1" x14ac:dyDescent="0.25">
      <c r="A31" s="119" t="s">
        <v>364</v>
      </c>
      <c r="B31" s="177" t="s">
        <v>86</v>
      </c>
      <c r="C31" s="177" t="s">
        <v>365</v>
      </c>
      <c r="D31" s="177" t="s">
        <v>86</v>
      </c>
      <c r="E31" s="177" t="s">
        <v>86</v>
      </c>
      <c r="F31" s="177" t="s">
        <v>86</v>
      </c>
      <c r="G31" s="177" t="s">
        <v>86</v>
      </c>
      <c r="H31" s="177" t="s">
        <v>86</v>
      </c>
      <c r="I31" s="177" t="s">
        <v>86</v>
      </c>
    </row>
    <row r="32" spans="1:12" x14ac:dyDescent="0.25">
      <c r="A32" s="118"/>
      <c r="B32" s="111"/>
      <c r="C32" s="111"/>
      <c r="D32" s="111"/>
      <c r="E32" s="111"/>
      <c r="F32" s="111"/>
      <c r="G32" s="111"/>
      <c r="H32" s="111"/>
      <c r="I32" s="111"/>
    </row>
    <row r="33" spans="1:11" ht="18" x14ac:dyDescent="0.35">
      <c r="A33" s="28" t="s">
        <v>366</v>
      </c>
      <c r="B33" s="116" t="s">
        <v>367</v>
      </c>
      <c r="C33" s="116" t="s">
        <v>365</v>
      </c>
      <c r="D33" s="116" t="s">
        <v>368</v>
      </c>
      <c r="E33" s="116" t="s">
        <v>369</v>
      </c>
      <c r="F33" s="116" t="s">
        <v>370</v>
      </c>
      <c r="G33" s="116" t="s">
        <v>371</v>
      </c>
      <c r="H33" s="116" t="s">
        <v>372</v>
      </c>
      <c r="I33" s="116" t="s">
        <v>373</v>
      </c>
    </row>
    <row r="34" spans="1:11" x14ac:dyDescent="0.25">
      <c r="A34" s="115" t="s">
        <v>354</v>
      </c>
      <c r="B34" s="113" t="e" cm="1">
        <f t="array" aca="1" ref="B34" ca="1">_xll.RiskMax(Release_Year_RP1)</f>
        <v>#NAME?</v>
      </c>
      <c r="C34" s="114"/>
      <c r="D34" s="113" t="e" cm="1">
        <f t="array" aca="1" ref="D34" ca="1">_xll.RiskMax(Release_Year_RP3)</f>
        <v>#NAME?</v>
      </c>
      <c r="E34" s="113" t="e" cm="1">
        <f t="array" aca="1" ref="E34" ca="1">_xll.RiskMax(Release_Year_RP4)</f>
        <v>#NAME?</v>
      </c>
      <c r="F34" s="113" t="e" cm="1">
        <f t="array" aca="1" ref="F34" ca="1">_xll.RiskMax(Release_Year_RP5)</f>
        <v>#NAME?</v>
      </c>
      <c r="G34" s="113" t="e" cm="1">
        <f t="array" aca="1" ref="G34" ca="1">_xll.RiskMax(Release_Year_RP6)</f>
        <v>#NAME?</v>
      </c>
      <c r="H34" s="113" t="e" cm="1">
        <f t="array" aca="1" ref="H34" ca="1">_xll.RiskMax(Release_Year_RP7)</f>
        <v>#NAME?</v>
      </c>
      <c r="I34" s="113" t="e" cm="1">
        <f t="array" aca="1" ref="I34" ca="1">_xll.RiskMax(Release_Year_RP8)</f>
        <v>#NAME?</v>
      </c>
      <c r="K34" s="117"/>
    </row>
    <row r="35" spans="1:11" x14ac:dyDescent="0.25">
      <c r="A35" s="115" t="s">
        <v>355</v>
      </c>
      <c r="B35" s="113" t="e" cm="1">
        <f t="array" aca="1" ref="B35" ca="1">_xll.RiskPercentile(Release_Year_RP1,0.99)</f>
        <v>#NAME?</v>
      </c>
      <c r="C35" s="114"/>
      <c r="D35" s="113" t="e" cm="1">
        <f t="array" aca="1" ref="D35" ca="1">_xll.RiskPercentile(Release_Year_RP3,0.99)</f>
        <v>#NAME?</v>
      </c>
      <c r="E35" s="113" t="e" cm="1">
        <f t="array" aca="1" ref="E35" ca="1">_xll.RiskPercentile(Release_Year_RP4,0.99)</f>
        <v>#NAME?</v>
      </c>
      <c r="F35" s="113" t="e" cm="1">
        <f t="array" aca="1" ref="F35" ca="1">_xll.RiskPercentile(Release_Year_RP5,0.99)</f>
        <v>#NAME?</v>
      </c>
      <c r="G35" s="113" t="e" cm="1">
        <f t="array" aca="1" ref="G35" ca="1">_xll.RiskPercentile(Release_Year_RP6,0.99)</f>
        <v>#NAME?</v>
      </c>
      <c r="H35" s="113" t="e" cm="1">
        <f t="array" aca="1" ref="H35" ca="1">_xll.RiskPercentile(Release_Year_RP7,0.99)</f>
        <v>#NAME?</v>
      </c>
      <c r="I35" s="113" t="e" cm="1">
        <f t="array" aca="1" ref="I35" ca="1">_xll.RiskPercentile(Release_Year_RP8,0.99)</f>
        <v>#NAME?</v>
      </c>
    </row>
    <row r="36" spans="1:11" x14ac:dyDescent="0.25">
      <c r="A36" s="115" t="s">
        <v>53</v>
      </c>
      <c r="B36" s="113" t="e" cm="1">
        <f t="array" aca="1" ref="B36" ca="1">_xll.RiskPercentile(Release_Year_RP1,0.95)</f>
        <v>#NAME?</v>
      </c>
      <c r="C36" s="114"/>
      <c r="D36" s="113" t="e" cm="1">
        <f t="array" aca="1" ref="D36" ca="1">_xll.RiskPercentile(Release_Year_RP3,0.95)</f>
        <v>#NAME?</v>
      </c>
      <c r="E36" s="113" t="e" cm="1">
        <f t="array" aca="1" ref="E36" ca="1">_xll.RiskPercentile(Release_Year_RP4,0.95)</f>
        <v>#NAME?</v>
      </c>
      <c r="F36" s="113" t="e" cm="1">
        <f t="array" aca="1" ref="F36" ca="1">_xll.RiskPercentile(Release_Year_RP5,0.95)</f>
        <v>#NAME?</v>
      </c>
      <c r="G36" s="113" t="e" cm="1">
        <f t="array" aca="1" ref="G36" ca="1">_xll.RiskPercentile(Release_Year_RP6,0.95)</f>
        <v>#NAME?</v>
      </c>
      <c r="H36" s="113" t="e" cm="1">
        <f t="array" aca="1" ref="H36" ca="1">_xll.RiskPercentile(Release_Year_RP7,0.95)</f>
        <v>#NAME?</v>
      </c>
      <c r="I36" s="113" t="e" cm="1">
        <f t="array" aca="1" ref="I36" ca="1">_xll.RiskPercentile(Release_Year_RP8,0.95)</f>
        <v>#NAME?</v>
      </c>
    </row>
    <row r="37" spans="1:11" x14ac:dyDescent="0.25">
      <c r="A37" s="115" t="s">
        <v>20</v>
      </c>
      <c r="B37" s="113" t="e" cm="1">
        <f t="array" aca="1" ref="B37" ca="1">_xll.RiskPercentile(Release_Year_RP1,0.5)</f>
        <v>#NAME?</v>
      </c>
      <c r="C37" s="114"/>
      <c r="D37" s="113" t="e" cm="1">
        <f t="array" aca="1" ref="D37" ca="1">_xll.RiskPercentile(Release_Year_RP3,0.5)</f>
        <v>#NAME?</v>
      </c>
      <c r="E37" s="113" t="e" cm="1">
        <f t="array" aca="1" ref="E37" ca="1">_xll.RiskPercentile(Release_Year_RP4,0.5)</f>
        <v>#NAME?</v>
      </c>
      <c r="F37" s="113" t="e" cm="1">
        <f t="array" aca="1" ref="F37" ca="1">_xll.RiskPercentile(Release_Year_RP5,0.5)</f>
        <v>#NAME?</v>
      </c>
      <c r="G37" s="113" t="e" cm="1">
        <f t="array" aca="1" ref="G37" ca="1">_xll.RiskPercentile(Release_Year_RP6,0.5)</f>
        <v>#NAME?</v>
      </c>
      <c r="H37" s="113" t="e" cm="1">
        <f t="array" aca="1" ref="H37" ca="1">_xll.RiskPercentile(Release_Year_RP7,0.5)</f>
        <v>#NAME?</v>
      </c>
      <c r="I37" s="113" t="e" cm="1">
        <f t="array" aca="1" ref="I37" ca="1">_xll.RiskPercentile(Release_Year_RP8,0.5)</f>
        <v>#NAME?</v>
      </c>
    </row>
    <row r="38" spans="1:11" x14ac:dyDescent="0.25">
      <c r="A38" s="115" t="s">
        <v>356</v>
      </c>
      <c r="B38" s="113" t="e" cm="1">
        <f t="array" aca="1" ref="B38" ca="1">_xll.RiskPercentile(Release_Year_RP1,0.05)</f>
        <v>#NAME?</v>
      </c>
      <c r="C38" s="114"/>
      <c r="D38" s="113" t="e" cm="1">
        <f t="array" aca="1" ref="D38" ca="1">_xll.RiskPercentile(Release_Year_RP3,0.05)</f>
        <v>#NAME?</v>
      </c>
      <c r="E38" s="113" t="e" cm="1">
        <f t="array" aca="1" ref="E38" ca="1">_xll.RiskPercentile(Release_Year_RP4,0.05)</f>
        <v>#NAME?</v>
      </c>
      <c r="F38" s="113" t="e" cm="1">
        <f t="array" aca="1" ref="F38" ca="1">_xll.RiskPercentile(Release_Year_RP5,0.05)</f>
        <v>#NAME?</v>
      </c>
      <c r="G38" s="113" t="e" cm="1">
        <f t="array" aca="1" ref="G38" ca="1">_xll.RiskPercentile(Release_Year_RP6,0.05)</f>
        <v>#NAME?</v>
      </c>
      <c r="H38" s="113" t="e" cm="1">
        <f t="array" aca="1" ref="H38" ca="1">_xll.RiskPercentile(Release_Year_RP7,0.05)</f>
        <v>#NAME?</v>
      </c>
      <c r="I38" s="113" t="e" cm="1">
        <f t="array" aca="1" ref="I38" ca="1">_xll.RiskPercentile(Release_Year_RP8,0.05)</f>
        <v>#NAME?</v>
      </c>
    </row>
    <row r="39" spans="1:11" x14ac:dyDescent="0.25">
      <c r="A39" s="115" t="s">
        <v>357</v>
      </c>
      <c r="B39" s="113" t="e" cm="1">
        <f t="array" aca="1" ref="B39" ca="1">_xll.RiskMin(Release_Year_RP1)</f>
        <v>#NAME?</v>
      </c>
      <c r="C39" s="114"/>
      <c r="D39" s="113" t="e" cm="1">
        <f t="array" aca="1" ref="D39" ca="1">_xll.RiskMin(Release_Year_RP3)</f>
        <v>#NAME?</v>
      </c>
      <c r="E39" s="113" t="e" cm="1">
        <f t="array" aca="1" ref="E39" ca="1">_xll.RiskMin(Release_Year_RP4)</f>
        <v>#NAME?</v>
      </c>
      <c r="F39" s="113" t="e" cm="1">
        <f t="array" aca="1" ref="F39" ca="1">_xll.RiskMin(Release_Year_RP5)</f>
        <v>#NAME?</v>
      </c>
      <c r="G39" s="113" t="e" cm="1">
        <f t="array" aca="1" ref="G39" ca="1">_xll.RiskMin(Release_Year_RP6)</f>
        <v>#NAME?</v>
      </c>
      <c r="H39" s="113" t="e" cm="1">
        <f t="array" aca="1" ref="H39" ca="1">_xll.RiskMin(Release_Year_RP7)</f>
        <v>#NAME?</v>
      </c>
      <c r="I39" s="113" t="e" cm="1">
        <f t="array" aca="1" ref="I39" ca="1">_xll.RiskMin(Release_Year_RP8)</f>
        <v>#NAME?</v>
      </c>
      <c r="K39" s="117"/>
    </row>
    <row r="40" spans="1:11" x14ac:dyDescent="0.25">
      <c r="A40" s="115" t="s">
        <v>358</v>
      </c>
      <c r="B40" s="113" t="e" cm="1">
        <f t="array" aca="1" ref="B40" ca="1">_xll.RiskMean(Release_Year_RP1)</f>
        <v>#NAME?</v>
      </c>
      <c r="C40" s="114"/>
      <c r="D40" s="113" t="e" cm="1">
        <f t="array" aca="1" ref="D40" ca="1">_xll.RiskMean(Release_Year_RP3)</f>
        <v>#NAME?</v>
      </c>
      <c r="E40" s="113" t="e" cm="1">
        <f t="array" aca="1" ref="E40" ca="1">_xll.RiskMean(Release_Year_RP4)</f>
        <v>#NAME?</v>
      </c>
      <c r="F40" s="113" t="e" cm="1">
        <f t="array" aca="1" ref="F40" ca="1">_xll.RiskMean(Release_Year_RP5)</f>
        <v>#NAME?</v>
      </c>
      <c r="G40" s="113" t="e" cm="1">
        <f t="array" aca="1" ref="G40" ca="1">_xll.RiskMean(Release_Year_RP6)</f>
        <v>#NAME?</v>
      </c>
      <c r="H40" s="113" t="e" cm="1">
        <f t="array" aca="1" ref="H40" ca="1">_xll.RiskMean(Release_Year_RP7)</f>
        <v>#NAME?</v>
      </c>
      <c r="I40" s="113" t="e" cm="1">
        <f t="array" aca="1" ref="I40" ca="1">_xll.RiskMean(Release_Year_RP8)</f>
        <v>#NAME?</v>
      </c>
    </row>
    <row r="41" spans="1:11" x14ac:dyDescent="0.25">
      <c r="A41" s="112"/>
      <c r="B41" s="111"/>
      <c r="C41" s="111"/>
      <c r="D41" s="111"/>
      <c r="E41" s="111"/>
      <c r="F41" s="111"/>
      <c r="G41" s="111"/>
      <c r="H41" s="111"/>
      <c r="I41" s="111"/>
    </row>
    <row r="42" spans="1:11" ht="18" x14ac:dyDescent="0.35">
      <c r="A42" s="28" t="s">
        <v>374</v>
      </c>
      <c r="B42" s="116" t="s">
        <v>375</v>
      </c>
      <c r="C42" s="116" t="s">
        <v>365</v>
      </c>
      <c r="D42" s="116" t="s">
        <v>376</v>
      </c>
      <c r="E42" s="116" t="s">
        <v>377</v>
      </c>
      <c r="F42" s="116" t="s">
        <v>378</v>
      </c>
      <c r="G42" s="116" t="s">
        <v>379</v>
      </c>
      <c r="H42" s="116" t="s">
        <v>380</v>
      </c>
      <c r="I42" s="116" t="s">
        <v>381</v>
      </c>
    </row>
    <row r="43" spans="1:11" x14ac:dyDescent="0.25">
      <c r="A43" s="115" t="s">
        <v>354</v>
      </c>
      <c r="B43" s="113" t="e" cm="1">
        <f t="array" aca="1" ref="B43" ca="1">_xll.RiskMax(Release_Day_RP1)</f>
        <v>#NAME?</v>
      </c>
      <c r="C43" s="114"/>
      <c r="D43" s="113" t="e" cm="1">
        <f t="array" aca="1" ref="D43" ca="1">_xll.RiskMax(Release_Day_RP3)</f>
        <v>#NAME?</v>
      </c>
      <c r="E43" s="113" t="e" cm="1">
        <f t="array" aca="1" ref="E43" ca="1">_xll.RiskMax(Release_Day_RP4)</f>
        <v>#NAME?</v>
      </c>
      <c r="F43" s="113" t="e" cm="1">
        <f t="array" aca="1" ref="F43" ca="1">_xll.RiskMax(Release_Day_RP5)</f>
        <v>#NAME?</v>
      </c>
      <c r="G43" s="113" t="e" cm="1">
        <f t="array" aca="1" ref="G43" ca="1">_xll.RiskMax(Release_Day_RP6)</f>
        <v>#NAME?</v>
      </c>
      <c r="H43" s="113" t="e" cm="1">
        <f t="array" aca="1" ref="H43" ca="1">_xll.RiskMax(Release_Day_RP7)</f>
        <v>#NAME?</v>
      </c>
      <c r="I43" s="113" t="e" cm="1">
        <f t="array" aca="1" ref="I43" ca="1">_xll.RiskMax(Release_Day_RP8)</f>
        <v>#NAME?</v>
      </c>
    </row>
    <row r="44" spans="1:11" x14ac:dyDescent="0.25">
      <c r="A44" s="115" t="s">
        <v>355</v>
      </c>
      <c r="B44" s="113" t="e" cm="1">
        <f t="array" aca="1" ref="B44" ca="1">_xll.RiskPercentile(Release_Day_RP1,0.99)</f>
        <v>#NAME?</v>
      </c>
      <c r="C44" s="114"/>
      <c r="D44" s="113" t="e" cm="1">
        <f t="array" aca="1" ref="D44" ca="1">_xll.RiskPercentile(Release_Day_RP3,0.99)</f>
        <v>#NAME?</v>
      </c>
      <c r="E44" s="113" t="e" cm="1">
        <f t="array" aca="1" ref="E44" ca="1">_xll.RiskPercentile(Release_Day_RP4,0.99)</f>
        <v>#NAME?</v>
      </c>
      <c r="F44" s="113" t="e" cm="1">
        <f t="array" aca="1" ref="F44" ca="1">_xll.RiskPercentile(Release_Day_RP5,0.99)</f>
        <v>#NAME?</v>
      </c>
      <c r="G44" s="113" t="e" cm="1">
        <f t="array" aca="1" ref="G44" ca="1">_xll.RiskPercentile(Release_Day_RP6,0.99)</f>
        <v>#NAME?</v>
      </c>
      <c r="H44" s="113" t="e" cm="1">
        <f t="array" aca="1" ref="H44" ca="1">_xll.RiskPercentile(Release_Day_RP7,0.99)</f>
        <v>#NAME?</v>
      </c>
      <c r="I44" s="113" t="e" cm="1">
        <f t="array" aca="1" ref="I44" ca="1">_xll.RiskPercentile(Release_Day_RP8,0.99)</f>
        <v>#NAME?</v>
      </c>
    </row>
    <row r="45" spans="1:11" x14ac:dyDescent="0.25">
      <c r="A45" s="115" t="s">
        <v>53</v>
      </c>
      <c r="B45" s="113" t="e" cm="1">
        <f t="array" aca="1" ref="B45" ca="1">_xll.RiskPercentile(Release_Day_RP1,0.95)</f>
        <v>#NAME?</v>
      </c>
      <c r="C45" s="114"/>
      <c r="D45" s="113" t="e" cm="1">
        <f t="array" aca="1" ref="D45" ca="1">_xll.RiskPercentile(Release_Day_RP3,0.95)</f>
        <v>#NAME?</v>
      </c>
      <c r="E45" s="113" t="e" cm="1">
        <f t="array" aca="1" ref="E45" ca="1">_xll.RiskPercentile(Release_Day_RP4,0.95)</f>
        <v>#NAME?</v>
      </c>
      <c r="F45" s="113" t="e" cm="1">
        <f t="array" aca="1" ref="F45" ca="1">_xll.RiskPercentile(Release_Day_RP5,0.95)</f>
        <v>#NAME?</v>
      </c>
      <c r="G45" s="113" t="e" cm="1">
        <f t="array" aca="1" ref="G45" ca="1">_xll.RiskPercentile(Release_Day_RP6,0.95)</f>
        <v>#NAME?</v>
      </c>
      <c r="H45" s="113" t="e" cm="1">
        <f t="array" aca="1" ref="H45" ca="1">_xll.RiskPercentile(Release_Day_RP7,0.95)</f>
        <v>#NAME?</v>
      </c>
      <c r="I45" s="113" t="e" cm="1">
        <f t="array" aca="1" ref="I45" ca="1">_xll.RiskPercentile(Release_Day_RP8,0.95)</f>
        <v>#NAME?</v>
      </c>
    </row>
    <row r="46" spans="1:11" x14ac:dyDescent="0.25">
      <c r="A46" s="115" t="s">
        <v>20</v>
      </c>
      <c r="B46" s="113" t="e" cm="1">
        <f t="array" aca="1" ref="B46" ca="1">_xll.RiskPercentile(Release_Day_RP1,0.5)</f>
        <v>#NAME?</v>
      </c>
      <c r="C46" s="114"/>
      <c r="D46" s="113" t="e" cm="1">
        <f t="array" aca="1" ref="D46" ca="1">_xll.RiskPercentile(Release_Day_RP3,0.5)</f>
        <v>#NAME?</v>
      </c>
      <c r="E46" s="113" t="e" cm="1">
        <f t="array" aca="1" ref="E46" ca="1">_xll.RiskPercentile(Release_Day_RP4,0.5)</f>
        <v>#NAME?</v>
      </c>
      <c r="F46" s="113" t="e" cm="1">
        <f t="array" aca="1" ref="F46" ca="1">_xll.RiskPercentile(Release_Day_RP5,0.5)</f>
        <v>#NAME?</v>
      </c>
      <c r="G46" s="113" t="e" cm="1">
        <f t="array" aca="1" ref="G46" ca="1">_xll.RiskPercentile(Release_Day_RP6,0.5)</f>
        <v>#NAME?</v>
      </c>
      <c r="H46" s="113" t="e" cm="1">
        <f t="array" aca="1" ref="H46" ca="1">_xll.RiskPercentile(Release_Day_RP7,0.5)</f>
        <v>#NAME?</v>
      </c>
      <c r="I46" s="113" t="e" cm="1">
        <f t="array" aca="1" ref="I46" ca="1">_xll.RiskPercentile(Release_Day_RP8,0.5)</f>
        <v>#NAME?</v>
      </c>
    </row>
    <row r="47" spans="1:11" x14ac:dyDescent="0.25">
      <c r="A47" s="115" t="s">
        <v>356</v>
      </c>
      <c r="B47" s="113" t="e" cm="1">
        <f t="array" aca="1" ref="B47" ca="1">_xll.RiskPercentile(Release_Day_RP1,0.05)</f>
        <v>#NAME?</v>
      </c>
      <c r="C47" s="114"/>
      <c r="D47" s="113" t="e" cm="1">
        <f t="array" aca="1" ref="D47" ca="1">_xll.RiskPercentile(Release_Day_RP3,0.05)</f>
        <v>#NAME?</v>
      </c>
      <c r="E47" s="113" t="e" cm="1">
        <f t="array" aca="1" ref="E47" ca="1">_xll.RiskPercentile(Release_Day_RP4,0.05)</f>
        <v>#NAME?</v>
      </c>
      <c r="F47" s="113" t="e" cm="1">
        <f t="array" aca="1" ref="F47" ca="1">_xll.RiskPercentile(Release_Day_RP5,0.05)</f>
        <v>#NAME?</v>
      </c>
      <c r="G47" s="113" t="e" cm="1">
        <f t="array" aca="1" ref="G47" ca="1">_xll.RiskPercentile(Release_Day_RP6,0.05)</f>
        <v>#NAME?</v>
      </c>
      <c r="H47" s="113" t="e" cm="1">
        <f t="array" aca="1" ref="H47" ca="1">_xll.RiskPercentile(Release_Day_RP7,0.05)</f>
        <v>#NAME?</v>
      </c>
      <c r="I47" s="113" t="e" cm="1">
        <f t="array" aca="1" ref="I47" ca="1">_xll.RiskPercentile(Release_Day_RP8,0.05)</f>
        <v>#NAME?</v>
      </c>
    </row>
    <row r="48" spans="1:11" x14ac:dyDescent="0.25">
      <c r="A48" s="115" t="s">
        <v>357</v>
      </c>
      <c r="B48" s="113" t="e" cm="1">
        <f t="array" aca="1" ref="B48" ca="1">_xll.RiskMin(Release_Day_RP1)</f>
        <v>#NAME?</v>
      </c>
      <c r="C48" s="114"/>
      <c r="D48" s="113" t="e" cm="1">
        <f t="array" aca="1" ref="D48" ca="1">_xll.RiskMin(Release_Day_RP3)</f>
        <v>#NAME?</v>
      </c>
      <c r="E48" s="113" t="e" cm="1">
        <f t="array" aca="1" ref="E48" ca="1">_xll.RiskMin(Release_Day_RP4)</f>
        <v>#NAME?</v>
      </c>
      <c r="F48" s="113" t="e" cm="1">
        <f t="array" aca="1" ref="F48" ca="1">_xll.RiskMin(Release_Day_RP5)</f>
        <v>#NAME?</v>
      </c>
      <c r="G48" s="113" t="e" cm="1">
        <f t="array" aca="1" ref="G48" ca="1">_xll.RiskMin(Release_Day_RP6)</f>
        <v>#NAME?</v>
      </c>
      <c r="H48" s="113" t="e" cm="1">
        <f t="array" aca="1" ref="H48" ca="1">_xll.RiskMin(Release_Day_RP7)</f>
        <v>#NAME?</v>
      </c>
      <c r="I48" s="113" t="e" cm="1">
        <f t="array" aca="1" ref="I48" ca="1">_xll.RiskMin(Release_Day_RP8)</f>
        <v>#NAME?</v>
      </c>
    </row>
    <row r="49" spans="1:9" x14ac:dyDescent="0.25">
      <c r="A49" s="115" t="s">
        <v>358</v>
      </c>
      <c r="B49" s="113" t="e" cm="1">
        <f t="array" aca="1" ref="B49" ca="1">_xll.RiskMean(Release_Day_RP1)</f>
        <v>#NAME?</v>
      </c>
      <c r="C49" s="114"/>
      <c r="D49" s="113" t="e" cm="1">
        <f t="array" aca="1" ref="D49" ca="1">_xll.RiskMean(Release_Day_RP3)</f>
        <v>#NAME?</v>
      </c>
      <c r="E49" s="113" t="e" cm="1">
        <f t="array" aca="1" ref="E49" ca="1">_xll.RiskMean(Release_Day_RP4)</f>
        <v>#NAME?</v>
      </c>
      <c r="F49" s="113" t="e" cm="1">
        <f t="array" aca="1" ref="F49" ca="1">_xll.RiskMean(Release_Day_RP5)</f>
        <v>#NAME?</v>
      </c>
      <c r="G49" s="113" t="e" cm="1">
        <f t="array" aca="1" ref="G49" ca="1">_xll.RiskMean(Release_Day_RP6)</f>
        <v>#NAME?</v>
      </c>
      <c r="H49" s="113" t="e" cm="1">
        <f t="array" aca="1" ref="H49" ca="1">_xll.RiskMean(Release_Day_RP7)</f>
        <v>#NAME?</v>
      </c>
      <c r="I49" s="113" t="e" cm="1">
        <f t="array" aca="1" ref="I49" ca="1">_xll.RiskMean(Release_Day_RP8)</f>
        <v>#NAME?</v>
      </c>
    </row>
    <row r="50" spans="1:9" x14ac:dyDescent="0.25">
      <c r="A50" s="112"/>
      <c r="B50" s="111"/>
      <c r="C50" s="111"/>
      <c r="D50" s="111"/>
      <c r="E50" s="111"/>
      <c r="F50" s="111"/>
      <c r="G50" s="111"/>
      <c r="H50" s="111"/>
      <c r="I50" s="111"/>
    </row>
    <row r="51" spans="1:9" ht="30" x14ac:dyDescent="0.25">
      <c r="A51" s="119" t="s">
        <v>382</v>
      </c>
      <c r="B51" s="116" t="s">
        <v>383</v>
      </c>
      <c r="C51" s="116" t="s">
        <v>365</v>
      </c>
      <c r="D51" s="116" t="s">
        <v>384</v>
      </c>
      <c r="E51" s="116" t="s">
        <v>385</v>
      </c>
      <c r="F51" s="116" t="s">
        <v>386</v>
      </c>
      <c r="G51" s="116" t="s">
        <v>387</v>
      </c>
      <c r="H51" s="116" t="s">
        <v>388</v>
      </c>
      <c r="I51" s="116" t="s">
        <v>389</v>
      </c>
    </row>
    <row r="52" spans="1:9" x14ac:dyDescent="0.25">
      <c r="A52" s="115" t="s">
        <v>354</v>
      </c>
      <c r="B52" s="113" t="e" cm="1">
        <f t="array" aca="1" ref="B52" ca="1">_xll.RiskMax(OHunload_day)</f>
        <v>#NAME?</v>
      </c>
      <c r="C52" s="114"/>
      <c r="D52" s="114"/>
      <c r="E52" s="113" t="e" cm="1">
        <f t="array" aca="1" ref="E52" ca="1">_xll.RiskMax(OHunload_day)</f>
        <v>#NAME?</v>
      </c>
      <c r="F52" s="114"/>
      <c r="G52" s="113" t="e" cm="1">
        <f t="array" aca="1" ref="G52" ca="1">_xll.RiskMax(OHcont_cleaning)</f>
        <v>#NAME?</v>
      </c>
      <c r="H52" s="113" t="e" cm="1">
        <f t="array" aca="1" ref="H52" ca="1">_xll.RiskMax(OHlab_testing_day)</f>
        <v>#NAME?</v>
      </c>
      <c r="I52" s="114"/>
    </row>
    <row r="53" spans="1:9" ht="15" customHeight="1" x14ac:dyDescent="0.25">
      <c r="A53" s="115" t="s">
        <v>355</v>
      </c>
      <c r="B53" s="113" t="e" cm="1">
        <f t="array" aca="1" ref="B53" ca="1">_xll.RiskPercentile(OHunload_day,0.99)</f>
        <v>#NAME?</v>
      </c>
      <c r="C53" s="114"/>
      <c r="D53" s="114"/>
      <c r="E53" s="113" t="e" cm="1">
        <f t="array" aca="1" ref="E53" ca="1">_xll.RiskPercentile(OHunload_day,0.99)</f>
        <v>#NAME?</v>
      </c>
      <c r="F53" s="114"/>
      <c r="G53" s="113" t="e" cm="1">
        <f t="array" aca="1" ref="G53" ca="1">_xll.RiskPercentile(OHcont_cleaning,0.99)</f>
        <v>#NAME?</v>
      </c>
      <c r="H53" s="113" t="e" cm="1">
        <f t="array" aca="1" ref="H53" ca="1">_xll.RiskPercentile(OHlab_testing_day,0.99)</f>
        <v>#NAME?</v>
      </c>
      <c r="I53" s="114"/>
    </row>
    <row r="54" spans="1:9" ht="20.25" customHeight="1" x14ac:dyDescent="0.25">
      <c r="A54" s="115" t="s">
        <v>53</v>
      </c>
      <c r="B54" s="113" t="e" cm="1">
        <f t="array" aca="1" ref="B54" ca="1">_xll.RiskPercentile(OHunload_day,0.95)</f>
        <v>#NAME?</v>
      </c>
      <c r="C54" s="114"/>
      <c r="D54" s="114"/>
      <c r="E54" s="113" t="e" cm="1">
        <f t="array" aca="1" ref="E54" ca="1">_xll.RiskPercentile(OHunload_day,0.95)</f>
        <v>#NAME?</v>
      </c>
      <c r="F54" s="114"/>
      <c r="G54" s="113" t="e" cm="1">
        <f t="array" aca="1" ref="G54" ca="1">_xll.RiskPercentile(OHcont_cleaning,0.95)</f>
        <v>#NAME?</v>
      </c>
      <c r="H54" s="113" t="e" cm="1">
        <f t="array" aca="1" ref="H54" ca="1">_xll.RiskPercentile(OHlab_testing_day,0.95)</f>
        <v>#NAME?</v>
      </c>
      <c r="I54" s="114"/>
    </row>
    <row r="55" spans="1:9" x14ac:dyDescent="0.25">
      <c r="A55" s="115" t="s">
        <v>20</v>
      </c>
      <c r="B55" s="113" t="e" cm="1">
        <f t="array" aca="1" ref="B55" ca="1">_xll.RiskPercentile(OHunload_day,0.5)</f>
        <v>#NAME?</v>
      </c>
      <c r="C55" s="114"/>
      <c r="D55" s="114"/>
      <c r="E55" s="113" t="e" cm="1">
        <f t="array" aca="1" ref="E55" ca="1">_xll.RiskPercentile(OHunload_day,0.5)</f>
        <v>#NAME?</v>
      </c>
      <c r="F55" s="114"/>
      <c r="G55" s="113" t="e" cm="1">
        <f t="array" aca="1" ref="G55" ca="1">_xll.RiskPercentile(OHcont_cleaning,0.5)</f>
        <v>#NAME?</v>
      </c>
      <c r="H55" s="113" t="e" cm="1">
        <f t="array" aca="1" ref="H55" ca="1">_xll.RiskPercentile(OHlab_testing_day,0.5)</f>
        <v>#NAME?</v>
      </c>
      <c r="I55" s="114"/>
    </row>
    <row r="56" spans="1:9" x14ac:dyDescent="0.25">
      <c r="A56" s="115" t="s">
        <v>356</v>
      </c>
      <c r="B56" s="113" t="e" cm="1">
        <f t="array" aca="1" ref="B56" ca="1">_xll.RiskPercentile(OHunload_day,0.05)</f>
        <v>#NAME?</v>
      </c>
      <c r="C56" s="114"/>
      <c r="D56" s="114"/>
      <c r="E56" s="113" t="e" cm="1">
        <f t="array" aca="1" ref="E56" ca="1">_xll.RiskPercentile(OHunload_day,0.05)</f>
        <v>#NAME?</v>
      </c>
      <c r="F56" s="114"/>
      <c r="G56" s="113" t="e" cm="1">
        <f t="array" aca="1" ref="G56" ca="1">_xll.RiskPercentile(OHcont_cleaning,0.05)</f>
        <v>#NAME?</v>
      </c>
      <c r="H56" s="113" t="e" cm="1">
        <f t="array" aca="1" ref="H56" ca="1">_xll.RiskPercentile(OHlab_testing_day,0.05)</f>
        <v>#NAME?</v>
      </c>
      <c r="I56" s="114"/>
    </row>
    <row r="57" spans="1:9" x14ac:dyDescent="0.25">
      <c r="A57" s="115" t="s">
        <v>357</v>
      </c>
      <c r="B57" s="113" t="e" cm="1">
        <f t="array" aca="1" ref="B57" ca="1">_xll.RiskMin(OHunload_day)</f>
        <v>#NAME?</v>
      </c>
      <c r="C57" s="114"/>
      <c r="D57" s="114"/>
      <c r="E57" s="113" t="e" cm="1">
        <f t="array" aca="1" ref="E57" ca="1">_xll.RiskMin(OHunload_day)</f>
        <v>#NAME?</v>
      </c>
      <c r="F57" s="114"/>
      <c r="G57" s="113" t="e" cm="1">
        <f t="array" aca="1" ref="G57" ca="1">_xll.RiskMin(OHcont_cleaning)</f>
        <v>#NAME?</v>
      </c>
      <c r="H57" s="113" t="e" cm="1">
        <f t="array" aca="1" ref="H57" ca="1">_xll.RiskMin(OHlab_testing_day)</f>
        <v>#NAME?</v>
      </c>
      <c r="I57" s="114"/>
    </row>
    <row r="58" spans="1:9" x14ac:dyDescent="0.25">
      <c r="A58" s="115" t="s">
        <v>358</v>
      </c>
      <c r="B58" s="113" t="e" cm="1">
        <f t="array" aca="1" ref="B58" ca="1">_xll.RiskMean(OHunload_day)</f>
        <v>#NAME?</v>
      </c>
      <c r="C58" s="114"/>
      <c r="D58" s="114"/>
      <c r="E58" s="113" t="e" cm="1">
        <f t="array" aca="1" ref="E58" ca="1">_xll.RiskMean(OHunload_day)</f>
        <v>#NAME?</v>
      </c>
      <c r="F58" s="114"/>
      <c r="G58" s="113" t="e" cm="1">
        <f t="array" aca="1" ref="G58" ca="1">_xll.RiskMean(OHcont_cleaning)</f>
        <v>#NAME?</v>
      </c>
      <c r="H58" s="113" t="e" cm="1">
        <f t="array" aca="1" ref="H58" ca="1">_xll.RiskMean(OHlab_testing_day)</f>
        <v>#NAME?</v>
      </c>
      <c r="I58" s="114"/>
    </row>
    <row r="59" spans="1:9" ht="29.25" customHeight="1" x14ac:dyDescent="0.25">
      <c r="A59" s="112"/>
      <c r="B59" s="111"/>
      <c r="C59" s="111"/>
      <c r="D59" s="111"/>
      <c r="E59" s="111"/>
      <c r="F59" s="111"/>
      <c r="G59" s="111"/>
      <c r="H59" s="111"/>
      <c r="I59" s="111"/>
    </row>
    <row r="60" spans="1:9" ht="30" x14ac:dyDescent="0.25">
      <c r="A60" s="119" t="s">
        <v>390</v>
      </c>
      <c r="B60" s="116" t="s">
        <v>391</v>
      </c>
      <c r="C60" s="116" t="s">
        <v>365</v>
      </c>
      <c r="D60" s="116" t="s">
        <v>392</v>
      </c>
      <c r="E60" s="116" t="s">
        <v>393</v>
      </c>
      <c r="F60" s="116" t="s">
        <v>394</v>
      </c>
      <c r="G60" s="116" t="s">
        <v>395</v>
      </c>
      <c r="H60" s="116" t="s">
        <v>396</v>
      </c>
      <c r="I60" s="116" t="s">
        <v>397</v>
      </c>
    </row>
    <row r="61" spans="1:9" x14ac:dyDescent="0.25">
      <c r="A61" s="115" t="s">
        <v>354</v>
      </c>
      <c r="B61" s="113" t="e" cm="1">
        <f t="array" aca="1" ref="B61" ca="1">_xll.RiskMax(OHunload_yr)</f>
        <v>#NAME?</v>
      </c>
      <c r="C61" s="114"/>
      <c r="D61" s="114"/>
      <c r="E61" s="113" t="e" cm="1">
        <f t="array" aca="1" ref="E61" ca="1">_xll.RiskMax(OHunload_yr)</f>
        <v>#NAME?</v>
      </c>
      <c r="F61" s="114"/>
      <c r="G61" s="113" t="e" cm="1">
        <f t="array" aca="1" ref="G61" ca="1">_xll.RiskMax(OHcont_cleaning_yr)</f>
        <v>#NAME?</v>
      </c>
      <c r="H61" s="113" t="e" cm="1">
        <f t="array" aca="1" ref="H61" ca="1">_xll.RiskMax(OHlab_testing_yr)</f>
        <v>#NAME?</v>
      </c>
      <c r="I61" s="114"/>
    </row>
    <row r="62" spans="1:9" x14ac:dyDescent="0.25">
      <c r="A62" s="115" t="s">
        <v>355</v>
      </c>
      <c r="B62" s="113" t="e" cm="1">
        <f t="array" aca="1" ref="B62" ca="1">_xll.RiskPercentile(OHunload_yr,0.99)</f>
        <v>#NAME?</v>
      </c>
      <c r="C62" s="114"/>
      <c r="D62" s="114"/>
      <c r="E62" s="113" t="e" cm="1">
        <f t="array" aca="1" ref="E62" ca="1">_xll.RiskPercentile(OHunload_yr,0.99)</f>
        <v>#NAME?</v>
      </c>
      <c r="F62" s="114"/>
      <c r="G62" s="113" t="e" cm="1">
        <f t="array" aca="1" ref="G62" ca="1">_xll.RiskPercentile(OHcont_cleaning_yr,0.99)</f>
        <v>#NAME?</v>
      </c>
      <c r="H62" s="113" t="e" cm="1">
        <f t="array" aca="1" ref="H62" ca="1">_xll.RiskPercentile(OHlab_testing_yr,0.99)</f>
        <v>#NAME?</v>
      </c>
      <c r="I62" s="114"/>
    </row>
    <row r="63" spans="1:9" x14ac:dyDescent="0.25">
      <c r="A63" s="115" t="s">
        <v>53</v>
      </c>
      <c r="B63" s="113" t="e" cm="1">
        <f t="array" aca="1" ref="B63" ca="1">_xll.RiskPercentile(OHunload_yr,0.95)</f>
        <v>#NAME?</v>
      </c>
      <c r="C63" s="114"/>
      <c r="D63" s="114"/>
      <c r="E63" s="113" t="e" cm="1">
        <f t="array" aca="1" ref="E63" ca="1">_xll.RiskPercentile(OHunload_yr,0.95)</f>
        <v>#NAME?</v>
      </c>
      <c r="F63" s="114"/>
      <c r="G63" s="113" t="e" cm="1">
        <f t="array" aca="1" ref="G63" ca="1">_xll.RiskPercentile(OHcont_cleaning_yr,0.95)</f>
        <v>#NAME?</v>
      </c>
      <c r="H63" s="113" t="e" cm="1">
        <f t="array" aca="1" ref="H63" ca="1">_xll.RiskPercentile(OHlab_testing_yr,0.95)</f>
        <v>#NAME?</v>
      </c>
      <c r="I63" s="114"/>
    </row>
    <row r="64" spans="1:9" x14ac:dyDescent="0.25">
      <c r="A64" s="115" t="s">
        <v>20</v>
      </c>
      <c r="B64" s="113" t="e" cm="1">
        <f t="array" aca="1" ref="B64" ca="1">_xll.RiskPercentile(OHunload_yr,0.5)</f>
        <v>#NAME?</v>
      </c>
      <c r="C64" s="114"/>
      <c r="D64" s="114"/>
      <c r="E64" s="113" t="e" cm="1">
        <f t="array" aca="1" ref="E64" ca="1">_xll.RiskPercentile(OHunload_yr,0.5)</f>
        <v>#NAME?</v>
      </c>
      <c r="F64" s="114"/>
      <c r="G64" s="113" t="e" cm="1">
        <f t="array" aca="1" ref="G64" ca="1">_xll.RiskPercentile(OHcont_cleaning_yr,0.5)</f>
        <v>#NAME?</v>
      </c>
      <c r="H64" s="113" t="e" cm="1">
        <f t="array" aca="1" ref="H64" ca="1">_xll.RiskPercentile(OHlab_testing_yr,0.5)</f>
        <v>#NAME?</v>
      </c>
      <c r="I64" s="114"/>
    </row>
    <row r="65" spans="1:9" x14ac:dyDescent="0.25">
      <c r="A65" s="115" t="s">
        <v>356</v>
      </c>
      <c r="B65" s="113" t="e" cm="1">
        <f t="array" aca="1" ref="B65" ca="1">_xll.RiskPercentile(OHunload_yr,0.05)</f>
        <v>#NAME?</v>
      </c>
      <c r="C65" s="114"/>
      <c r="D65" s="114"/>
      <c r="E65" s="113" t="e" cm="1">
        <f t="array" aca="1" ref="E65" ca="1">_xll.RiskPercentile(OHunload_yr,0.05)</f>
        <v>#NAME?</v>
      </c>
      <c r="F65" s="114"/>
      <c r="G65" s="113" t="e" cm="1">
        <f t="array" aca="1" ref="G65" ca="1">_xll.RiskPercentile(OHcont_cleaning_yr,0.05)</f>
        <v>#NAME?</v>
      </c>
      <c r="H65" s="113" t="e" cm="1">
        <f t="array" aca="1" ref="H65" ca="1">_xll.RiskPercentile(OHlab_testing_yr,0.05)</f>
        <v>#NAME?</v>
      </c>
      <c r="I65" s="114"/>
    </row>
    <row r="66" spans="1:9" x14ac:dyDescent="0.25">
      <c r="A66" s="115" t="s">
        <v>357</v>
      </c>
      <c r="B66" s="113" t="e" cm="1">
        <f t="array" aca="1" ref="B66" ca="1">_xll.RiskMin(OHunload_yr)</f>
        <v>#NAME?</v>
      </c>
      <c r="C66" s="114"/>
      <c r="D66" s="114"/>
      <c r="E66" s="113" t="e" cm="1">
        <f t="array" aca="1" ref="E66" ca="1">_xll.RiskMin(OHunload_yr)</f>
        <v>#NAME?</v>
      </c>
      <c r="F66" s="114"/>
      <c r="G66" s="113" t="e" cm="1">
        <f t="array" aca="1" ref="G66" ca="1">_xll.RiskMin(OHcont_cleaning_yr)</f>
        <v>#NAME?</v>
      </c>
      <c r="H66" s="113" t="e" cm="1">
        <f t="array" aca="1" ref="H66" ca="1">_xll.RiskMin(OHlab_testing_yr)</f>
        <v>#NAME?</v>
      </c>
      <c r="I66" s="114"/>
    </row>
    <row r="67" spans="1:9" x14ac:dyDescent="0.25">
      <c r="A67" s="115" t="s">
        <v>358</v>
      </c>
      <c r="B67" s="113" t="e" cm="1">
        <f t="array" aca="1" ref="B67" ca="1">_xll.RiskMean(OHunload_yr)</f>
        <v>#NAME?</v>
      </c>
      <c r="C67" s="114"/>
      <c r="D67" s="114"/>
      <c r="E67" s="113" t="e" cm="1">
        <f t="array" aca="1" ref="E67" ca="1">_xll.RiskMean(OHunload_yr)</f>
        <v>#NAME?</v>
      </c>
      <c r="F67" s="114"/>
      <c r="G67" s="113" t="e" cm="1">
        <f t="array" aca="1" ref="G67" ca="1">_xll.RiskMean(OHcont_cleaning_yr)</f>
        <v>#NAME?</v>
      </c>
      <c r="H67" s="113" t="e" cm="1">
        <f t="array" aca="1" ref="H67" ca="1">_xll.RiskMean(OHlab_testing_yr)</f>
        <v>#NAME?</v>
      </c>
      <c r="I67" s="114"/>
    </row>
    <row r="68" spans="1:9" x14ac:dyDescent="0.25">
      <c r="A68"/>
    </row>
    <row r="69" spans="1:9" x14ac:dyDescent="0.25">
      <c r="A69"/>
    </row>
    <row r="70" spans="1:9" x14ac:dyDescent="0.25">
      <c r="A70"/>
    </row>
    <row r="71" spans="1:9" x14ac:dyDescent="0.25">
      <c r="A71"/>
    </row>
    <row r="72" spans="1:9" x14ac:dyDescent="0.25">
      <c r="A72"/>
    </row>
    <row r="73" spans="1:9" x14ac:dyDescent="0.25">
      <c r="A73"/>
    </row>
    <row r="74" spans="1:9" x14ac:dyDescent="0.25">
      <c r="A74"/>
    </row>
    <row r="75" spans="1:9" x14ac:dyDescent="0.25">
      <c r="A75"/>
    </row>
    <row r="76" spans="1:9" x14ac:dyDescent="0.25">
      <c r="A76"/>
    </row>
    <row r="77" spans="1:9" x14ac:dyDescent="0.25">
      <c r="A77"/>
    </row>
    <row r="78" spans="1:9" x14ac:dyDescent="0.25">
      <c r="A78"/>
    </row>
    <row r="79" spans="1:9" x14ac:dyDescent="0.25">
      <c r="A79"/>
    </row>
    <row r="80" spans="1:9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  <row r="95" spans="1:1" x14ac:dyDescent="0.25">
      <c r="A95"/>
    </row>
    <row r="96" spans="1:1" x14ac:dyDescent="0.25">
      <c r="A96"/>
    </row>
  </sheetData>
  <sheetProtection sheet="1" objects="1" scenarios="1" formatCells="0" formatColumns="0" formatRows="0"/>
  <mergeCells count="4">
    <mergeCell ref="A1:B1"/>
    <mergeCell ref="A4:B4"/>
    <mergeCell ref="B8:C8"/>
    <mergeCell ref="B28:I28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1F7D2F-BAE3-40AE-9CF8-506D9D9A96DB}">
  <sheetPr>
    <tabColor rgb="FF00B050"/>
  </sheetPr>
  <dimension ref="A1:L94"/>
  <sheetViews>
    <sheetView workbookViewId="0">
      <selection activeCell="C1" sqref="C1"/>
    </sheetView>
  </sheetViews>
  <sheetFormatPr defaultRowHeight="15" x14ac:dyDescent="0.25"/>
  <cols>
    <col min="1" max="1" width="23.28515625" style="11" customWidth="1"/>
    <col min="2" max="2" width="19.85546875" customWidth="1"/>
    <col min="3" max="12" width="21.7109375" customWidth="1"/>
    <col min="13" max="13" width="7.5703125" customWidth="1"/>
  </cols>
  <sheetData>
    <row r="1" spans="1:12" x14ac:dyDescent="0.25">
      <c r="A1" s="253" t="s">
        <v>340</v>
      </c>
      <c r="B1" s="254"/>
    </row>
    <row r="2" spans="1:12" x14ac:dyDescent="0.25">
      <c r="A2" s="177" t="s">
        <v>22</v>
      </c>
      <c r="B2" s="48">
        <v>1</v>
      </c>
    </row>
    <row r="4" spans="1:12" ht="15" customHeight="1" x14ac:dyDescent="0.25">
      <c r="A4" s="253" t="s">
        <v>341</v>
      </c>
      <c r="B4" s="254"/>
    </row>
    <row r="5" spans="1:12" x14ac:dyDescent="0.25">
      <c r="A5" s="58" t="s">
        <v>342</v>
      </c>
      <c r="B5" s="127">
        <v>100000</v>
      </c>
    </row>
    <row r="6" spans="1:12" x14ac:dyDescent="0.25">
      <c r="A6" s="58" t="s">
        <v>343</v>
      </c>
      <c r="B6" s="47" t="s">
        <v>344</v>
      </c>
    </row>
    <row r="8" spans="1:12" x14ac:dyDescent="0.25">
      <c r="A8"/>
      <c r="B8" s="255" t="s">
        <v>345</v>
      </c>
      <c r="C8" s="255"/>
      <c r="D8" s="33"/>
      <c r="E8" s="33"/>
    </row>
    <row r="9" spans="1:12" ht="45" x14ac:dyDescent="0.25">
      <c r="A9" s="28" t="s">
        <v>346</v>
      </c>
      <c r="B9" s="126" t="s">
        <v>347</v>
      </c>
      <c r="C9" s="126" t="s">
        <v>66</v>
      </c>
      <c r="E9" s="28" t="s">
        <v>348</v>
      </c>
      <c r="F9" s="124" t="s">
        <v>398</v>
      </c>
      <c r="H9" s="28" t="s">
        <v>350</v>
      </c>
      <c r="I9" s="124" t="s">
        <v>399</v>
      </c>
      <c r="K9" s="28" t="s">
        <v>352</v>
      </c>
      <c r="L9" s="124" t="s">
        <v>400</v>
      </c>
    </row>
    <row r="10" spans="1:12" x14ac:dyDescent="0.25">
      <c r="A10" s="122" t="s">
        <v>354</v>
      </c>
      <c r="B10" s="113">
        <v>28.214444521963163</v>
      </c>
      <c r="C10" s="113">
        <v>1252.2669901729591</v>
      </c>
      <c r="E10" s="122" t="s">
        <v>354</v>
      </c>
      <c r="F10" s="121">
        <v>1259.3105865264999</v>
      </c>
      <c r="H10" s="122" t="s">
        <v>354</v>
      </c>
      <c r="I10" s="121">
        <v>4.9191819786191404</v>
      </c>
      <c r="K10" s="122" t="s">
        <v>354</v>
      </c>
      <c r="L10" s="121">
        <v>3996.6621336237072</v>
      </c>
    </row>
    <row r="11" spans="1:12" x14ac:dyDescent="0.25">
      <c r="A11" s="122" t="s">
        <v>355</v>
      </c>
      <c r="B11" s="113">
        <v>14.486781387337135</v>
      </c>
      <c r="C11" s="113">
        <v>1002.8632328289938</v>
      </c>
      <c r="E11" s="122" t="s">
        <v>355</v>
      </c>
      <c r="F11" s="121">
        <v>1011.2522077464033</v>
      </c>
      <c r="H11" s="122" t="s">
        <v>355</v>
      </c>
      <c r="I11" s="121">
        <v>4.2740461893924264</v>
      </c>
      <c r="K11" s="122" t="s">
        <v>355</v>
      </c>
      <c r="L11" s="121">
        <v>3717.1727490638427</v>
      </c>
    </row>
    <row r="12" spans="1:12" x14ac:dyDescent="0.25">
      <c r="A12" s="122" t="s">
        <v>53</v>
      </c>
      <c r="B12" s="113">
        <v>10.522068891252342</v>
      </c>
      <c r="C12" s="113">
        <v>812.03649968494437</v>
      </c>
      <c r="E12" s="122" t="s">
        <v>53</v>
      </c>
      <c r="F12" s="121">
        <v>819.85333985880936</v>
      </c>
      <c r="H12" s="122" t="s">
        <v>53</v>
      </c>
      <c r="I12" s="121">
        <v>3.5313873970293606</v>
      </c>
      <c r="K12" s="122" t="s">
        <v>53</v>
      </c>
      <c r="L12" s="121">
        <v>3367.5242725440307</v>
      </c>
    </row>
    <row r="13" spans="1:12" x14ac:dyDescent="0.25">
      <c r="A13" s="122" t="s">
        <v>20</v>
      </c>
      <c r="B13" s="113">
        <v>1.6968782416399115</v>
      </c>
      <c r="C13" s="113">
        <v>15.025052860880812</v>
      </c>
      <c r="E13" s="122" t="s">
        <v>20</v>
      </c>
      <c r="F13" s="121">
        <v>16.715861992246992</v>
      </c>
      <c r="H13" s="122" t="s">
        <v>20</v>
      </c>
      <c r="I13" s="121">
        <v>7.2191832291652269E-2</v>
      </c>
      <c r="K13" s="122" t="s">
        <v>20</v>
      </c>
      <c r="L13" s="121">
        <v>2000.1177738956071</v>
      </c>
    </row>
    <row r="14" spans="1:12" x14ac:dyDescent="0.25">
      <c r="A14" s="122" t="s">
        <v>356</v>
      </c>
      <c r="B14" s="113">
        <v>0.48603471765056389</v>
      </c>
      <c r="C14" s="113">
        <v>4.4210960013401088</v>
      </c>
      <c r="E14" s="122" t="s">
        <v>356</v>
      </c>
      <c r="F14" s="121">
        <v>4.9302000234364947</v>
      </c>
      <c r="H14" s="122" t="s">
        <v>356</v>
      </c>
      <c r="I14" s="121">
        <v>2.1581459675448562E-2</v>
      </c>
      <c r="K14" s="122" t="s">
        <v>356</v>
      </c>
      <c r="L14" s="121">
        <v>632.83667839682641</v>
      </c>
    </row>
    <row r="15" spans="1:12" x14ac:dyDescent="0.25">
      <c r="A15" s="122" t="s">
        <v>357</v>
      </c>
      <c r="B15" s="113">
        <v>4.8452375995192368E-3</v>
      </c>
      <c r="C15" s="113">
        <v>4.9657442273974339E-2</v>
      </c>
      <c r="E15" s="122" t="s">
        <v>357</v>
      </c>
      <c r="F15" s="121">
        <v>5.4502679873493574E-2</v>
      </c>
      <c r="H15" s="122" t="s">
        <v>357</v>
      </c>
      <c r="I15" s="132">
        <v>2.252176854276594E-4</v>
      </c>
      <c r="K15" s="122" t="s">
        <v>357</v>
      </c>
      <c r="L15" s="121">
        <v>7.9861595485145696</v>
      </c>
    </row>
    <row r="16" spans="1:12" x14ac:dyDescent="0.25">
      <c r="A16" s="122" t="s">
        <v>358</v>
      </c>
      <c r="B16" s="113">
        <v>3.4035156615194335</v>
      </c>
      <c r="C16" s="113">
        <v>192.9852858596399</v>
      </c>
      <c r="E16" s="122" t="s">
        <v>358</v>
      </c>
      <c r="F16" s="121">
        <v>196.38880152115786</v>
      </c>
      <c r="H16" s="122" t="s">
        <v>358</v>
      </c>
      <c r="I16" s="121">
        <v>0.84895455412091092</v>
      </c>
      <c r="K16" s="122" t="s">
        <v>358</v>
      </c>
      <c r="L16" s="121">
        <v>2000.1668075194984</v>
      </c>
    </row>
    <row r="17" spans="1:12" x14ac:dyDescent="0.25">
      <c r="A17" s="112"/>
      <c r="B17" s="112"/>
      <c r="C17" s="112"/>
    </row>
    <row r="18" spans="1:12" ht="75" x14ac:dyDescent="0.25">
      <c r="A18" s="125" t="s">
        <v>359</v>
      </c>
      <c r="B18" s="177"/>
      <c r="C18" s="177"/>
      <c r="E18" s="28" t="s">
        <v>360</v>
      </c>
      <c r="F18" s="116" t="s">
        <v>401</v>
      </c>
      <c r="H18" s="28" t="s">
        <v>22</v>
      </c>
      <c r="I18" s="116" t="s">
        <v>402</v>
      </c>
      <c r="K18" s="28" t="s">
        <v>362</v>
      </c>
      <c r="L18" s="124" t="s">
        <v>403</v>
      </c>
    </row>
    <row r="19" spans="1:12" x14ac:dyDescent="0.25">
      <c r="A19" s="122" t="s">
        <v>354</v>
      </c>
      <c r="B19" s="113">
        <v>0.11655238339260146</v>
      </c>
      <c r="C19" s="113">
        <v>4.8926479660064821</v>
      </c>
      <c r="E19" s="123" t="s">
        <v>354</v>
      </c>
      <c r="F19" s="64">
        <v>260</v>
      </c>
      <c r="H19" s="123" t="s">
        <v>354</v>
      </c>
      <c r="I19" s="64">
        <v>1</v>
      </c>
      <c r="K19" s="122" t="s">
        <v>354</v>
      </c>
      <c r="L19" s="121">
        <v>1270.9055477374686</v>
      </c>
    </row>
    <row r="20" spans="1:12" x14ac:dyDescent="0.25">
      <c r="A20" s="122" t="s">
        <v>355</v>
      </c>
      <c r="B20" s="113">
        <v>6.1892972865835089E-2</v>
      </c>
      <c r="C20" s="113">
        <v>4.2357457772143041</v>
      </c>
      <c r="E20" s="115" t="s">
        <v>355</v>
      </c>
      <c r="F20" s="64">
        <v>260</v>
      </c>
      <c r="H20" s="115" t="s">
        <v>355</v>
      </c>
      <c r="I20" s="64">
        <v>1</v>
      </c>
      <c r="K20" s="122" t="s">
        <v>355</v>
      </c>
      <c r="L20" s="121">
        <v>1057.1480959708992</v>
      </c>
    </row>
    <row r="21" spans="1:12" x14ac:dyDescent="0.25">
      <c r="A21" s="122" t="s">
        <v>53</v>
      </c>
      <c r="B21" s="113">
        <v>4.5204143616292686E-2</v>
      </c>
      <c r="C21" s="113">
        <v>3.4958259883589289</v>
      </c>
      <c r="E21" s="123" t="s">
        <v>53</v>
      </c>
      <c r="F21" s="64">
        <v>258</v>
      </c>
      <c r="H21" s="123" t="s">
        <v>53</v>
      </c>
      <c r="I21" s="64">
        <v>1</v>
      </c>
      <c r="K21" s="122" t="s">
        <v>53</v>
      </c>
      <c r="L21" s="121">
        <v>925.26610984246418</v>
      </c>
    </row>
    <row r="22" spans="1:12" x14ac:dyDescent="0.25">
      <c r="A22" s="122" t="s">
        <v>20</v>
      </c>
      <c r="B22" s="113">
        <v>7.3213741925366484E-3</v>
      </c>
      <c r="C22" s="113">
        <v>6.4868282216116679E-2</v>
      </c>
      <c r="E22" s="123" t="s">
        <v>20</v>
      </c>
      <c r="F22" s="64">
        <v>235</v>
      </c>
      <c r="H22" s="123" t="s">
        <v>20</v>
      </c>
      <c r="I22" s="64">
        <v>1</v>
      </c>
      <c r="K22" s="122" t="s">
        <v>20</v>
      </c>
      <c r="L22" s="121">
        <v>531.62427050929114</v>
      </c>
    </row>
    <row r="23" spans="1:12" x14ac:dyDescent="0.25">
      <c r="A23" s="122" t="s">
        <v>356</v>
      </c>
      <c r="B23" s="113">
        <v>2.1309525185942879E-3</v>
      </c>
      <c r="C23" s="113">
        <v>1.9362547941228186E-2</v>
      </c>
      <c r="E23" s="115" t="s">
        <v>356</v>
      </c>
      <c r="F23" s="64">
        <v>193</v>
      </c>
      <c r="H23" s="115" t="s">
        <v>356</v>
      </c>
      <c r="I23" s="64">
        <v>1</v>
      </c>
      <c r="K23" s="122" t="s">
        <v>356</v>
      </c>
      <c r="L23" s="121">
        <v>166.93703949463335</v>
      </c>
    </row>
    <row r="24" spans="1:12" x14ac:dyDescent="0.25">
      <c r="A24" s="122" t="s">
        <v>357</v>
      </c>
      <c r="B24" s="113">
        <v>2.0021642973219985E-5</v>
      </c>
      <c r="C24" s="113">
        <v>2.0519604245443942E-4</v>
      </c>
      <c r="E24" s="123" t="s">
        <v>357</v>
      </c>
      <c r="F24" s="48">
        <v>174</v>
      </c>
      <c r="H24" s="123" t="s">
        <v>357</v>
      </c>
      <c r="I24" s="48">
        <v>1</v>
      </c>
      <c r="K24" s="122" t="s">
        <v>357</v>
      </c>
      <c r="L24" s="121">
        <v>2.180107194939743</v>
      </c>
    </row>
    <row r="25" spans="1:12" x14ac:dyDescent="0.25">
      <c r="A25" s="122" t="s">
        <v>358</v>
      </c>
      <c r="B25" s="113">
        <v>1.4713465109913233E-2</v>
      </c>
      <c r="C25" s="113">
        <v>0.83424108901100913</v>
      </c>
      <c r="E25" s="123" t="s">
        <v>358</v>
      </c>
      <c r="F25" s="48">
        <v>231</v>
      </c>
      <c r="H25" s="123" t="s">
        <v>358</v>
      </c>
      <c r="I25" s="48">
        <v>1</v>
      </c>
      <c r="K25" s="122" t="s">
        <v>358</v>
      </c>
      <c r="L25" s="121">
        <v>537.17429623411579</v>
      </c>
    </row>
    <row r="28" spans="1:12" x14ac:dyDescent="0.25">
      <c r="A28" s="120"/>
      <c r="B28" s="256" t="s">
        <v>363</v>
      </c>
      <c r="C28" s="257"/>
      <c r="D28" s="257"/>
      <c r="E28" s="257"/>
      <c r="F28" s="257"/>
      <c r="G28" s="257"/>
      <c r="H28" s="257"/>
      <c r="I28" s="258"/>
    </row>
    <row r="29" spans="1:12" ht="114" customHeight="1" x14ac:dyDescent="0.25">
      <c r="A29" s="119" t="s">
        <v>59</v>
      </c>
      <c r="B29" s="130" t="s">
        <v>37</v>
      </c>
      <c r="C29" s="130" t="s">
        <v>41</v>
      </c>
      <c r="D29" s="130" t="s">
        <v>44</v>
      </c>
      <c r="E29" s="130" t="s">
        <v>46</v>
      </c>
      <c r="F29" s="130" t="s">
        <v>47</v>
      </c>
      <c r="G29" s="130" t="s">
        <v>48</v>
      </c>
      <c r="H29" s="130" t="s">
        <v>49</v>
      </c>
      <c r="I29" s="130" t="s">
        <v>50</v>
      </c>
    </row>
    <row r="30" spans="1:12" ht="65.25" customHeight="1" x14ac:dyDescent="0.25">
      <c r="A30" s="119" t="s">
        <v>64</v>
      </c>
      <c r="B30" s="177" t="s">
        <v>38</v>
      </c>
      <c r="C30" s="177" t="s">
        <v>42</v>
      </c>
      <c r="D30" s="177" t="s">
        <v>66</v>
      </c>
      <c r="E30" s="177" t="s">
        <v>38</v>
      </c>
      <c r="F30" s="177" t="s">
        <v>66</v>
      </c>
      <c r="G30" s="177" t="s">
        <v>38</v>
      </c>
      <c r="H30" s="177" t="s">
        <v>38</v>
      </c>
      <c r="I30" s="177" t="s">
        <v>66</v>
      </c>
    </row>
    <row r="31" spans="1:12" ht="56.25" customHeight="1" x14ac:dyDescent="0.25">
      <c r="A31" s="119" t="s">
        <v>364</v>
      </c>
      <c r="B31" s="177" t="s">
        <v>86</v>
      </c>
      <c r="C31" s="177" t="s">
        <v>365</v>
      </c>
      <c r="D31" s="177" t="s">
        <v>86</v>
      </c>
      <c r="E31" s="177" t="s">
        <v>86</v>
      </c>
      <c r="F31" s="177" t="s">
        <v>86</v>
      </c>
      <c r="G31" s="177" t="s">
        <v>86</v>
      </c>
      <c r="H31" s="177" t="s">
        <v>86</v>
      </c>
      <c r="I31" s="177" t="s">
        <v>86</v>
      </c>
    </row>
    <row r="32" spans="1:12" x14ac:dyDescent="0.25">
      <c r="A32" s="118"/>
      <c r="B32" s="111"/>
      <c r="C32" s="111"/>
      <c r="D32" s="111"/>
      <c r="E32" s="111"/>
      <c r="F32" s="111"/>
      <c r="G32" s="111"/>
      <c r="H32" s="111"/>
      <c r="I32" s="111"/>
    </row>
    <row r="33" spans="1:11" x14ac:dyDescent="0.25">
      <c r="A33" s="28" t="s">
        <v>366</v>
      </c>
      <c r="B33" s="116" t="s">
        <v>404</v>
      </c>
      <c r="C33" s="116" t="s">
        <v>365</v>
      </c>
      <c r="D33" s="116" t="s">
        <v>405</v>
      </c>
      <c r="E33" s="116" t="s">
        <v>406</v>
      </c>
      <c r="F33" s="116" t="s">
        <v>407</v>
      </c>
      <c r="G33" s="116" t="s">
        <v>408</v>
      </c>
      <c r="H33" s="116" t="s">
        <v>409</v>
      </c>
      <c r="I33" s="116" t="s">
        <v>410</v>
      </c>
    </row>
    <row r="34" spans="1:11" x14ac:dyDescent="0.25">
      <c r="A34" s="115" t="s">
        <v>354</v>
      </c>
      <c r="B34" s="113">
        <v>2.6387742517262005</v>
      </c>
      <c r="C34" s="114"/>
      <c r="D34" s="113">
        <v>6.6275606753522522</v>
      </c>
      <c r="E34" s="113">
        <v>0.60422936898480706</v>
      </c>
      <c r="F34" s="113">
        <v>25.186211730530001</v>
      </c>
      <c r="G34" s="113">
        <v>11.384248833752652</v>
      </c>
      <c r="H34" s="113">
        <v>18.087823130332765</v>
      </c>
      <c r="I34" s="113">
        <v>1224.7336789865874</v>
      </c>
      <c r="K34" s="117"/>
    </row>
    <row r="35" spans="1:11" x14ac:dyDescent="0.25">
      <c r="A35" s="115" t="s">
        <v>355</v>
      </c>
      <c r="B35" s="113">
        <v>1.7527739892194629</v>
      </c>
      <c r="C35" s="114"/>
      <c r="D35" s="113">
        <v>3.9954007755118361</v>
      </c>
      <c r="E35" s="113">
        <v>0.35406493247130344</v>
      </c>
      <c r="F35" s="113">
        <v>20.225044154928067</v>
      </c>
      <c r="G35" s="113">
        <v>5.8973009242531029</v>
      </c>
      <c r="H35" s="113">
        <v>8.368748797338716</v>
      </c>
      <c r="I35" s="113">
        <v>979.2261206207487</v>
      </c>
    </row>
    <row r="36" spans="1:11" x14ac:dyDescent="0.25">
      <c r="A36" s="115" t="s">
        <v>53</v>
      </c>
      <c r="B36" s="113">
        <v>1.3764803213869774</v>
      </c>
      <c r="C36" s="114"/>
      <c r="D36" s="113">
        <v>2.8083105330223184</v>
      </c>
      <c r="E36" s="113">
        <v>0.26681829696395515</v>
      </c>
      <c r="F36" s="113">
        <v>16.397066797176187</v>
      </c>
      <c r="G36" s="113">
        <v>4.5072610256841221</v>
      </c>
      <c r="H36" s="113">
        <v>5.4362743286361166</v>
      </c>
      <c r="I36" s="113">
        <v>792.95464349417784</v>
      </c>
    </row>
    <row r="37" spans="1:11" x14ac:dyDescent="0.25">
      <c r="A37" s="115" t="s">
        <v>20</v>
      </c>
      <c r="B37" s="113">
        <v>0.64629568893106071</v>
      </c>
      <c r="C37" s="114"/>
      <c r="D37" s="113">
        <v>5.3988579794481538E-2</v>
      </c>
      <c r="E37" s="113">
        <v>0.11992559717697562</v>
      </c>
      <c r="F37" s="113">
        <v>0.33431723984493983</v>
      </c>
      <c r="G37" s="113">
        <v>0.33431723984493983</v>
      </c>
      <c r="H37" s="113">
        <v>0.33431723984493983</v>
      </c>
      <c r="I37" s="113">
        <v>14.638419412033572</v>
      </c>
    </row>
    <row r="38" spans="1:11" x14ac:dyDescent="0.25">
      <c r="A38" s="115" t="s">
        <v>356</v>
      </c>
      <c r="B38" s="113">
        <v>0.19493931340382756</v>
      </c>
      <c r="C38" s="114"/>
      <c r="D38" s="113">
        <v>1.0928320587846454E-2</v>
      </c>
      <c r="E38" s="113">
        <v>3.5311491262128784E-2</v>
      </c>
      <c r="F38" s="113">
        <v>9.8604000468729885E-2</v>
      </c>
      <c r="G38" s="113">
        <v>9.8604000468729885E-2</v>
      </c>
      <c r="H38" s="113">
        <v>9.8604000468729885E-2</v>
      </c>
      <c r="I38" s="113">
        <v>4.309944041383079</v>
      </c>
    </row>
    <row r="39" spans="1:11" x14ac:dyDescent="0.25">
      <c r="A39" s="115" t="s">
        <v>357</v>
      </c>
      <c r="B39" s="113">
        <v>1.9989295940757053E-3</v>
      </c>
      <c r="C39" s="114"/>
      <c r="D39" s="113">
        <v>7.0993460495493899E-5</v>
      </c>
      <c r="E39" s="113">
        <v>6.6620081050378826E-4</v>
      </c>
      <c r="F39" s="113">
        <v>1.0900535974698714E-3</v>
      </c>
      <c r="G39" s="113">
        <v>1.0900535974698714E-3</v>
      </c>
      <c r="H39" s="113">
        <v>1.0900535974698714E-3</v>
      </c>
      <c r="I39" s="113">
        <v>4.8496395216008972E-2</v>
      </c>
      <c r="K39" s="117"/>
    </row>
    <row r="40" spans="1:11" x14ac:dyDescent="0.25">
      <c r="A40" s="115" t="s">
        <v>358</v>
      </c>
      <c r="B40" s="113">
        <v>0.69786120683441422</v>
      </c>
      <c r="C40" s="114"/>
      <c r="D40" s="113">
        <v>0.60769433168199682</v>
      </c>
      <c r="E40" s="113">
        <v>0.13136982597000174</v>
      </c>
      <c r="F40" s="113">
        <v>3.9277760304231384</v>
      </c>
      <c r="G40" s="113">
        <v>1.2882600176185868</v>
      </c>
      <c r="H40" s="113">
        <v>1.2860246110964122</v>
      </c>
      <c r="I40" s="113">
        <v>188.44981549753354</v>
      </c>
    </row>
    <row r="41" spans="1:11" x14ac:dyDescent="0.25">
      <c r="A41" s="112"/>
      <c r="B41" s="111"/>
      <c r="C41" s="111"/>
      <c r="D41" s="111"/>
      <c r="E41" s="111"/>
      <c r="F41" s="111"/>
      <c r="G41" s="111"/>
      <c r="H41" s="111"/>
      <c r="I41" s="111"/>
    </row>
    <row r="42" spans="1:11" x14ac:dyDescent="0.25">
      <c r="A42" s="28" t="s">
        <v>374</v>
      </c>
      <c r="B42" s="116" t="s">
        <v>411</v>
      </c>
      <c r="C42" s="116" t="s">
        <v>365</v>
      </c>
      <c r="D42" s="116" t="s">
        <v>412</v>
      </c>
      <c r="E42" s="116" t="s">
        <v>413</v>
      </c>
      <c r="F42" s="116" t="s">
        <v>414</v>
      </c>
      <c r="G42" s="116" t="s">
        <v>415</v>
      </c>
      <c r="H42" s="116" t="s">
        <v>416</v>
      </c>
      <c r="I42" s="116" t="s">
        <v>417</v>
      </c>
    </row>
    <row r="43" spans="1:11" x14ac:dyDescent="0.25">
      <c r="A43" s="115" t="s">
        <v>354</v>
      </c>
      <c r="B43" s="113">
        <v>1.0859153299284776E-2</v>
      </c>
      <c r="C43" s="114"/>
      <c r="D43" s="113">
        <v>2.7621456066462227E-2</v>
      </c>
      <c r="E43" s="113">
        <v>2.4682194846190587E-3</v>
      </c>
      <c r="F43" s="113">
        <v>9.8383639572382817E-2</v>
      </c>
      <c r="G43" s="113">
        <v>5.0114992900605462E-2</v>
      </c>
      <c r="H43" s="113">
        <v>7.2385470324444465E-2</v>
      </c>
      <c r="I43" s="113">
        <v>4.7864065411274925</v>
      </c>
    </row>
    <row r="44" spans="1:11" x14ac:dyDescent="0.25">
      <c r="A44" s="115" t="s">
        <v>355</v>
      </c>
      <c r="B44" s="113">
        <v>7.4082819168393528E-3</v>
      </c>
      <c r="C44" s="114"/>
      <c r="D44" s="113">
        <v>1.7153456093309715E-2</v>
      </c>
      <c r="E44" s="113">
        <v>1.5052559462533418E-3</v>
      </c>
      <c r="F44" s="113">
        <v>8.5480923787848537E-2</v>
      </c>
      <c r="G44" s="113">
        <v>2.5156450624263783E-2</v>
      </c>
      <c r="H44" s="113">
        <v>3.5797589627344431E-2</v>
      </c>
      <c r="I44" s="113">
        <v>4.1379789255958102</v>
      </c>
    </row>
    <row r="45" spans="1:11" x14ac:dyDescent="0.25">
      <c r="A45" s="115" t="s">
        <v>53</v>
      </c>
      <c r="B45" s="113">
        <v>5.8804400524548892E-3</v>
      </c>
      <c r="C45" s="114"/>
      <c r="D45" s="113">
        <v>1.2074664096695551E-2</v>
      </c>
      <c r="E45" s="113">
        <v>1.1420845847336341E-3</v>
      </c>
      <c r="F45" s="113">
        <v>7.062774794058721E-2</v>
      </c>
      <c r="G45" s="113">
        <v>1.9290980249178104E-2</v>
      </c>
      <c r="H45" s="113">
        <v>2.3416390085752619E-2</v>
      </c>
      <c r="I45" s="113">
        <v>3.4147043693116794</v>
      </c>
    </row>
    <row r="46" spans="1:11" x14ac:dyDescent="0.25">
      <c r="A46" s="115" t="s">
        <v>20</v>
      </c>
      <c r="B46" s="113">
        <v>2.8105362832273051E-3</v>
      </c>
      <c r="C46" s="114"/>
      <c r="D46" s="113">
        <v>2.3357619589842055E-4</v>
      </c>
      <c r="E46" s="113">
        <v>5.2066573939800844E-4</v>
      </c>
      <c r="F46" s="113">
        <v>1.4438366458330455E-3</v>
      </c>
      <c r="G46" s="113">
        <v>1.4438366458330455E-3</v>
      </c>
      <c r="H46" s="113">
        <v>1.4438366458330455E-3</v>
      </c>
      <c r="I46" s="113">
        <v>6.319689520315791E-2</v>
      </c>
    </row>
    <row r="47" spans="1:11" x14ac:dyDescent="0.25">
      <c r="A47" s="115" t="s">
        <v>356</v>
      </c>
      <c r="B47" s="113">
        <v>8.5383212994709118E-4</v>
      </c>
      <c r="C47" s="114"/>
      <c r="D47" s="113">
        <v>4.7842511930795871E-5</v>
      </c>
      <c r="E47" s="113">
        <v>1.5485382277859104E-4</v>
      </c>
      <c r="F47" s="113">
        <v>4.3162919350897127E-4</v>
      </c>
      <c r="G47" s="113">
        <v>4.3162919350897127E-4</v>
      </c>
      <c r="H47" s="113">
        <v>4.3162919350897127E-4</v>
      </c>
      <c r="I47" s="113">
        <v>1.8859418315852743E-2</v>
      </c>
    </row>
    <row r="48" spans="1:11" x14ac:dyDescent="0.25">
      <c r="A48" s="115" t="s">
        <v>357</v>
      </c>
      <c r="B48" s="113">
        <v>8.2600396449409307E-6</v>
      </c>
      <c r="C48" s="114"/>
      <c r="D48" s="113">
        <v>2.9336140700617312E-7</v>
      </c>
      <c r="E48" s="113">
        <v>2.7528959111726787E-6</v>
      </c>
      <c r="F48" s="113">
        <v>4.5043537085531877E-6</v>
      </c>
      <c r="G48" s="113">
        <v>4.5043537085531877E-6</v>
      </c>
      <c r="H48" s="113">
        <v>4.5043537085531877E-6</v>
      </c>
      <c r="I48" s="113">
        <v>2.0039832733888006E-4</v>
      </c>
    </row>
    <row r="49" spans="1:9" x14ac:dyDescent="0.25">
      <c r="A49" s="115" t="s">
        <v>358</v>
      </c>
      <c r="B49" s="113">
        <v>3.016026102402022E-3</v>
      </c>
      <c r="C49" s="114"/>
      <c r="D49" s="113">
        <v>2.6275179153404538E-3</v>
      </c>
      <c r="E49" s="113">
        <v>5.6775098479000562E-4</v>
      </c>
      <c r="F49" s="113">
        <v>1.6979091082418359E-2</v>
      </c>
      <c r="G49" s="113">
        <v>5.5692297429054665E-3</v>
      </c>
      <c r="H49" s="113">
        <v>5.5604582798157321E-3</v>
      </c>
      <c r="I49" s="113">
        <v>0.81463448001324679</v>
      </c>
    </row>
    <row r="50" spans="1:9" x14ac:dyDescent="0.25">
      <c r="A50" s="112"/>
      <c r="B50" s="111"/>
      <c r="C50" s="111"/>
      <c r="D50" s="111"/>
      <c r="E50" s="111"/>
      <c r="F50" s="111"/>
      <c r="G50" s="111"/>
      <c r="H50" s="111"/>
      <c r="I50" s="111"/>
    </row>
    <row r="51" spans="1:9" ht="30" x14ac:dyDescent="0.25">
      <c r="A51" s="119" t="s">
        <v>382</v>
      </c>
      <c r="B51" s="116" t="s">
        <v>383</v>
      </c>
      <c r="C51" s="116" t="s">
        <v>365</v>
      </c>
      <c r="D51" s="116" t="s">
        <v>384</v>
      </c>
      <c r="E51" s="116" t="s">
        <v>385</v>
      </c>
      <c r="F51" s="116" t="s">
        <v>386</v>
      </c>
      <c r="G51" s="116" t="s">
        <v>387</v>
      </c>
      <c r="H51" s="116" t="s">
        <v>388</v>
      </c>
      <c r="I51" s="116" t="s">
        <v>389</v>
      </c>
    </row>
    <row r="52" spans="1:9" x14ac:dyDescent="0.25">
      <c r="A52" s="115" t="s">
        <v>354</v>
      </c>
      <c r="B52" s="113">
        <v>8.274124659749145E-2</v>
      </c>
      <c r="C52" s="114"/>
      <c r="D52" s="114"/>
      <c r="E52" s="113">
        <v>8.274124659749145E-2</v>
      </c>
      <c r="F52" s="114"/>
      <c r="G52" s="113">
        <v>4</v>
      </c>
      <c r="H52" s="113">
        <v>1</v>
      </c>
      <c r="I52" s="114"/>
    </row>
    <row r="53" spans="1:9" ht="15" customHeight="1" x14ac:dyDescent="0.25">
      <c r="A53" s="115" t="s">
        <v>355</v>
      </c>
      <c r="B53" s="113">
        <v>7.3295749092384094E-2</v>
      </c>
      <c r="C53" s="114"/>
      <c r="D53" s="114"/>
      <c r="E53" s="113">
        <v>7.3295749092384094E-2</v>
      </c>
      <c r="F53" s="114"/>
      <c r="G53" s="113">
        <v>4</v>
      </c>
      <c r="H53" s="113">
        <v>1</v>
      </c>
      <c r="I53" s="114"/>
    </row>
    <row r="54" spans="1:9" ht="20.25" customHeight="1" x14ac:dyDescent="0.25">
      <c r="A54" s="115" t="s">
        <v>53</v>
      </c>
      <c r="B54" s="113">
        <v>6.5405436600009498E-2</v>
      </c>
      <c r="C54" s="114"/>
      <c r="D54" s="114"/>
      <c r="E54" s="113">
        <v>6.5405436600009498E-2</v>
      </c>
      <c r="F54" s="114"/>
      <c r="G54" s="113">
        <v>4</v>
      </c>
      <c r="H54" s="113">
        <v>1</v>
      </c>
      <c r="I54" s="114"/>
    </row>
    <row r="55" spans="1:9" x14ac:dyDescent="0.25">
      <c r="A55" s="115" t="s">
        <v>20</v>
      </c>
      <c r="B55" s="113">
        <v>3.8584860505315913E-2</v>
      </c>
      <c r="C55" s="114"/>
      <c r="D55" s="114"/>
      <c r="E55" s="113">
        <v>3.8584860505315913E-2</v>
      </c>
      <c r="F55" s="114"/>
      <c r="G55" s="113">
        <v>4</v>
      </c>
      <c r="H55" s="113">
        <v>1</v>
      </c>
      <c r="I55" s="114"/>
    </row>
    <row r="56" spans="1:9" x14ac:dyDescent="0.25">
      <c r="A56" s="115" t="s">
        <v>356</v>
      </c>
      <c r="B56" s="113">
        <v>1.2210254331363102E-2</v>
      </c>
      <c r="C56" s="114"/>
      <c r="D56" s="114"/>
      <c r="E56" s="113">
        <v>1.2210254331363102E-2</v>
      </c>
      <c r="F56" s="114"/>
      <c r="G56" s="113">
        <v>4</v>
      </c>
      <c r="H56" s="113">
        <v>1</v>
      </c>
      <c r="I56" s="114"/>
    </row>
    <row r="57" spans="1:9" x14ac:dyDescent="0.25">
      <c r="A57" s="115" t="s">
        <v>357</v>
      </c>
      <c r="B57" s="113">
        <v>1.5014512361843959E-4</v>
      </c>
      <c r="C57" s="114"/>
      <c r="D57" s="114"/>
      <c r="E57" s="113">
        <v>1.5014512361843959E-4</v>
      </c>
      <c r="F57" s="114"/>
      <c r="G57" s="113">
        <v>4</v>
      </c>
      <c r="H57" s="113">
        <v>1</v>
      </c>
      <c r="I57" s="114"/>
    </row>
    <row r="58" spans="1:9" x14ac:dyDescent="0.25">
      <c r="A58" s="115" t="s">
        <v>358</v>
      </c>
      <c r="B58" s="113">
        <v>3.8690658880253602E-2</v>
      </c>
      <c r="C58" s="114"/>
      <c r="D58" s="114"/>
      <c r="E58" s="113">
        <v>3.8690658880253602E-2</v>
      </c>
      <c r="F58" s="114"/>
      <c r="G58" s="113">
        <v>4</v>
      </c>
      <c r="H58" s="113">
        <v>1</v>
      </c>
      <c r="I58" s="114"/>
    </row>
    <row r="59" spans="1:9" ht="29.25" customHeight="1" x14ac:dyDescent="0.25">
      <c r="A59" s="112"/>
      <c r="B59" s="111"/>
      <c r="C59" s="111"/>
      <c r="D59" s="111"/>
      <c r="E59" s="111"/>
      <c r="F59" s="111"/>
      <c r="G59" s="111"/>
      <c r="H59" s="111"/>
      <c r="I59" s="111"/>
    </row>
    <row r="60" spans="1:9" ht="30" x14ac:dyDescent="0.25">
      <c r="A60" s="119" t="s">
        <v>390</v>
      </c>
      <c r="B60" s="116" t="s">
        <v>391</v>
      </c>
      <c r="C60" s="116" t="s">
        <v>365</v>
      </c>
      <c r="D60" s="116" t="s">
        <v>392</v>
      </c>
      <c r="E60" s="116" t="s">
        <v>393</v>
      </c>
      <c r="F60" s="116" t="s">
        <v>394</v>
      </c>
      <c r="G60" s="116" t="s">
        <v>395</v>
      </c>
      <c r="H60" s="116" t="s">
        <v>396</v>
      </c>
      <c r="I60" s="116" t="s">
        <v>397</v>
      </c>
    </row>
    <row r="61" spans="1:9" x14ac:dyDescent="0.25">
      <c r="A61" s="115" t="s">
        <v>354</v>
      </c>
      <c r="B61" s="113">
        <v>21.181759128957811</v>
      </c>
      <c r="C61" s="114"/>
      <c r="D61" s="114"/>
      <c r="E61" s="113">
        <v>21.181759128957811</v>
      </c>
      <c r="F61" s="114"/>
      <c r="G61" s="113">
        <v>1040</v>
      </c>
      <c r="H61" s="113">
        <v>260</v>
      </c>
      <c r="I61" s="114"/>
    </row>
    <row r="62" spans="1:9" x14ac:dyDescent="0.25">
      <c r="A62" s="115" t="s">
        <v>355</v>
      </c>
      <c r="B62" s="113">
        <v>17.619134932848322</v>
      </c>
      <c r="C62" s="114"/>
      <c r="D62" s="114"/>
      <c r="E62" s="113">
        <v>17.619134932848322</v>
      </c>
      <c r="F62" s="114"/>
      <c r="G62" s="113">
        <v>1040</v>
      </c>
      <c r="H62" s="113">
        <v>260</v>
      </c>
      <c r="I62" s="114"/>
    </row>
    <row r="63" spans="1:9" x14ac:dyDescent="0.25">
      <c r="A63" s="115" t="s">
        <v>53</v>
      </c>
      <c r="B63" s="113">
        <v>15.421101830707736</v>
      </c>
      <c r="C63" s="114"/>
      <c r="D63" s="114"/>
      <c r="E63" s="113">
        <v>15.421101830707736</v>
      </c>
      <c r="F63" s="114"/>
      <c r="G63" s="113">
        <v>1032</v>
      </c>
      <c r="H63" s="113">
        <v>258</v>
      </c>
      <c r="I63" s="114"/>
    </row>
    <row r="64" spans="1:9" x14ac:dyDescent="0.25">
      <c r="A64" s="115" t="s">
        <v>20</v>
      </c>
      <c r="B64" s="113">
        <v>8.8604045084881857</v>
      </c>
      <c r="C64" s="114"/>
      <c r="D64" s="114"/>
      <c r="E64" s="113">
        <v>8.8604045084881857</v>
      </c>
      <c r="F64" s="114"/>
      <c r="G64" s="113">
        <v>940</v>
      </c>
      <c r="H64" s="113">
        <v>235</v>
      </c>
      <c r="I64" s="114"/>
    </row>
    <row r="65" spans="1:9" x14ac:dyDescent="0.25">
      <c r="A65" s="115" t="s">
        <v>356</v>
      </c>
      <c r="B65" s="113">
        <v>2.7822839915772231</v>
      </c>
      <c r="C65" s="114"/>
      <c r="D65" s="114"/>
      <c r="E65" s="113">
        <v>2.7822839915772231</v>
      </c>
      <c r="F65" s="114"/>
      <c r="G65" s="113">
        <v>772</v>
      </c>
      <c r="H65" s="113">
        <v>193</v>
      </c>
      <c r="I65" s="114"/>
    </row>
    <row r="66" spans="1:9" x14ac:dyDescent="0.25">
      <c r="A66" s="115" t="s">
        <v>357</v>
      </c>
      <c r="B66" s="113">
        <v>3.6335119915662378E-2</v>
      </c>
      <c r="C66" s="114"/>
      <c r="D66" s="114"/>
      <c r="E66" s="113">
        <v>3.6335119915662378E-2</v>
      </c>
      <c r="F66" s="114"/>
      <c r="G66" s="113">
        <v>696</v>
      </c>
      <c r="H66" s="113">
        <v>174</v>
      </c>
      <c r="I66" s="114"/>
    </row>
    <row r="67" spans="1:9" x14ac:dyDescent="0.25">
      <c r="A67" s="115" t="s">
        <v>358</v>
      </c>
      <c r="B67" s="113">
        <v>8.9529049372351164</v>
      </c>
      <c r="C67" s="114"/>
      <c r="D67" s="114"/>
      <c r="E67" s="113">
        <v>8.9529049372351164</v>
      </c>
      <c r="F67" s="114"/>
      <c r="G67" s="113">
        <v>925.33339999999998</v>
      </c>
      <c r="H67" s="113">
        <v>231.33335</v>
      </c>
      <c r="I67" s="114"/>
    </row>
    <row r="68" spans="1:9" x14ac:dyDescent="0.25">
      <c r="A68"/>
    </row>
    <row r="69" spans="1:9" x14ac:dyDescent="0.25">
      <c r="A69"/>
    </row>
    <row r="70" spans="1:9" x14ac:dyDescent="0.25">
      <c r="A70"/>
    </row>
    <row r="71" spans="1:9" x14ac:dyDescent="0.25">
      <c r="A71"/>
    </row>
    <row r="72" spans="1:9" x14ac:dyDescent="0.25">
      <c r="A72"/>
    </row>
    <row r="73" spans="1:9" x14ac:dyDescent="0.25">
      <c r="A73"/>
    </row>
    <row r="74" spans="1:9" x14ac:dyDescent="0.25">
      <c r="A74"/>
    </row>
    <row r="75" spans="1:9" x14ac:dyDescent="0.25">
      <c r="A75"/>
    </row>
    <row r="76" spans="1:9" x14ac:dyDescent="0.25">
      <c r="A76"/>
    </row>
    <row r="77" spans="1:9" x14ac:dyDescent="0.25">
      <c r="A77"/>
    </row>
    <row r="78" spans="1:9" x14ac:dyDescent="0.25">
      <c r="A78"/>
    </row>
    <row r="79" spans="1:9" x14ac:dyDescent="0.25">
      <c r="A79"/>
    </row>
    <row r="80" spans="1:9" x14ac:dyDescent="0.25">
      <c r="A80"/>
    </row>
    <row r="81" spans="1:1" x14ac:dyDescent="0.25">
      <c r="A81"/>
    </row>
    <row r="82" spans="1:1" x14ac:dyDescent="0.25">
      <c r="A82"/>
    </row>
    <row r="83" spans="1:1" x14ac:dyDescent="0.25">
      <c r="A83"/>
    </row>
    <row r="84" spans="1:1" x14ac:dyDescent="0.25">
      <c r="A84"/>
    </row>
    <row r="85" spans="1:1" x14ac:dyDescent="0.25">
      <c r="A85"/>
    </row>
    <row r="86" spans="1:1" x14ac:dyDescent="0.25">
      <c r="A86"/>
    </row>
    <row r="87" spans="1:1" x14ac:dyDescent="0.25">
      <c r="A87"/>
    </row>
    <row r="88" spans="1:1" x14ac:dyDescent="0.25">
      <c r="A88"/>
    </row>
    <row r="89" spans="1:1" x14ac:dyDescent="0.25">
      <c r="A89"/>
    </row>
    <row r="90" spans="1:1" x14ac:dyDescent="0.25">
      <c r="A90"/>
    </row>
    <row r="91" spans="1:1" x14ac:dyDescent="0.25">
      <c r="A91"/>
    </row>
    <row r="92" spans="1:1" x14ac:dyDescent="0.25">
      <c r="A92"/>
    </row>
    <row r="93" spans="1:1" x14ac:dyDescent="0.25">
      <c r="A93"/>
    </row>
    <row r="94" spans="1:1" x14ac:dyDescent="0.25">
      <c r="A94"/>
    </row>
  </sheetData>
  <sheetProtection sheet="1" objects="1" scenarios="1" formatCells="0" formatColumns="0" formatRows="0"/>
  <mergeCells count="4">
    <mergeCell ref="A1:B1"/>
    <mergeCell ref="A4:B4"/>
    <mergeCell ref="B8:C8"/>
    <mergeCell ref="B28:I28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ad8da0f-3542-4e50-96c8-f1f698624e86">
      <Terms xmlns="http://schemas.microsoft.com/office/infopath/2007/PartnerControls"/>
    </lcf76f155ced4ddcb4097134ff3c332f>
    <TaxCatchAll xmlns="4ffa91fb-a0ff-4ac5-b2db-65c790d184a4">
      <Value>1671</Value>
      <Value>1673</Value>
      <Value>1703</Value>
      <Value>2030</Value>
    </TaxCatchAll>
    <_Source xmlns="http://schemas.microsoft.com/sharepoint/v3/fields" xsi:nil="true"/>
    <Language xmlns="http://schemas.microsoft.com/sharepoint/v3">English</Language>
    <_ip_UnifiedCompliancePolicyUIAction xmlns="http://schemas.microsoft.com/sharepoint/v3" xsi:nil="true"/>
    <j747ac98061d40f0aa7bd47e1db5675d xmlns="4ffa91fb-a0ff-4ac5-b2db-65c790d184a4">
      <Terms xmlns="http://schemas.microsoft.com/office/infopath/2007/PartnerControls"/>
    </j747ac98061d40f0aa7bd47e1db5675d>
    <e3f09c3df709400db2417a7161762d62 xmlns="4ffa91fb-a0ff-4ac5-b2db-65c790d184a4">
      <Terms xmlns="http://schemas.microsoft.com/office/infopath/2007/PartnerControls"/>
    </e3f09c3df709400db2417a7161762d62>
    <External_x0020_Contributor xmlns="4ffa91fb-a0ff-4ac5-b2db-65c790d184a4" xsi:nil="true"/>
    <TaxKeywordTaxHTField xmlns="4ffa91fb-a0ff-4ac5-b2db-65c790d184a4">
      <Terms xmlns="http://schemas.microsoft.com/office/infopath/2007/PartnerControls">
        <TermInfo xmlns="http://schemas.microsoft.com/office/infopath/2007/PartnerControls">
          <TermName xmlns="http://schemas.microsoft.com/office/infopath/2007/PartnerControls">12Dichloroethane</TermName>
          <TermId xmlns="http://schemas.microsoft.com/office/infopath/2007/PartnerControls">b26867e0-e188-4d8d-b848-2e1a306b3e93</TermId>
        </TermInfo>
        <TermInfo xmlns="http://schemas.microsoft.com/office/infopath/2007/PartnerControls">
          <TermName xmlns="http://schemas.microsoft.com/office/infopath/2007/PartnerControls">laboratory use</TermName>
          <TermId xmlns="http://schemas.microsoft.com/office/infopath/2007/PartnerControls">a1702548-b08f-4464-9125-c559fdf66d34</TermId>
        </TermInfo>
        <TermInfo xmlns="http://schemas.microsoft.com/office/infopath/2007/PartnerControls">
          <TermName xmlns="http://schemas.microsoft.com/office/infopath/2007/PartnerControls">Release Model</TermName>
          <TermId xmlns="http://schemas.microsoft.com/office/infopath/2007/PartnerControls">114c9b2a-d776-4dcb-bdfc-0176debe482d</TermId>
        </TermInfo>
        <TermInfo xmlns="http://schemas.microsoft.com/office/infopath/2007/PartnerControls">
          <TermName xmlns="http://schemas.microsoft.com/office/infopath/2007/PartnerControls">CASRN 107-06-2</TermName>
          <TermId xmlns="http://schemas.microsoft.com/office/infopath/2007/PartnerControls">f01d8752-e9a4-4691-bb25-53c3aaed59fd</TermId>
        </TermInfo>
      </Terms>
    </TaxKeywordTaxHTField>
    <Record xmlns="4ffa91fb-a0ff-4ac5-b2db-65c790d184a4">Shared</Record>
    <_ip_UnifiedCompliancePolicyProperties xmlns="http://schemas.microsoft.com/sharepoint/v3" xsi:nil="true"/>
    <Rights xmlns="4ffa91fb-a0ff-4ac5-b2db-65c790d184a4" xsi:nil="true"/>
    <Document_x0020_Creation_x0020_Date xmlns="4ffa91fb-a0ff-4ac5-b2db-65c790d184a4">2023-09-26T15:14:15+00:00</Document_x0020_Creation_x0020_Date>
    <EPA_x0020_Office xmlns="4ffa91fb-a0ff-4ac5-b2db-65c790d184a4" xsi:nil="true"/>
    <CategoryDescription xmlns="http://schemas.microsoft.com/sharepoint.v3" xsi:nil="true"/>
    <Identifier xmlns="4ffa91fb-a0ff-4ac5-b2db-65c790d184a4" xsi:nil="true"/>
    <_Coverage xmlns="http://schemas.microsoft.com/sharepoint/v3/fields" xsi:nil="true"/>
    <Creator xmlns="4ffa91fb-a0ff-4ac5-b2db-65c790d184a4">
      <UserInfo>
        <DisplayName/>
        <AccountId xsi:nil="true"/>
        <AccountType/>
      </UserInfo>
    </Creator>
    <EPA_x0020_Related_x0020_Documents xmlns="4ffa91fb-a0ff-4ac5-b2db-65c790d184a4" xsi:nil="true"/>
    <EPA_x0020_Contributor xmlns="4ffa91fb-a0ff-4ac5-b2db-65c790d184a4">
      <UserInfo>
        <DisplayName/>
        <AccountId xsi:nil="true"/>
        <AccountType/>
      </UserInfo>
    </EPA_x0020_Contributor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23352F79007E408EFF44D6142FFCE2" ma:contentTypeVersion="21" ma:contentTypeDescription="Create a new document." ma:contentTypeScope="" ma:versionID="f7663de67ef2afa6df94d55ff7e56796">
  <xsd:schema xmlns:xsd="http://www.w3.org/2001/XMLSchema" xmlns:xs="http://www.w3.org/2001/XMLSchema" xmlns:p="http://schemas.microsoft.com/office/2006/metadata/properties" xmlns:ns1="http://schemas.microsoft.com/sharepoint/v3" xmlns:ns2="4ffa91fb-a0ff-4ac5-b2db-65c790d184a4" xmlns:ns3="http://schemas.microsoft.com/sharepoint.v3" xmlns:ns4="http://schemas.microsoft.com/sharepoint/v3/fields" xmlns:ns5="fecc2597-e8fd-4279-ac06-bd7c891938be" xmlns:ns6="ead8da0f-3542-4e50-96c8-f1f698624e86" targetNamespace="http://schemas.microsoft.com/office/2006/metadata/properties" ma:root="true" ma:fieldsID="02cccc19423a0cd6fa028e0a1e544b83" ns1:_="" ns2:_="" ns3:_="" ns4:_="" ns5:_="" ns6:_="">
    <xsd:import namespace="http://schemas.microsoft.com/sharepoint/v3"/>
    <xsd:import namespace="4ffa91fb-a0ff-4ac5-b2db-65c790d184a4"/>
    <xsd:import namespace="http://schemas.microsoft.com/sharepoint.v3"/>
    <xsd:import namespace="http://schemas.microsoft.com/sharepoint/v3/fields"/>
    <xsd:import namespace="fecc2597-e8fd-4279-ac06-bd7c891938be"/>
    <xsd:import namespace="ead8da0f-3542-4e50-96c8-f1f698624e86"/>
    <xsd:element name="properties">
      <xsd:complexType>
        <xsd:sequence>
          <xsd:element name="documentManagement">
            <xsd:complexType>
              <xsd:all>
                <xsd:element ref="ns2:Document_x0020_Creation_x0020_Date" minOccurs="0"/>
                <xsd:element ref="ns2:Creator" minOccurs="0"/>
                <xsd:element ref="ns2:EPA_x0020_Office" minOccurs="0"/>
                <xsd:element ref="ns2:Record" minOccurs="0"/>
                <xsd:element ref="ns3:CategoryDescription" minOccurs="0"/>
                <xsd:element ref="ns2:Identifier" minOccurs="0"/>
                <xsd:element ref="ns2:EPA_x0020_Contributor" minOccurs="0"/>
                <xsd:element ref="ns2:External_x0020_Contributor" minOccurs="0"/>
                <xsd:element ref="ns4:_Coverage" minOccurs="0"/>
                <xsd:element ref="ns2:EPA_x0020_Related_x0020_Documents" minOccurs="0"/>
                <xsd:element ref="ns4:_Source" minOccurs="0"/>
                <xsd:element ref="ns2:Rights" minOccurs="0"/>
                <xsd:element ref="ns1:Language" minOccurs="0"/>
                <xsd:element ref="ns2:j747ac98061d40f0aa7bd47e1db5675d" minOccurs="0"/>
                <xsd:element ref="ns2:TaxKeywordTaxHTField" minOccurs="0"/>
                <xsd:element ref="ns2:TaxCatchAllLabel" minOccurs="0"/>
                <xsd:element ref="ns2:TaxCatchAll" minOccurs="0"/>
                <xsd:element ref="ns2:e3f09c3df709400db2417a7161762d62" minOccurs="0"/>
                <xsd:element ref="ns5:SharedWithUsers" minOccurs="0"/>
                <xsd:element ref="ns5:SharedWithDetails" minOccurs="0"/>
                <xsd:element ref="ns6:MediaServiceMetadata" minOccurs="0"/>
                <xsd:element ref="ns6:MediaServiceFastMetadata" minOccurs="0"/>
                <xsd:element ref="ns6:MediaServiceAutoTags" minOccurs="0"/>
                <xsd:element ref="ns6:MediaServiceOCR" minOccurs="0"/>
                <xsd:element ref="ns6:MediaServiceGenerationTime" minOccurs="0"/>
                <xsd:element ref="ns6:MediaServiceEventHashCode" minOccurs="0"/>
                <xsd:element ref="ns1:_ip_UnifiedCompliancePolicyProperties" minOccurs="0"/>
                <xsd:element ref="ns1:_ip_UnifiedCompliancePolicyUIAction" minOccurs="0"/>
                <xsd:element ref="ns6:lcf76f155ced4ddcb4097134ff3c332f" minOccurs="0"/>
                <xsd:element ref="ns6:MediaServiceObjectDetectorVersions" minOccurs="0"/>
                <xsd:element ref="ns6:MediaServiceSearchProperties" minOccurs="0"/>
                <xsd:element ref="ns6:MediaServiceDateTaken" minOccurs="0"/>
                <xsd:element ref="ns6:MediaServiceLocation" minOccurs="0"/>
                <xsd:element ref="ns6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7" nillable="true" ma:displayName="Language" ma:default="English" ma:description="Select the document language from the drop down." ma:format="Dropdown" ma:internalName="Language" ma:readOnly="false">
      <xsd:simpleType>
        <xsd:restriction base="dms:Choice">
          <xsd:enumeration value="Arabic (Saudi Arabia)"/>
          <xsd:enumeration value="Bulgarian (Bulgaria)"/>
          <xsd:enumeration value="Chinese (Hong Kong S.A.R.)"/>
          <xsd:enumeration value="Chinese (People's Republic of China)"/>
          <xsd:enumeration value="Chinese (Taiwan)"/>
          <xsd:enumeration value="Croatian (Croatia)"/>
          <xsd:enumeration value="Czech (Czech Republic)"/>
          <xsd:enumeration value="Danish (Denmark)"/>
          <xsd:enumeration value="Dutch (Netherlands)"/>
          <xsd:enumeration value="English"/>
          <xsd:enumeration value="Estonian (Estonia)"/>
          <xsd:enumeration value="Finnish (Finland)"/>
          <xsd:enumeration value="French (France)"/>
          <xsd:enumeration value="German (Germany)"/>
          <xsd:enumeration value="Greek (Greece)"/>
          <xsd:enumeration value="Hebrew (Israel)"/>
          <xsd:enumeration value="Hindi (India)"/>
          <xsd:enumeration value="Hungarian (Hungary)"/>
          <xsd:enumeration value="Indonesian (Indonesia)"/>
          <xsd:enumeration value="Italian (Italy)"/>
          <xsd:enumeration value="Japanese (Japan)"/>
          <xsd:enumeration value="Korean (Korea)"/>
          <xsd:enumeration value="Latvian (Latvia)"/>
          <xsd:enumeration value="Lithuanian (Lithuania)"/>
          <xsd:enumeration value="Malay (Malaysia)"/>
          <xsd:enumeration value="Norwegian (Bokmal) (Norway)"/>
          <xsd:enumeration value="Polish (Poland)"/>
          <xsd:enumeration value="Portuguese (Brazil)"/>
          <xsd:enumeration value="Portuguese (Portugal)"/>
          <xsd:enumeration value="Romanian (Romania)"/>
          <xsd:enumeration value="Russian (Russia)"/>
          <xsd:enumeration value="Serbian (Latin) (Serbia)"/>
          <xsd:enumeration value="Slovak (Slovakia)"/>
          <xsd:enumeration value="Slovenian (Slovenia)"/>
          <xsd:enumeration value="Spanish (Spain)"/>
          <xsd:enumeration value="Swedish (Sweden)"/>
          <xsd:enumeration value="Thai (Thailand)"/>
          <xsd:enumeration value="Turkish (Turkey)"/>
          <xsd:enumeration value="Ukrainian (Ukraine)"/>
          <xsd:enumeration value="Urdu (Islamic Republic of Pakistan)"/>
          <xsd:enumeration value="Vietnamese (Vietnam)"/>
        </xsd:restriction>
      </xsd:simpleType>
    </xsd:element>
    <xsd:element name="_ip_UnifiedCompliancePolicyProperties" ma:index="3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ffa91fb-a0ff-4ac5-b2db-65c790d184a4" elementFormDefault="qualified">
    <xsd:import namespace="http://schemas.microsoft.com/office/2006/documentManagement/types"/>
    <xsd:import namespace="http://schemas.microsoft.com/office/infopath/2007/PartnerControls"/>
    <xsd:element name="Document_x0020_Creation_x0020_Date" ma:index="2" nillable="true" ma:displayName="Document Date" ma:default="[today]" ma:description="Enter the date this document was last modified. The upload date has been entered by default." ma:format="DateOnly" ma:internalName="Document_x0020_Creation_x0020_Date" ma:readOnly="false">
      <xsd:simpleType>
        <xsd:restriction base="dms:DateTime"/>
      </xsd:simpleType>
    </xsd:element>
    <xsd:element name="Creator" ma:index="3" nillable="true" ma:displayName="Creator" ma:description="Enter the person primarily responsible for the document. The name of the person uploading the document has been entered by default." ma:list="UserInfo" ma:SharePointGroup="0" ma:internalName="Creato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PA_x0020_Office" ma:index="4" nillable="true" ma:displayName="EPA Office" ma:description="Enter the EPA organization primarily responsible for the document. The office of the person uploading the document has been entered by default." ma:internalName="EPA_x0020_Office" ma:readOnly="false">
      <xsd:simpleType>
        <xsd:restriction base="dms:Text">
          <xsd:maxLength value="255"/>
        </xsd:restriction>
      </xsd:simpleType>
    </xsd:element>
    <xsd:element name="Record" ma:index="5" nillable="true" ma:displayName="Record" ma:default="Shared" ma:description="For documents that provide evidence of EPA decisions and actions, select &quot;Shared&quot; (open access) or &quot;Private&quot; (restricted access)." ma:format="Dropdown" ma:internalName="Record" ma:readOnly="false">
      <xsd:simpleType>
        <xsd:restriction base="dms:Choice">
          <xsd:enumeration value="None"/>
          <xsd:enumeration value="Shared"/>
          <xsd:enumeration value="Private"/>
        </xsd:restriction>
      </xsd:simpleType>
    </xsd:element>
    <xsd:element name="Identifier" ma:index="9" nillable="true" ma:displayName="Identifier" ma:description="Enter all EPA identification numbers applicable to this document, one on each line." ma:internalName="Identifier" ma:readOnly="false">
      <xsd:simpleType>
        <xsd:restriction base="dms:Note">
          <xsd:maxLength value="255"/>
        </xsd:restriction>
      </xsd:simpleType>
    </xsd:element>
    <xsd:element name="EPA_x0020_Contributor" ma:index="11" nillable="true" ma:displayName="EPA Contributor" ma:description="Enter an EPA person who contributed to the creation of the document but is not the primary author." ma:list="UserInfo" ma:SharePointGroup="0" ma:internalName="EPA_x0020_Contributor" ma:readOnly="false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xternal_x0020_Contributor" ma:index="12" nillable="true" ma:displayName="External Contributor" ma:description="Enter a non-EPA person who contributed to the creation of the document but is not the primary author." ma:internalName="External_x0020_Contributor" ma:readOnly="false">
      <xsd:simpleType>
        <xsd:restriction base="dms:Note">
          <xsd:maxLength value="255"/>
        </xsd:restriction>
      </xsd:simpleType>
    </xsd:element>
    <xsd:element name="EPA_x0020_Related_x0020_Documents" ma:index="14" nillable="true" ma:displayName="Other Related Documents" ma:description="Enter any related document." ma:internalName="EPA_x0020_Related_x0020_Documents" ma:readOnly="false">
      <xsd:simpleType>
        <xsd:restriction base="dms:Note">
          <xsd:maxLength value="255"/>
        </xsd:restriction>
      </xsd:simpleType>
    </xsd:element>
    <xsd:element name="Rights" ma:index="16" nillable="true" ma:displayName="Rights" ma:description="Enter information about intellectual property rights held over the document (e.g. copyright, patent, trademark)." ma:internalName="Rights" ma:readOnly="false">
      <xsd:simpleType>
        <xsd:restriction base="dms:Note">
          <xsd:maxLength value="255"/>
        </xsd:restriction>
      </xsd:simpleType>
    </xsd:element>
    <xsd:element name="j747ac98061d40f0aa7bd47e1db5675d" ma:index="19" nillable="true" ma:taxonomy="true" ma:internalName="j747ac98061d40f0aa7bd47e1db5675d" ma:taxonomyFieldName="Document_x0020_Type" ma:displayName="Document Type" ma:readOnly="false" ma:default="" ma:fieldId="{3747ac98-061d-40f0-aa7b-d47e1db5675d}" ma:sspId="29f62856-1543-49d4-a736-4569d363f533" ma:termSetId="e06cd6a9-a175-4da0-81cb-8dba7aa394a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KeywordTaxHTField" ma:index="21" nillable="true" ma:taxonomy="true" ma:internalName="TaxKeywordTaxHTField" ma:taxonomyFieldName="TaxKeyword" ma:displayName="Enterprise Keywords" ma:readOnly="false" ma:fieldId="{23f27201-bee3-471e-b2e7-b64fd8b7ca38}" ma:taxonomyMulti="true" ma:sspId="29f62856-1543-49d4-a736-4569d363f533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Label" ma:index="23" nillable="true" ma:displayName="Taxonomy Catch All Column1" ma:hidden="true" ma:list="{160cad11-562a-4490-8456-b2fd6f157897}" ma:internalName="TaxCatchAllLabel" ma:readOnly="true" ma:showField="CatchAllDataLabel" ma:web="fecc2597-e8fd-4279-ac06-bd7c891938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" ma:index="24" nillable="true" ma:displayName="Taxonomy Catch All Column" ma:hidden="true" ma:list="{160cad11-562a-4490-8456-b2fd6f157897}" ma:internalName="TaxCatchAll" ma:showField="CatchAllData" ma:web="fecc2597-e8fd-4279-ac06-bd7c891938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e3f09c3df709400db2417a7161762d62" ma:index="28" nillable="true" ma:taxonomy="true" ma:internalName="e3f09c3df709400db2417a7161762d62" ma:taxonomyFieldName="EPA_x0020_Subject" ma:displayName="EPA Subject" ma:readOnly="false" ma:default="" ma:fieldId="{e3f09c3d-f709-400d-b241-7a7161762d62}" ma:taxonomyMulti="true" ma:sspId="29f62856-1543-49d4-a736-4569d363f533" ma:termSetId="7a3d4ae0-7e62-45a2-a406-c6a8a6a8eee3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.v3" elementFormDefault="qualified">
    <xsd:import namespace="http://schemas.microsoft.com/office/2006/documentManagement/types"/>
    <xsd:import namespace="http://schemas.microsoft.com/office/infopath/2007/PartnerControls"/>
    <xsd:element name="CategoryDescription" ma:index="6" nillable="true" ma:displayName="Description" ma:description="Enter a brief description." ma:internalName="CategoryDescription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Coverage" ma:index="13" nillable="true" ma:displayName="Coverage" ma:description="Enter the geographic location, jurisdiction, or time period for which the document is relevant." ma:internalName="_Coverage" ma:readOnly="false">
      <xsd:simpleType>
        <xsd:restriction base="dms:Text">
          <xsd:maxLength value="255"/>
        </xsd:restriction>
      </xsd:simpleType>
    </xsd:element>
    <xsd:element name="_Source" ma:index="15" nillable="true" ma:displayName="Source" ma:description="Enter a source from which the document is derived." ma:internalName="_Source" ma:readOnly="fals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cc2597-e8fd-4279-ac06-bd7c891938be" elementFormDefault="qualified">
    <xsd:import namespace="http://schemas.microsoft.com/office/2006/documentManagement/types"/>
    <xsd:import namespace="http://schemas.microsoft.com/office/infopath/2007/PartnerControls"/>
    <xsd:element name="SharedWithUsers" ma:index="2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3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d8da0f-3542-4e50-96c8-f1f698624e8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3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3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33" nillable="true" ma:displayName="Tags" ma:internalName="MediaServiceAutoTags" ma:readOnly="true">
      <xsd:simpleType>
        <xsd:restriction base="dms:Text"/>
      </xsd:simpleType>
    </xsd:element>
    <xsd:element name="MediaServiceOCR" ma:index="3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3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36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40" nillable="true" ma:taxonomy="true" ma:internalName="lcf76f155ced4ddcb4097134ff3c332f" ma:taxonomyFieldName="MediaServiceImageTags" ma:displayName="Image Tags" ma:readOnly="false" ma:fieldId="{5cf76f15-5ced-4ddc-b409-7134ff3c332f}" ma:taxonomyMulti="true" ma:sspId="29f62856-1543-49d4-a736-4569d363f53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4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4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43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Location" ma:index="44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4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5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29f62856-1543-49d4-a736-4569d363f533" ContentTypeId="0x0101" PreviousValue="false"/>
</file>

<file path=customXml/itemProps1.xml><?xml version="1.0" encoding="utf-8"?>
<ds:datastoreItem xmlns:ds="http://schemas.openxmlformats.org/officeDocument/2006/customXml" ds:itemID="{ECE1C983-0E0B-4B2F-910D-765F973691B3}">
  <ds:schemaRefs>
    <ds:schemaRef ds:uri="http://schemas.microsoft.com/office/2006/metadata/properties"/>
    <ds:schemaRef ds:uri="http://schemas.microsoft.com/sharepoint/v3"/>
    <ds:schemaRef ds:uri="4ffa91fb-a0ff-4ac5-b2db-65c790d184a4"/>
    <ds:schemaRef ds:uri="http://www.w3.org/XML/1998/namespace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purl.org/dc/dcmitype/"/>
    <ds:schemaRef ds:uri="ead8da0f-3542-4e50-96c8-f1f698624e86"/>
    <ds:schemaRef ds:uri="http://purl.org/dc/terms/"/>
    <ds:schemaRef ds:uri="fecc2597-e8fd-4279-ac06-bd7c891938be"/>
    <ds:schemaRef ds:uri="http://schemas.microsoft.com/sharepoint/v3/fields"/>
    <ds:schemaRef ds:uri="http://schemas.microsoft.com/sharepoint.v3"/>
  </ds:schemaRefs>
</ds:datastoreItem>
</file>

<file path=customXml/itemProps2.xml><?xml version="1.0" encoding="utf-8"?>
<ds:datastoreItem xmlns:ds="http://schemas.openxmlformats.org/officeDocument/2006/customXml" ds:itemID="{D170D288-245E-4A69-987A-42D72D3E58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ffa91fb-a0ff-4ac5-b2db-65c790d184a4"/>
    <ds:schemaRef ds:uri="http://schemas.microsoft.com/sharepoint.v3"/>
    <ds:schemaRef ds:uri="http://schemas.microsoft.com/sharepoint/v3/fields"/>
    <ds:schemaRef ds:uri="fecc2597-e8fd-4279-ac06-bd7c891938be"/>
    <ds:schemaRef ds:uri="ead8da0f-3542-4e50-96c8-f1f698624e8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1D39144-1024-4506-AD06-191E6079B27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7C16FA7C-3794-47AF-8E37-295E4ED6E969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65</vt:i4>
      </vt:variant>
    </vt:vector>
  </HeadingPairs>
  <TitlesOfParts>
    <vt:vector size="74" baseType="lpstr">
      <vt:lpstr>Cover Page</vt:lpstr>
      <vt:lpstr>ReadMe</vt:lpstr>
      <vt:lpstr>Release Summary</vt:lpstr>
      <vt:lpstr>Release Point Summary</vt:lpstr>
      <vt:lpstr>Product Selector Data</vt:lpstr>
      <vt:lpstr>Release Parameters</vt:lpstr>
      <vt:lpstr>Release Calcs</vt:lpstr>
      <vt:lpstr>Release Results</vt:lpstr>
      <vt:lpstr>Scenario 1_Static</vt:lpstr>
      <vt:lpstr>Air_speed</vt:lpstr>
      <vt:lpstr>D_container_lab_analysis</vt:lpstr>
      <vt:lpstr>D_container_opening</vt:lpstr>
      <vt:lpstr>F_loss_equip</vt:lpstr>
      <vt:lpstr>F_loss_small_cont</vt:lpstr>
      <vt:lpstr>F12DCA_prod</vt:lpstr>
      <vt:lpstr>'Release Parameters'!Freq_release</vt:lpstr>
      <vt:lpstr>Fsat_unload</vt:lpstr>
      <vt:lpstr>'Release Parameters'!ft_per_cm</vt:lpstr>
      <vt:lpstr>'Release Parameters'!ft_per_m</vt:lpstr>
      <vt:lpstr>g_per_kg</vt:lpstr>
      <vt:lpstr>L_per_m3</vt:lpstr>
      <vt:lpstr>lbs_per_kg</vt:lpstr>
      <vt:lpstr>'Release Parameters'!lbs_per_ton</vt:lpstr>
      <vt:lpstr>m3_per_gal</vt:lpstr>
      <vt:lpstr>'Release Parameters'!mg_per_g</vt:lpstr>
      <vt:lpstr>'Release Parameters'!min_per_hr</vt:lpstr>
      <vt:lpstr>mL_per_L</vt:lpstr>
      <vt:lpstr>MW_12DCA</vt:lpstr>
      <vt:lpstr>N_cont_unload_day</vt:lpstr>
      <vt:lpstr>N_cont_unload_yr</vt:lpstr>
      <vt:lpstr>N_sites</vt:lpstr>
      <vt:lpstr>OH_sampling</vt:lpstr>
      <vt:lpstr>OHcont_cleaning</vt:lpstr>
      <vt:lpstr>OHcont_cleaning_yr</vt:lpstr>
      <vt:lpstr>OHequip</vt:lpstr>
      <vt:lpstr>OHlab_testing_day</vt:lpstr>
      <vt:lpstr>OHlab_testing_yr</vt:lpstr>
      <vt:lpstr>OHunload_day</vt:lpstr>
      <vt:lpstr>OHunload_yr</vt:lpstr>
      <vt:lpstr>OPdays_recalc</vt:lpstr>
      <vt:lpstr>Pressure_atm</vt:lpstr>
      <vt:lpstr>Pressure_torr</vt:lpstr>
      <vt:lpstr>PV</vt:lpstr>
      <vt:lpstr>Q_chem_day</vt:lpstr>
      <vt:lpstr>Q_chem_yr</vt:lpstr>
      <vt:lpstr>Q_cont</vt:lpstr>
      <vt:lpstr>Q_stock_day</vt:lpstr>
      <vt:lpstr>Qchem_site_day_recalc</vt:lpstr>
      <vt:lpstr>Qchem_site_yr_recalc</vt:lpstr>
      <vt:lpstr>R_Ltorr_molK</vt:lpstr>
      <vt:lpstr>r_prod</vt:lpstr>
      <vt:lpstr>Rate_fillsmallcont</vt:lpstr>
      <vt:lpstr>Release_Day_Air</vt:lpstr>
      <vt:lpstr>Release_Day_RP1</vt:lpstr>
      <vt:lpstr>Release_Day_RP3</vt:lpstr>
      <vt:lpstr>Release_Day_RP4</vt:lpstr>
      <vt:lpstr>Release_Day_RP5</vt:lpstr>
      <vt:lpstr>Release_Day_RP6</vt:lpstr>
      <vt:lpstr>Release_Day_RP7</vt:lpstr>
      <vt:lpstr>Release_Day_RP8</vt:lpstr>
      <vt:lpstr>Release_Day_Wat_Inc_Lan</vt:lpstr>
      <vt:lpstr>Release_Year_Air</vt:lpstr>
      <vt:lpstr>Release_Year_RP1</vt:lpstr>
      <vt:lpstr>Release_Year_RP3</vt:lpstr>
      <vt:lpstr>Release_Year_RP4</vt:lpstr>
      <vt:lpstr>Release_Year_RP5</vt:lpstr>
      <vt:lpstr>Release_Year_RP6</vt:lpstr>
      <vt:lpstr>Release_Year_RP7</vt:lpstr>
      <vt:lpstr>Release_Year_RP8</vt:lpstr>
      <vt:lpstr>Release_Year_Wat_Inc_Lan</vt:lpstr>
      <vt:lpstr>s_per_hr</vt:lpstr>
      <vt:lpstr>Temp</vt:lpstr>
      <vt:lpstr>TIME_Operating_Days</vt:lpstr>
      <vt:lpstr>VP_torr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Laboratory Use Release Model for 1,2-Dichloroethane</dc:title>
  <dc:subject>Risk Evaluation for 1,2-Dichloroethane</dc:subject>
  <dc:creator>US EPA</dc:creator>
  <cp:keywords>12Dichloroethane ; CASRN 107-06-2 ; Release Model ; laboratory use</cp:keywords>
  <dc:description/>
  <cp:lastModifiedBy>Stanfield, Kelley</cp:lastModifiedBy>
  <cp:revision/>
  <dcterms:created xsi:type="dcterms:W3CDTF">2022-10-14T17:22:09Z</dcterms:created>
  <dcterms:modified xsi:type="dcterms:W3CDTF">2026-04-28T21:04:04Z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0x010100D723352F79007E408EFF44D6142FFCE2</vt:lpwstr>
  </property>
  <property fmtid="{D5CDD505-2E9C-101B-9397-08002B2CF9AE}" pid="3" name="MediaServiceImageTags">
    <vt:lpwstr/>
  </property>
  <property fmtid="{D5CDD505-2E9C-101B-9397-08002B2CF9AE}" pid="4" name="TaxKeyword">
    <vt:lpwstr>1671;#12Dichloroethane|b26867e0-e188-4d8d-b848-2e1a306b3e93;#2030;#laboratory use|a1702548-b08f-4464-9125-c559fdf66d34;#1703;#Release Model|114c9b2a-d776-4dcb-bdfc-0176debe482d;#1673;#CASRN 107-06-2|f01d8752-e9a4-4691-bb25-53c3aaed59fd</vt:lpwstr>
  </property>
  <property fmtid="{D5CDD505-2E9C-101B-9397-08002B2CF9AE}" pid="5" name="EPA Subject">
    <vt:lpwstr/>
  </property>
  <property fmtid="{D5CDD505-2E9C-101B-9397-08002B2CF9AE}" pid="6" name="Document Type">
    <vt:lpwstr/>
  </property>
  <property fmtid="{D5CDD505-2E9C-101B-9397-08002B2CF9AE}" pid="7" name="Document_x0020_Type">
    <vt:lpwstr/>
  </property>
  <property fmtid="{D5CDD505-2E9C-101B-9397-08002B2CF9AE}" pid="8" name="EPA_x0020_Subject">
    <vt:lpwstr/>
  </property>
</Properties>
</file>