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usepa.sharepoint.com/sites/ocspp_Work/wpc/TSCA Scoping Next 20 HPS Review/Chlorinated Solvents/1,2-Dichloroethane (priority 1)/Final RE/QC/DOCKET FILES FOR FINAL/"/>
    </mc:Choice>
  </mc:AlternateContent>
  <xr:revisionPtr revIDLastSave="130" documentId="8_{0CEBB09D-5370-41B2-A83D-86AC4792F8EC}" xr6:coauthVersionLast="47" xr6:coauthVersionMax="47" xr10:uidLastSave="{87E661DB-3806-4691-B043-BD7066916D57}"/>
  <bookViews>
    <workbookView xWindow="-120" yWindow="-120" windowWidth="29040" windowHeight="15720" xr2:uid="{FE599B46-A88C-47EF-A1C7-36550BED3B19}"/>
  </bookViews>
  <sheets>
    <sheet name="Cover Page" sheetId="50" r:id="rId1"/>
    <sheet name="Read Me" sheetId="44" r:id="rId2"/>
    <sheet name="Calculation Summary" sheetId="46" r:id="rId3"/>
    <sheet name="Dashboard" sheetId="31" r:id="rId4"/>
    <sheet name="Bridge Table" sheetId="45" r:id="rId5"/>
    <sheet name="Risk Reduction" sheetId="40" r:id="rId6"/>
    <sheet name="Health Data" sheetId="39" r:id="rId7"/>
    <sheet name="Dermal Exposure" sheetId="42" r:id="rId8"/>
    <sheet name="Inhalation Exposure" sheetId="37" r:id="rId9"/>
    <sheet name="List Values" sheetId="35" r:id="rId10"/>
    <sheet name="Exposure Factors" sheetId="38" r:id="rId11"/>
  </sheets>
  <definedNames>
    <definedName name="_2017NEI_Nonpoint_TSCA_Chem_List">#REF!</definedName>
    <definedName name="_2017NEI_tsca_chemicals_wSCCdetail_Query">#REF!</definedName>
    <definedName name="_AtRisk_SimSetting_AutomaticallyGenerateReports" hidden="1">FALSE</definedName>
    <definedName name="_AtRisk_SimSetting_AutomaticResultsDisplayMode" localSheetId="0" hidden="1">0</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localSheetId="0" hidden="1">100</definedName>
    <definedName name="_AtRisk_SimSetting_ConvergenceTestingPeriod" hidden="1">10</definedName>
    <definedName name="_AtRisk_SimSetting_ConvergenceTolerance" localSheetId="0" hidden="1">0.03</definedName>
    <definedName name="_AtRisk_SimSetting_ConvergenceTolerance" hidden="1">0.01</definedName>
    <definedName name="_AtRisk_SimSetting_CorrelationEnabledState" hidden="1">1</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localSheetId="0" hidden="1">0</definedName>
    <definedName name="_AtRisk_SimSetting_MacroRecalculationBehavior" hidden="1">1</definedName>
    <definedName name="_AtRisk_SimSetting_MaxAutoIterations" hidden="1">50000</definedName>
    <definedName name="_AtRisk_SimSetting_MultipleCPUCount" localSheetId="0" hidden="1">-1</definedName>
    <definedName name="_AtRisk_SimSetting_MultipleCPUCount" hidden="1">8</definedName>
    <definedName name="_AtRisk_SimSetting_MultipleCPUManualCount" hidden="1">8</definedName>
    <definedName name="_AtRisk_SimSetting_MultipleCPUMode" localSheetId="0" hidden="1">1</definedName>
    <definedName name="_AtRisk_SimSetting_MultipleCPUMode" hidden="1">2</definedName>
    <definedName name="_AtRisk_SimSetting_MultipleCPUModeV8" localSheetId="0" hidden="1">1</definedName>
    <definedName name="_AtRisk_SimSetting_MultipleCPUModeV8" hidden="1">2</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0</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15</definedName>
    <definedName name="_AtRisk_SimSetting_ReportOptionReportsFileType" hidden="1">1</definedName>
    <definedName name="_AtRisk_SimSetting_ReportOptionSelectiveQR" hidden="1">FALSE</definedName>
    <definedName name="_AtRisk_SimSetting_ReportsList" hidden="1">15</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8" hidden="1">'Inhalation Exposure'!$B$5:$V$65</definedName>
    <definedName name="AT">#REF!</definedName>
    <definedName name="AT_50th_non_cancer">#REF!</definedName>
    <definedName name="AT_50th_non_cancer_DC">#REF!</definedName>
    <definedName name="AT_95th_non_cancer">#REF!</definedName>
    <definedName name="AT_95th_non_cancer_DC">#REF!</definedName>
    <definedName name="AT_AC" localSheetId="0">#REF!</definedName>
    <definedName name="AT_AC">'List Values'!$J$42</definedName>
    <definedName name="AT_AC_DC">#REF!</definedName>
    <definedName name="AT_ADC_high" localSheetId="0">#REF!</definedName>
    <definedName name="AT_ADC_high">'List Values'!$J$33</definedName>
    <definedName name="AT_ADC_mid" localSheetId="0">#REF!</definedName>
    <definedName name="AT_ADC_mid">'List Values'!$J$32</definedName>
    <definedName name="AT_ADC_ST">'List Values'!$J$39</definedName>
    <definedName name="AT_cancer">#REF!</definedName>
    <definedName name="AT_cancer_DC">#REF!</definedName>
    <definedName name="AT_CRD_high">'List Values'!$J$36</definedName>
    <definedName name="AT_CRD_mid">'List Values'!$J$35</definedName>
    <definedName name="AT_CRD_ST">'List Values'!$J$41</definedName>
    <definedName name="AT_LADC" localSheetId="0">#REF!</definedName>
    <definedName name="AT_LADC">'List Values'!$J$34</definedName>
    <definedName name="AT_LCRD">'List Values'!$J$37</definedName>
    <definedName name="AWD">#REF!</definedName>
    <definedName name="AWD_DC_50th">#REF!</definedName>
    <definedName name="AWD_DC_95th">#REF!</definedName>
    <definedName name="Breathing_Ratio">'List Values'!$J$38</definedName>
    <definedName name="BW_default">'Exposure Factors'!$C$6</definedName>
    <definedName name="BW_women">'Exposure Factors'!$D$6</definedName>
    <definedName name="CASRN">#REF!</definedName>
    <definedName name="ED">#REF!</definedName>
    <definedName name="ED_24">'List Values'!$J$26</definedName>
    <definedName name="ED_8">'List Values'!$J$25</definedName>
    <definedName name="ED_AC">#REF!</definedName>
    <definedName name="ED_AC_DC">#REF!</definedName>
    <definedName name="ED_chronic">#REF!</definedName>
    <definedName name="ED_chronic_DC">#REF!</definedName>
    <definedName name="EF" localSheetId="0">#REF!</definedName>
    <definedName name="EF">'List Values'!$J$27</definedName>
    <definedName name="EF_C">'List Values'!$J$28</definedName>
    <definedName name="EF_ST">'List Values'!$J$40</definedName>
    <definedName name="EG">#REF!</definedName>
    <definedName name="Exposure_Drop_down" localSheetId="6">'Health Data'!$M$11:$M$11</definedName>
    <definedName name="LT">'List Values'!$J$31</definedName>
    <definedName name="MW">'List Values'!$I$15</definedName>
    <definedName name="Pal_Workbook_GUID" localSheetId="0" hidden="1">"SK39RLEDQA2L46YW8H5SUKN3"</definedName>
    <definedName name="Pal_Workbook_GUID" hidden="1">"QFFA8IQU6YFGRFCXE7L4LIWR"</definedName>
    <definedName name="RiskAfterRecalcMacro" localSheetId="0" hidden="1">""</definedName>
    <definedName name="RiskAfterRecalcMacro" hidden="1">"'PERC_Dry Cleaner Model_4.9.2019.xlsm'!RK4Solver.RK4Solver"</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localSheetId="0" hidden="1">TRUE</definedName>
    <definedName name="RiskMultipleCPUSupportEnabled" hidden="1">FALSE</definedName>
    <definedName name="RiskNumIterations" hidden="1">100000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localSheetId="0" hidden="1">TRUE</definedName>
    <definedName name="RiskUseMultipleCPUs" hidden="1">FALSE</definedName>
    <definedName name="solver_adj" localSheetId="5" hidden="1">'Risk Reduction'!#REF!</definedName>
    <definedName name="solver_cvg" localSheetId="5" hidden="1">0.0001</definedName>
    <definedName name="solver_drv" localSheetId="5" hidden="1">1</definedName>
    <definedName name="solver_eng" localSheetId="5" hidden="1">1</definedName>
    <definedName name="solver_est" localSheetId="5" hidden="1">1</definedName>
    <definedName name="solver_itr" localSheetId="5" hidden="1">2147483647</definedName>
    <definedName name="solver_mip" localSheetId="5" hidden="1">2147483647</definedName>
    <definedName name="solver_mni" localSheetId="5" hidden="1">30</definedName>
    <definedName name="solver_mrt" localSheetId="5" hidden="1">0.075</definedName>
    <definedName name="solver_msl" localSheetId="5" hidden="1">2</definedName>
    <definedName name="solver_neg" localSheetId="5" hidden="1">1</definedName>
    <definedName name="solver_nod" localSheetId="5" hidden="1">2147483647</definedName>
    <definedName name="solver_num" localSheetId="5" hidden="1">0</definedName>
    <definedName name="solver_nwt" localSheetId="5" hidden="1">1</definedName>
    <definedName name="solver_opt" localSheetId="5" hidden="1">'Risk Reduction'!#REF!</definedName>
    <definedName name="solver_pre" localSheetId="5" hidden="1">0.000001</definedName>
    <definedName name="solver_rbv" localSheetId="5" hidden="1">1</definedName>
    <definedName name="solver_rlx" localSheetId="5" hidden="1">2</definedName>
    <definedName name="solver_rsd" localSheetId="5" hidden="1">0</definedName>
    <definedName name="solver_scl" localSheetId="5" hidden="1">1</definedName>
    <definedName name="solver_sho" localSheetId="5" hidden="1">2</definedName>
    <definedName name="solver_ssz" localSheetId="5" hidden="1">100</definedName>
    <definedName name="solver_tim" localSheetId="5" hidden="1">2147483647</definedName>
    <definedName name="solver_tol" localSheetId="5" hidden="1">0.01</definedName>
    <definedName name="solver_typ" localSheetId="5" hidden="1">3</definedName>
    <definedName name="solver_val" localSheetId="5" hidden="1">1</definedName>
    <definedName name="solver_ver" localSheetId="5" hidden="1">3</definedName>
    <definedName name="ug_per_mg">'List Values'!$I$22</definedName>
    <definedName name="what">#REF!</definedName>
    <definedName name="WY_50th">#REF!</definedName>
    <definedName name="WY_50th_DC">#REF!</definedName>
    <definedName name="WY_95th">#REF!</definedName>
    <definedName name="WY_95th_DC">#REF!</definedName>
    <definedName name="WY_byp_high">'List Values'!$J$46</definedName>
    <definedName name="WY_byp_mid">'List Values'!$J$45</definedName>
    <definedName name="WY_CT_default">'Exposure Factors'!$C$10</definedName>
    <definedName name="WY_CT_women">'Exposure Factors'!$D$10</definedName>
    <definedName name="WY_HE_default">'Exposure Factors'!$C$9</definedName>
    <definedName name="WY_HE_women">'Exposure Factors'!$D$9</definedName>
    <definedName name="WY_high" localSheetId="0">#REF!</definedName>
    <definedName name="WY_high">'List Values'!$J$30</definedName>
    <definedName name="WY_mfg_high">'List Values'!$J$44</definedName>
    <definedName name="WY_mfg_mid">'List Values'!$J$43</definedName>
    <definedName name="WY_mid" localSheetId="0">#REF!</definedName>
    <definedName name="WY_mid">'List Values'!$J$29</definedName>
    <definedName name="WY_proc_high">'List Values'!$J$48</definedName>
    <definedName name="WY_proc_mid">'List Values'!$J$47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5" i="40" l="1"/>
  <c r="W24" i="40"/>
  <c r="Z27" i="40"/>
  <c r="W27" i="40"/>
  <c r="W26" i="40"/>
  <c r="X27" i="40"/>
  <c r="T11" i="31" l="1"/>
  <c r="Q40" i="31" s="1"/>
  <c r="T10" i="31"/>
  <c r="Q39" i="31" s="1"/>
  <c r="Z10" i="40"/>
  <c r="Z12" i="40" s="1"/>
  <c r="Z11" i="40"/>
  <c r="Z13" i="40" s="1"/>
  <c r="N13" i="39"/>
  <c r="J38" i="35"/>
  <c r="W22" i="40"/>
  <c r="W23" i="40"/>
  <c r="U30" i="40"/>
  <c r="U24" i="40"/>
  <c r="U26" i="40"/>
  <c r="U22" i="40"/>
  <c r="T30" i="40"/>
  <c r="S30" i="40"/>
  <c r="H30" i="40"/>
  <c r="T24" i="40"/>
  <c r="T26" i="40"/>
  <c r="T22" i="40"/>
  <c r="S24" i="40"/>
  <c r="S26" i="40"/>
  <c r="S22" i="40"/>
  <c r="M5" i="45"/>
  <c r="L5" i="45"/>
  <c r="K5" i="45"/>
  <c r="P5" i="45" s="1"/>
  <c r="P8" i="45"/>
  <c r="AD10" i="45"/>
  <c r="AC10" i="45"/>
  <c r="M157" i="45" s="1"/>
  <c r="AB10" i="45"/>
  <c r="AA10" i="45"/>
  <c r="N37" i="31"/>
  <c r="M37" i="31"/>
  <c r="P30" i="31"/>
  <c r="P31" i="31"/>
  <c r="N30" i="31"/>
  <c r="M30" i="31"/>
  <c r="P24" i="31"/>
  <c r="P25" i="31"/>
  <c r="N24" i="31"/>
  <c r="P18" i="31"/>
  <c r="P19" i="31"/>
  <c r="N18" i="31"/>
  <c r="M18" i="31"/>
  <c r="D37" i="31"/>
  <c r="B57" i="37"/>
  <c r="B59" i="37" s="1"/>
  <c r="B63" i="37" s="1"/>
  <c r="B56" i="37"/>
  <c r="J11" i="40"/>
  <c r="J10" i="40"/>
  <c r="J13" i="40"/>
  <c r="J12" i="40"/>
  <c r="E12" i="31"/>
  <c r="U11" i="40"/>
  <c r="U17" i="40" s="1"/>
  <c r="D26" i="40"/>
  <c r="D24" i="40"/>
  <c r="D22" i="40"/>
  <c r="C37" i="31"/>
  <c r="C30" i="31"/>
  <c r="M24" i="31"/>
  <c r="C24" i="31"/>
  <c r="C18" i="31"/>
  <c r="F30" i="40"/>
  <c r="E30" i="40"/>
  <c r="F26" i="40"/>
  <c r="F24" i="40"/>
  <c r="F22" i="40"/>
  <c r="V11" i="40"/>
  <c r="V17" i="40" s="1"/>
  <c r="AA23" i="40" s="1"/>
  <c r="J24" i="40"/>
  <c r="J25" i="40"/>
  <c r="H24" i="40"/>
  <c r="M4" i="45"/>
  <c r="L4" i="45"/>
  <c r="K4" i="45"/>
  <c r="E11" i="31"/>
  <c r="E10" i="31"/>
  <c r="E13" i="31"/>
  <c r="S208" i="45"/>
  <c r="S206" i="45"/>
  <c r="S204" i="45"/>
  <c r="S202" i="45"/>
  <c r="S198" i="45"/>
  <c r="S196" i="45"/>
  <c r="S194" i="45"/>
  <c r="S192" i="45"/>
  <c r="S188" i="45"/>
  <c r="S186" i="45"/>
  <c r="S176" i="45"/>
  <c r="S174" i="45"/>
  <c r="S82" i="45"/>
  <c r="S80" i="45"/>
  <c r="S78" i="45"/>
  <c r="S76" i="45"/>
  <c r="S118" i="45"/>
  <c r="S116" i="45"/>
  <c r="S98" i="45"/>
  <c r="S96" i="45"/>
  <c r="R208" i="45"/>
  <c r="R206" i="45"/>
  <c r="R204" i="45"/>
  <c r="R202" i="45"/>
  <c r="R198" i="45"/>
  <c r="R196" i="45"/>
  <c r="R194" i="45"/>
  <c r="R192" i="45"/>
  <c r="R188" i="45"/>
  <c r="R186" i="45"/>
  <c r="R176" i="45"/>
  <c r="R174" i="45"/>
  <c r="R82" i="45"/>
  <c r="R80" i="45"/>
  <c r="R78" i="45"/>
  <c r="R76" i="45"/>
  <c r="S10" i="45"/>
  <c r="S12" i="45"/>
  <c r="S26" i="45"/>
  <c r="S28" i="45"/>
  <c r="R118" i="45"/>
  <c r="R116" i="45"/>
  <c r="R98" i="45"/>
  <c r="R96" i="45"/>
  <c r="R28" i="45"/>
  <c r="R26" i="45"/>
  <c r="R12" i="45"/>
  <c r="R10" i="45"/>
  <c r="Q208" i="45"/>
  <c r="Q206" i="45"/>
  <c r="Q204" i="45"/>
  <c r="Q202" i="45"/>
  <c r="Q198" i="45"/>
  <c r="Q196" i="45"/>
  <c r="Q194" i="45"/>
  <c r="Q192" i="45"/>
  <c r="Q188" i="45"/>
  <c r="Q186" i="45"/>
  <c r="Q176" i="45"/>
  <c r="Q174" i="45"/>
  <c r="Q82" i="45"/>
  <c r="Q80" i="45"/>
  <c r="Q78" i="45"/>
  <c r="Q76" i="45"/>
  <c r="Q118" i="45"/>
  <c r="Q116" i="45"/>
  <c r="Q98" i="45"/>
  <c r="Q96" i="45"/>
  <c r="Q28" i="45"/>
  <c r="Q26" i="45"/>
  <c r="Q12" i="45"/>
  <c r="Q10" i="45"/>
  <c r="P208" i="45"/>
  <c r="P206" i="45"/>
  <c r="P204" i="45"/>
  <c r="P202" i="45"/>
  <c r="P198" i="45"/>
  <c r="P196" i="45"/>
  <c r="P194" i="45"/>
  <c r="P192" i="45"/>
  <c r="P188" i="45"/>
  <c r="P186" i="45"/>
  <c r="P176" i="45"/>
  <c r="P174" i="45"/>
  <c r="P82" i="45"/>
  <c r="P80" i="45"/>
  <c r="P78" i="45"/>
  <c r="P76" i="45"/>
  <c r="P118" i="45"/>
  <c r="P116" i="45"/>
  <c r="P98" i="45"/>
  <c r="P96" i="45"/>
  <c r="AB9" i="45"/>
  <c r="Q5" i="45"/>
  <c r="Q8" i="45" s="1"/>
  <c r="J41" i="35"/>
  <c r="J39" i="35"/>
  <c r="F24" i="31"/>
  <c r="F25" i="31"/>
  <c r="D24" i="31"/>
  <c r="D30" i="31"/>
  <c r="D18" i="31"/>
  <c r="H26" i="40"/>
  <c r="H22" i="40"/>
  <c r="X28" i="40"/>
  <c r="K28" i="40"/>
  <c r="J26" i="40"/>
  <c r="J27" i="40"/>
  <c r="J22" i="40"/>
  <c r="J23" i="40"/>
  <c r="F30" i="31"/>
  <c r="F31" i="31"/>
  <c r="F19" i="31"/>
  <c r="F18" i="31"/>
  <c r="J34" i="35"/>
  <c r="P55" i="37" s="1"/>
  <c r="J33" i="35"/>
  <c r="N39" i="37" s="1"/>
  <c r="J32" i="35"/>
  <c r="O20" i="37" s="1"/>
  <c r="AC9" i="45"/>
  <c r="R5" i="45"/>
  <c r="R8" i="45"/>
  <c r="J35" i="35"/>
  <c r="J37" i="35"/>
  <c r="J36" i="35"/>
  <c r="P10" i="39"/>
  <c r="N5" i="45"/>
  <c r="S5" i="45" s="1"/>
  <c r="P8" i="39"/>
  <c r="P7" i="39"/>
  <c r="AA9" i="45"/>
  <c r="P28" i="45"/>
  <c r="P26" i="45"/>
  <c r="P12" i="45"/>
  <c r="P10" i="45"/>
  <c r="D7" i="38"/>
  <c r="C7" i="38"/>
  <c r="X20" i="40"/>
  <c r="K20" i="40"/>
  <c r="S16" i="40"/>
  <c r="S14" i="40"/>
  <c r="S12" i="40"/>
  <c r="I19" i="35"/>
  <c r="J63" i="40"/>
  <c r="S63" i="40"/>
  <c r="T63" i="40"/>
  <c r="M95" i="31"/>
  <c r="I63" i="40"/>
  <c r="D6" i="38"/>
  <c r="AD9" i="45"/>
  <c r="K7" i="37"/>
  <c r="K9" i="37"/>
  <c r="K62" i="37"/>
  <c r="M64" i="37"/>
  <c r="O11" i="31"/>
  <c r="W11" i="40"/>
  <c r="W13" i="40" s="1"/>
  <c r="Y25" i="40" s="1"/>
  <c r="U10" i="40"/>
  <c r="U12" i="40" s="1"/>
  <c r="J19" i="37"/>
  <c r="K43" i="37"/>
  <c r="K49" i="37"/>
  <c r="M43" i="37"/>
  <c r="M51" i="37"/>
  <c r="L8" i="37"/>
  <c r="N4" i="45"/>
  <c r="J13" i="37"/>
  <c r="K13" i="37"/>
  <c r="M19" i="37"/>
  <c r="Q17" i="37"/>
  <c r="J17" i="37"/>
  <c r="Y11" i="40"/>
  <c r="Y15" i="40" s="1"/>
  <c r="X11" i="40"/>
  <c r="X13" i="40" s="1"/>
  <c r="Y27" i="40" s="1"/>
  <c r="O10" i="31"/>
  <c r="S11" i="31"/>
  <c r="Q38" i="31" s="1"/>
  <c r="O95" i="31" s="1"/>
  <c r="R11" i="31"/>
  <c r="Q31" i="31" s="1"/>
  <c r="Q11" i="31"/>
  <c r="Q25" i="31" s="1"/>
  <c r="P11" i="31"/>
  <c r="V10" i="40"/>
  <c r="V12" i="40" s="1"/>
  <c r="Y22" i="40" s="1"/>
  <c r="P10" i="31"/>
  <c r="R10" i="31"/>
  <c r="Q30" i="31" s="1"/>
  <c r="S10" i="31"/>
  <c r="Q37" i="31" s="1"/>
  <c r="N95" i="31" s="1"/>
  <c r="X10" i="40"/>
  <c r="X16" i="40" s="1"/>
  <c r="AA26" i="40" s="1"/>
  <c r="Y10" i="40"/>
  <c r="Y14" i="40" s="1"/>
  <c r="W10" i="40"/>
  <c r="W14" i="40" s="1"/>
  <c r="Z24" i="40" s="1"/>
  <c r="Q10" i="31"/>
  <c r="Q24" i="31" s="1"/>
  <c r="S20" i="37"/>
  <c r="S21" i="37"/>
  <c r="S23" i="37"/>
  <c r="S17" i="37"/>
  <c r="M61" i="37"/>
  <c r="L61" i="37"/>
  <c r="O61" i="37"/>
  <c r="K159" i="45"/>
  <c r="K147" i="45"/>
  <c r="K129" i="45"/>
  <c r="K139" i="45"/>
  <c r="K127" i="45"/>
  <c r="K187" i="45"/>
  <c r="P187" i="45" s="1"/>
  <c r="K205" i="45"/>
  <c r="P205" i="45" s="1"/>
  <c r="K197" i="45"/>
  <c r="P197" i="45" s="1"/>
  <c r="K169" i="45"/>
  <c r="K157" i="45"/>
  <c r="K195" i="45"/>
  <c r="P195" i="45" s="1"/>
  <c r="K207" i="45"/>
  <c r="P207" i="45" s="1"/>
  <c r="K185" i="45"/>
  <c r="P185" i="45" s="1"/>
  <c r="K167" i="45"/>
  <c r="K149" i="45"/>
  <c r="K137" i="45"/>
  <c r="N195" i="45"/>
  <c r="S195" i="45" s="1"/>
  <c r="N139" i="45"/>
  <c r="N127" i="45"/>
  <c r="N159" i="45"/>
  <c r="N185" i="45"/>
  <c r="S185" i="45" s="1"/>
  <c r="N147" i="45"/>
  <c r="L205" i="45"/>
  <c r="Q205" i="45" s="1"/>
  <c r="L159" i="45"/>
  <c r="M195" i="45"/>
  <c r="R195" i="45" s="1"/>
  <c r="M197" i="45"/>
  <c r="R197" i="45" s="1"/>
  <c r="M159" i="45"/>
  <c r="M207" i="45"/>
  <c r="R207" i="45" s="1"/>
  <c r="K115" i="45"/>
  <c r="P115" i="45" s="1"/>
  <c r="K79" i="45"/>
  <c r="P79" i="45" s="1"/>
  <c r="K91" i="45"/>
  <c r="K81" i="45"/>
  <c r="P81" i="45" s="1"/>
  <c r="K89" i="45"/>
  <c r="K117" i="45"/>
  <c r="P117" i="45" s="1"/>
  <c r="L79" i="45"/>
  <c r="Q79" i="45" s="1"/>
  <c r="M79" i="45"/>
  <c r="R79" i="45" s="1"/>
  <c r="M117" i="45"/>
  <c r="R117" i="45" s="1"/>
  <c r="N115" i="45"/>
  <c r="S115" i="45" s="1"/>
  <c r="N79" i="45"/>
  <c r="S79" i="45" s="1"/>
  <c r="O115" i="45"/>
  <c r="K49" i="45"/>
  <c r="K47" i="45"/>
  <c r="M47" i="45"/>
  <c r="N49" i="45"/>
  <c r="N27" i="45"/>
  <c r="S27" i="45" s="1"/>
  <c r="O25" i="45"/>
  <c r="L27" i="45"/>
  <c r="Q27" i="45" s="1"/>
  <c r="K27" i="45"/>
  <c r="P27" i="45" s="1"/>
  <c r="K25" i="45"/>
  <c r="P25" i="45" s="1"/>
  <c r="L8" i="45"/>
  <c r="N52" i="37"/>
  <c r="L59" i="37"/>
  <c r="O44" i="37"/>
  <c r="L53" i="37"/>
  <c r="L12" i="37"/>
  <c r="O49" i="37"/>
  <c r="O14" i="37"/>
  <c r="O9" i="37"/>
  <c r="M57" i="37"/>
  <c r="N11" i="37"/>
  <c r="M15" i="37"/>
  <c r="L17" i="37"/>
  <c r="J8" i="37"/>
  <c r="K48" i="37"/>
  <c r="J52" i="37"/>
  <c r="N15" i="37"/>
  <c r="J21" i="37"/>
  <c r="N55" i="37"/>
  <c r="Q55" i="37"/>
  <c r="Q7" i="37"/>
  <c r="L6" i="37"/>
  <c r="M13" i="37"/>
  <c r="L21" i="37"/>
  <c r="M63" i="37"/>
  <c r="L13" i="37"/>
  <c r="L37" i="37"/>
  <c r="M45" i="37"/>
  <c r="K53" i="37"/>
  <c r="K34" i="37"/>
  <c r="N45" i="37"/>
  <c r="L15" i="37"/>
  <c r="K56" i="37"/>
  <c r="J57" i="37"/>
  <c r="O59" i="37"/>
  <c r="J20" i="37"/>
  <c r="K14" i="37"/>
  <c r="J44" i="37"/>
  <c r="M48" i="37"/>
  <c r="L64" i="37"/>
  <c r="L50" i="37"/>
  <c r="M54" i="37"/>
  <c r="Q52" i="37"/>
  <c r="N54" i="37"/>
  <c r="L62" i="37"/>
  <c r="K65" i="37"/>
  <c r="K55" i="37"/>
  <c r="M11" i="37"/>
  <c r="L44" i="37"/>
  <c r="J22" i="37"/>
  <c r="M7" i="37"/>
  <c r="P42" i="37"/>
  <c r="M39" i="37"/>
  <c r="M41" i="37"/>
  <c r="Q42" i="37"/>
  <c r="L47" i="37"/>
  <c r="M44" i="37"/>
  <c r="L22" i="37"/>
  <c r="M16" i="37"/>
  <c r="N47" i="37"/>
  <c r="N46" i="37"/>
  <c r="N60" i="37"/>
  <c r="M9" i="37"/>
  <c r="M40" i="37"/>
  <c r="K46" i="37"/>
  <c r="M6" i="37"/>
  <c r="N34" i="37"/>
  <c r="N58" i="37"/>
  <c r="N9" i="37"/>
  <c r="S10" i="37" l="1"/>
  <c r="O58" i="37"/>
  <c r="N14" i="37"/>
  <c r="N33" i="37"/>
  <c r="W17" i="40"/>
  <c r="AA25" i="40" s="1"/>
  <c r="L69" i="45"/>
  <c r="L71" i="45"/>
  <c r="M49" i="45"/>
  <c r="N69" i="45"/>
  <c r="O69" i="45"/>
  <c r="O71" i="45"/>
  <c r="N71" i="45"/>
  <c r="N81" i="45"/>
  <c r="S81" i="45" s="1"/>
  <c r="N157" i="45"/>
  <c r="M27" i="45"/>
  <c r="R27" i="45" s="1"/>
  <c r="O27" i="45"/>
  <c r="L49" i="45"/>
  <c r="O117" i="45"/>
  <c r="M91" i="45"/>
  <c r="M185" i="45"/>
  <c r="R185" i="45" s="1"/>
  <c r="M129" i="45"/>
  <c r="L137" i="45"/>
  <c r="L147" i="45"/>
  <c r="N137" i="45"/>
  <c r="N169" i="45"/>
  <c r="L89" i="45"/>
  <c r="L129" i="45"/>
  <c r="M25" i="45"/>
  <c r="R25" i="45" s="1"/>
  <c r="L47" i="45"/>
  <c r="M139" i="45"/>
  <c r="N207" i="45"/>
  <c r="S207" i="45" s="1"/>
  <c r="O47" i="45"/>
  <c r="N91" i="45"/>
  <c r="L117" i="45"/>
  <c r="Q117" i="45" s="1"/>
  <c r="M137" i="45"/>
  <c r="M127" i="45"/>
  <c r="L149" i="45"/>
  <c r="L187" i="45"/>
  <c r="Q187" i="45" s="1"/>
  <c r="N149" i="45"/>
  <c r="N129" i="45"/>
  <c r="K8" i="45"/>
  <c r="L207" i="45"/>
  <c r="Q207" i="45" s="1"/>
  <c r="M187" i="45"/>
  <c r="R187" i="45" s="1"/>
  <c r="L157" i="45"/>
  <c r="L195" i="45"/>
  <c r="Q195" i="45" s="1"/>
  <c r="N47" i="45"/>
  <c r="N117" i="45"/>
  <c r="S117" i="45" s="1"/>
  <c r="L81" i="45"/>
  <c r="Q81" i="45" s="1"/>
  <c r="M149" i="45"/>
  <c r="L167" i="45"/>
  <c r="L139" i="45"/>
  <c r="N167" i="45"/>
  <c r="N197" i="45"/>
  <c r="S197" i="45" s="1"/>
  <c r="L115" i="45"/>
  <c r="Q115" i="45" s="1"/>
  <c r="L127" i="45"/>
  <c r="M69" i="45"/>
  <c r="M71" i="45"/>
  <c r="M115" i="45"/>
  <c r="R115" i="45" s="1"/>
  <c r="M205" i="45"/>
  <c r="R205" i="45" s="1"/>
  <c r="N25" i="45"/>
  <c r="S25" i="45" s="1"/>
  <c r="M81" i="45"/>
  <c r="R81" i="45" s="1"/>
  <c r="M147" i="45"/>
  <c r="L197" i="45"/>
  <c r="Q197" i="45" s="1"/>
  <c r="L25" i="45"/>
  <c r="Q25" i="45" s="1"/>
  <c r="O49" i="45"/>
  <c r="N89" i="45"/>
  <c r="M89" i="45"/>
  <c r="L91" i="45"/>
  <c r="M167" i="45"/>
  <c r="M169" i="45"/>
  <c r="L185" i="45"/>
  <c r="Q185" i="45" s="1"/>
  <c r="L169" i="45"/>
  <c r="N205" i="45"/>
  <c r="S205" i="45" s="1"/>
  <c r="N187" i="45"/>
  <c r="S187" i="45" s="1"/>
  <c r="K69" i="45"/>
  <c r="K71" i="45"/>
  <c r="Q19" i="31"/>
  <c r="Q49" i="37"/>
  <c r="P18" i="37"/>
  <c r="R17" i="37"/>
  <c r="P23" i="37"/>
  <c r="K32" i="37"/>
  <c r="K28" i="37"/>
  <c r="K24" i="37"/>
  <c r="J32" i="37"/>
  <c r="J28" i="37"/>
  <c r="J24" i="37"/>
  <c r="K31" i="37"/>
  <c r="F11" i="31" s="1"/>
  <c r="H18" i="31" s="1"/>
  <c r="K27" i="37"/>
  <c r="J31" i="37"/>
  <c r="J27" i="37"/>
  <c r="K30" i="37"/>
  <c r="K26" i="37"/>
  <c r="J30" i="37"/>
  <c r="J26" i="37"/>
  <c r="K29" i="37"/>
  <c r="K25" i="37"/>
  <c r="J29" i="37"/>
  <c r="J25" i="37"/>
  <c r="J46" i="37"/>
  <c r="K113" i="45" s="1"/>
  <c r="P46" i="37"/>
  <c r="O60" i="37"/>
  <c r="M60" i="37"/>
  <c r="P14" i="37"/>
  <c r="M12" i="37"/>
  <c r="O11" i="37"/>
  <c r="L7" i="37"/>
  <c r="M59" i="37"/>
  <c r="Q43" i="37"/>
  <c r="N6" i="37"/>
  <c r="O22" i="37"/>
  <c r="M42" i="37"/>
  <c r="L23" i="37"/>
  <c r="P39" i="37"/>
  <c r="L51" i="37"/>
  <c r="M23" i="37"/>
  <c r="P41" i="37"/>
  <c r="M38" i="37"/>
  <c r="K38" i="37"/>
  <c r="O55" i="37"/>
  <c r="N50" i="37"/>
  <c r="M52" i="37"/>
  <c r="L57" i="37"/>
  <c r="M21" i="37"/>
  <c r="P58" i="37"/>
  <c r="O33" i="37"/>
  <c r="P59" i="37"/>
  <c r="L49" i="37"/>
  <c r="N16" i="37"/>
  <c r="M18" i="37"/>
  <c r="S9" i="37"/>
  <c r="S8" i="37"/>
  <c r="R13" i="37"/>
  <c r="S14" i="37"/>
  <c r="R18" i="37"/>
  <c r="Q6" i="37"/>
  <c r="J34" i="37"/>
  <c r="K10" i="37"/>
  <c r="O54" i="37"/>
  <c r="M49" i="37"/>
  <c r="J54" i="37"/>
  <c r="K155" i="45" s="1"/>
  <c r="P43" i="37"/>
  <c r="J35" i="37"/>
  <c r="K58" i="37"/>
  <c r="K173" i="45" s="1"/>
  <c r="P173" i="45" s="1"/>
  <c r="Q58" i="37"/>
  <c r="K20" i="37"/>
  <c r="M31" i="37"/>
  <c r="G11" i="31" s="1"/>
  <c r="H24" i="31" s="1"/>
  <c r="M27" i="37"/>
  <c r="L31" i="37"/>
  <c r="L27" i="37"/>
  <c r="M30" i="37"/>
  <c r="M26" i="37"/>
  <c r="L30" i="37"/>
  <c r="G12" i="31" s="1"/>
  <c r="G25" i="31" s="1"/>
  <c r="L26" i="37"/>
  <c r="M29" i="37"/>
  <c r="M25" i="37"/>
  <c r="L29" i="37"/>
  <c r="L25" i="37"/>
  <c r="M32" i="37"/>
  <c r="M28" i="37"/>
  <c r="M24" i="37"/>
  <c r="L32" i="37"/>
  <c r="L28" i="37"/>
  <c r="L24" i="37"/>
  <c r="Q45" i="37"/>
  <c r="P52" i="37"/>
  <c r="K60" i="37"/>
  <c r="Q47" i="37"/>
  <c r="O46" i="37"/>
  <c r="L60" i="37"/>
  <c r="L18" i="37"/>
  <c r="Q34" i="37"/>
  <c r="Q22" i="37"/>
  <c r="P62" i="37"/>
  <c r="N62" i="37"/>
  <c r="J48" i="37"/>
  <c r="K125" i="45" s="1"/>
  <c r="P13" i="37"/>
  <c r="N38" i="37"/>
  <c r="L42" i="37"/>
  <c r="L63" i="37"/>
  <c r="Q54" i="37"/>
  <c r="P12" i="37"/>
  <c r="Q16" i="37"/>
  <c r="P37" i="37"/>
  <c r="N97" i="45" s="1"/>
  <c r="S97" i="45" s="1"/>
  <c r="L11" i="37"/>
  <c r="K11" i="37"/>
  <c r="J62" i="37"/>
  <c r="Q51" i="37"/>
  <c r="L43" i="37"/>
  <c r="Q21" i="37"/>
  <c r="M58" i="37"/>
  <c r="L55" i="37"/>
  <c r="L162" i="45" s="1"/>
  <c r="L48" i="37"/>
  <c r="L58" i="37"/>
  <c r="O51" i="37"/>
  <c r="M141" i="45" s="1"/>
  <c r="N56" i="37"/>
  <c r="N65" i="37"/>
  <c r="S16" i="37"/>
  <c r="R14" i="37"/>
  <c r="R7" i="37"/>
  <c r="R12" i="37"/>
  <c r="R20" i="37"/>
  <c r="K33" i="37"/>
  <c r="K75" i="45" s="1"/>
  <c r="P75" i="45" s="1"/>
  <c r="K19" i="37"/>
  <c r="J10" i="37"/>
  <c r="O53" i="37"/>
  <c r="K12" i="37"/>
  <c r="J53" i="37"/>
  <c r="K152" i="45" s="1"/>
  <c r="Q37" i="37"/>
  <c r="K6" i="37"/>
  <c r="J65" i="37"/>
  <c r="K210" i="45" s="1"/>
  <c r="K40" i="37"/>
  <c r="S32" i="37"/>
  <c r="Q29" i="37"/>
  <c r="S28" i="37"/>
  <c r="Q25" i="37"/>
  <c r="S24" i="37"/>
  <c r="R32" i="37"/>
  <c r="P29" i="37"/>
  <c r="R28" i="37"/>
  <c r="P25" i="37"/>
  <c r="R24" i="37"/>
  <c r="Q32" i="37"/>
  <c r="S31" i="37"/>
  <c r="Q28" i="37"/>
  <c r="S27" i="37"/>
  <c r="Q24" i="37"/>
  <c r="P32" i="37"/>
  <c r="R31" i="37"/>
  <c r="P28" i="37"/>
  <c r="R27" i="37"/>
  <c r="P24" i="37"/>
  <c r="Q31" i="37"/>
  <c r="I11" i="31" s="1"/>
  <c r="H37" i="31" s="1"/>
  <c r="D95" i="31" s="1"/>
  <c r="S30" i="37"/>
  <c r="Q27" i="37"/>
  <c r="S26" i="37"/>
  <c r="P31" i="37"/>
  <c r="R30" i="37"/>
  <c r="P27" i="37"/>
  <c r="R26" i="37"/>
  <c r="Q30" i="37"/>
  <c r="S29" i="37"/>
  <c r="Q26" i="37"/>
  <c r="S25" i="37"/>
  <c r="P30" i="37"/>
  <c r="R29" i="37"/>
  <c r="P26" i="37"/>
  <c r="R25" i="37"/>
  <c r="J60" i="37"/>
  <c r="P47" i="37"/>
  <c r="O47" i="37"/>
  <c r="M46" i="37"/>
  <c r="P57" i="37"/>
  <c r="L19" i="37"/>
  <c r="P40" i="37"/>
  <c r="Q59" i="37"/>
  <c r="N189" i="45" s="1"/>
  <c r="J33" i="37"/>
  <c r="K39" i="37"/>
  <c r="L10" i="37"/>
  <c r="N44" i="37"/>
  <c r="L9" i="37"/>
  <c r="M62" i="37"/>
  <c r="Q53" i="37"/>
  <c r="L34" i="37"/>
  <c r="L84" i="45" s="1"/>
  <c r="L40" i="37"/>
  <c r="L39" i="37"/>
  <c r="L52" i="37"/>
  <c r="J14" i="37"/>
  <c r="K59" i="37"/>
  <c r="P49" i="37"/>
  <c r="L54" i="37"/>
  <c r="Q39" i="37"/>
  <c r="M53" i="37"/>
  <c r="N49" i="37"/>
  <c r="O50" i="37"/>
  <c r="N51" i="37"/>
  <c r="N8" i="37"/>
  <c r="N37" i="37"/>
  <c r="N53" i="37"/>
  <c r="S6" i="37"/>
  <c r="O9" i="45" s="1"/>
  <c r="S13" i="37"/>
  <c r="R22" i="37"/>
  <c r="S15" i="37"/>
  <c r="O31" i="45" s="1"/>
  <c r="Q61" i="37"/>
  <c r="O15" i="37"/>
  <c r="O34" i="37"/>
  <c r="K21" i="37"/>
  <c r="O52" i="37"/>
  <c r="M143" i="45" s="1"/>
  <c r="K8" i="37"/>
  <c r="J51" i="37"/>
  <c r="P53" i="37"/>
  <c r="N152" i="45" s="1"/>
  <c r="J63" i="37"/>
  <c r="K200" i="45" s="1"/>
  <c r="L16" i="37"/>
  <c r="N40" i="37"/>
  <c r="Q46" i="37"/>
  <c r="Q9" i="37"/>
  <c r="Q15" i="37"/>
  <c r="P19" i="37"/>
  <c r="Q65" i="37"/>
  <c r="N209" i="45" s="1"/>
  <c r="P21" i="37"/>
  <c r="N45" i="45" s="1"/>
  <c r="P7" i="37"/>
  <c r="I13" i="31" s="1"/>
  <c r="H38" i="31" s="1"/>
  <c r="D96" i="31" s="1"/>
  <c r="Q64" i="37"/>
  <c r="K47" i="37"/>
  <c r="Q60" i="37"/>
  <c r="P38" i="37"/>
  <c r="L46" i="37"/>
  <c r="Q56" i="37"/>
  <c r="Q19" i="37"/>
  <c r="K44" i="37"/>
  <c r="O57" i="37"/>
  <c r="P15" i="37"/>
  <c r="K52" i="37"/>
  <c r="P17" i="37"/>
  <c r="Q20" i="37"/>
  <c r="P63" i="37"/>
  <c r="N63" i="37"/>
  <c r="M200" i="45" s="1"/>
  <c r="J49" i="37"/>
  <c r="M34" i="37"/>
  <c r="P64" i="37"/>
  <c r="Q8" i="37"/>
  <c r="O18" i="37"/>
  <c r="M20" i="37"/>
  <c r="L56" i="37"/>
  <c r="L165" i="45" s="1"/>
  <c r="P48" i="37"/>
  <c r="N125" i="45" s="1"/>
  <c r="M8" i="37"/>
  <c r="P50" i="37"/>
  <c r="M14" i="37"/>
  <c r="P54" i="37"/>
  <c r="N12" i="37"/>
  <c r="N20" i="37"/>
  <c r="L65" i="37"/>
  <c r="N23" i="37"/>
  <c r="M52" i="45" s="1"/>
  <c r="K61" i="37"/>
  <c r="R9" i="37"/>
  <c r="S7" i="37"/>
  <c r="R6" i="37"/>
  <c r="R21" i="37"/>
  <c r="P61" i="37"/>
  <c r="K17" i="37"/>
  <c r="K35" i="45" s="1"/>
  <c r="N17" i="37"/>
  <c r="M37" i="45" s="1"/>
  <c r="N13" i="37"/>
  <c r="O48" i="37"/>
  <c r="K54" i="37"/>
  <c r="K153" i="45" s="1"/>
  <c r="J50" i="37"/>
  <c r="K135" i="45" s="1"/>
  <c r="Q41" i="37"/>
  <c r="J55" i="37"/>
  <c r="J9" i="37"/>
  <c r="O42" i="37"/>
  <c r="O38" i="37"/>
  <c r="P8" i="37"/>
  <c r="P20" i="37"/>
  <c r="P16" i="37"/>
  <c r="Q13" i="37"/>
  <c r="R10" i="37"/>
  <c r="R19" i="37"/>
  <c r="O41" i="45" s="1"/>
  <c r="R23" i="37"/>
  <c r="O52" i="45" s="1"/>
  <c r="R11" i="37"/>
  <c r="N42" i="37"/>
  <c r="J47" i="37"/>
  <c r="K122" i="45" s="1"/>
  <c r="P60" i="37"/>
  <c r="P11" i="37"/>
  <c r="M47" i="37"/>
  <c r="M56" i="37"/>
  <c r="M33" i="37"/>
  <c r="L75" i="45" s="1"/>
  <c r="Q75" i="45" s="1"/>
  <c r="K16" i="37"/>
  <c r="J56" i="37"/>
  <c r="N43" i="37"/>
  <c r="M37" i="37"/>
  <c r="Q63" i="37"/>
  <c r="P22" i="37"/>
  <c r="Q62" i="37"/>
  <c r="Q23" i="37"/>
  <c r="N51" i="45" s="1"/>
  <c r="K41" i="37"/>
  <c r="P10" i="37"/>
  <c r="M65" i="37"/>
  <c r="L209" i="45" s="1"/>
  <c r="Q10" i="37"/>
  <c r="N17" i="45" s="1"/>
  <c r="N18" i="37"/>
  <c r="L20" i="37"/>
  <c r="M55" i="37"/>
  <c r="J39" i="37"/>
  <c r="K101" i="45" s="1"/>
  <c r="N21" i="37"/>
  <c r="L45" i="37"/>
  <c r="L38" i="37"/>
  <c r="L41" i="37"/>
  <c r="L105" i="45" s="1"/>
  <c r="M10" i="37"/>
  <c r="P9" i="37"/>
  <c r="N64" i="37"/>
  <c r="J61" i="37"/>
  <c r="K183" i="45" s="1"/>
  <c r="R16" i="37"/>
  <c r="S22" i="37"/>
  <c r="S12" i="37"/>
  <c r="O21" i="45" s="1"/>
  <c r="S11" i="37"/>
  <c r="Q18" i="37"/>
  <c r="K35" i="37"/>
  <c r="J15" i="37"/>
  <c r="O13" i="37"/>
  <c r="O41" i="37"/>
  <c r="K51" i="37"/>
  <c r="J45" i="37"/>
  <c r="K120" i="45" s="1"/>
  <c r="Q48" i="37"/>
  <c r="N123" i="45" s="1"/>
  <c r="J36" i="37"/>
  <c r="J16" i="37"/>
  <c r="O7" i="37"/>
  <c r="O30" i="37"/>
  <c r="M65" i="45" s="1"/>
  <c r="O26" i="37"/>
  <c r="O29" i="37"/>
  <c r="O25" i="37"/>
  <c r="O32" i="37"/>
  <c r="O28" i="37"/>
  <c r="O24" i="37"/>
  <c r="O31" i="37"/>
  <c r="O27" i="37"/>
  <c r="P51" i="37"/>
  <c r="Q38" i="37"/>
  <c r="P34" i="37"/>
  <c r="N84" i="45" s="1"/>
  <c r="P44" i="37"/>
  <c r="P56" i="37"/>
  <c r="P33" i="37"/>
  <c r="P65" i="37"/>
  <c r="N48" i="37"/>
  <c r="M125" i="45" s="1"/>
  <c r="Q11" i="37"/>
  <c r="R8" i="37"/>
  <c r="S19" i="37"/>
  <c r="O39" i="45" s="1"/>
  <c r="R15" i="37"/>
  <c r="S18" i="37"/>
  <c r="N61" i="37"/>
  <c r="L33" i="37"/>
  <c r="L77" i="45" s="1"/>
  <c r="Q77" i="45" s="1"/>
  <c r="K36" i="37"/>
  <c r="K93" i="45" s="1"/>
  <c r="O10" i="37"/>
  <c r="M50" i="37"/>
  <c r="K50" i="37"/>
  <c r="K133" i="45" s="1"/>
  <c r="J41" i="37"/>
  <c r="K105" i="45" s="1"/>
  <c r="N41" i="37"/>
  <c r="N59" i="37"/>
  <c r="O65" i="37"/>
  <c r="J38" i="37"/>
  <c r="N30" i="37"/>
  <c r="N26" i="37"/>
  <c r="N29" i="37"/>
  <c r="N25" i="37"/>
  <c r="N32" i="37"/>
  <c r="N28" i="37"/>
  <c r="N24" i="37"/>
  <c r="N31" i="37"/>
  <c r="N27" i="37"/>
  <c r="B65" i="37"/>
  <c r="M145" i="45" s="1"/>
  <c r="M75" i="45"/>
  <c r="R75" i="45" s="1"/>
  <c r="M189" i="45"/>
  <c r="N162" i="45"/>
  <c r="M179" i="45"/>
  <c r="K193" i="45"/>
  <c r="P193" i="45" s="1"/>
  <c r="W12" i="40"/>
  <c r="Y24" i="40" s="1"/>
  <c r="X24" i="40"/>
  <c r="X31" i="40"/>
  <c r="T64" i="40" s="1"/>
  <c r="M8" i="45"/>
  <c r="U14" i="40"/>
  <c r="X12" i="40"/>
  <c r="Y26" i="40" s="1"/>
  <c r="X26" i="40"/>
  <c r="X14" i="40"/>
  <c r="Z26" i="40" s="1"/>
  <c r="Y12" i="40"/>
  <c r="Y30" i="40" s="1"/>
  <c r="S65" i="40" s="1"/>
  <c r="X15" i="40"/>
  <c r="U16" i="40"/>
  <c r="U13" i="40"/>
  <c r="X17" i="40"/>
  <c r="AA27" i="40" s="1"/>
  <c r="Y32" i="40"/>
  <c r="Z14" i="40"/>
  <c r="Z32" i="40" s="1"/>
  <c r="W15" i="40"/>
  <c r="Z25" i="40" s="1"/>
  <c r="Z16" i="40"/>
  <c r="AA32" i="40" s="1"/>
  <c r="X25" i="40"/>
  <c r="X30" i="40"/>
  <c r="S64" i="40" s="1"/>
  <c r="U15" i="40"/>
  <c r="W16" i="40"/>
  <c r="AA24" i="40" s="1"/>
  <c r="Y16" i="40"/>
  <c r="AA30" i="40" s="1"/>
  <c r="S67" i="40" s="1"/>
  <c r="V15" i="40"/>
  <c r="Z23" i="40" s="1"/>
  <c r="N87" i="45"/>
  <c r="Y13" i="40"/>
  <c r="Y31" i="40" s="1"/>
  <c r="T65" i="40" s="1"/>
  <c r="Q18" i="31"/>
  <c r="V16" i="40"/>
  <c r="AA22" i="40" s="1"/>
  <c r="V13" i="40"/>
  <c r="Y23" i="40" s="1"/>
  <c r="M77" i="45"/>
  <c r="R77" i="45" s="1"/>
  <c r="O17" i="45"/>
  <c r="M120" i="45"/>
  <c r="O5" i="45"/>
  <c r="O4" i="45"/>
  <c r="O62" i="37"/>
  <c r="M191" i="45" s="1"/>
  <c r="R191" i="45" s="1"/>
  <c r="O43" i="37"/>
  <c r="M107" i="45" s="1"/>
  <c r="O6" i="37"/>
  <c r="O63" i="37"/>
  <c r="O16" i="37"/>
  <c r="O56" i="37"/>
  <c r="O40" i="37"/>
  <c r="O64" i="37"/>
  <c r="M201" i="45" s="1"/>
  <c r="R201" i="45" s="1"/>
  <c r="O39" i="37"/>
  <c r="M99" i="45" s="1"/>
  <c r="O8" i="37"/>
  <c r="M13" i="45" s="1"/>
  <c r="O19" i="37"/>
  <c r="L135" i="45"/>
  <c r="L153" i="45"/>
  <c r="L83" i="45"/>
  <c r="L120" i="45"/>
  <c r="M162" i="45"/>
  <c r="M29" i="45"/>
  <c r="K172" i="45"/>
  <c r="L103" i="45"/>
  <c r="M33" i="45"/>
  <c r="K111" i="45"/>
  <c r="N143" i="45"/>
  <c r="K15" i="45"/>
  <c r="M11" i="45"/>
  <c r="R11" i="45" s="1"/>
  <c r="X23" i="40"/>
  <c r="V14" i="40"/>
  <c r="Z22" i="40" s="1"/>
  <c r="M122" i="45"/>
  <c r="Y33" i="40"/>
  <c r="K83" i="45"/>
  <c r="K131" i="45"/>
  <c r="K151" i="45"/>
  <c r="O29" i="45"/>
  <c r="L37" i="45"/>
  <c r="X22" i="40"/>
  <c r="O17" i="37"/>
  <c r="M35" i="45" s="1"/>
  <c r="O21" i="37"/>
  <c r="O23" i="37"/>
  <c r="M51" i="45" s="1"/>
  <c r="O45" i="37"/>
  <c r="M119" i="45" s="1"/>
  <c r="S40" i="37"/>
  <c r="R38" i="37"/>
  <c r="R46" i="37"/>
  <c r="O113" i="45" s="1"/>
  <c r="S41" i="37"/>
  <c r="R39" i="37"/>
  <c r="O101" i="45" s="1"/>
  <c r="R47" i="37"/>
  <c r="O122" i="45" s="1"/>
  <c r="Q33" i="37"/>
  <c r="N75" i="45" s="1"/>
  <c r="S75" i="45" s="1"/>
  <c r="P45" i="37"/>
  <c r="N120" i="45" s="1"/>
  <c r="Q12" i="37"/>
  <c r="P6" i="37"/>
  <c r="S42" i="37"/>
  <c r="R40" i="37"/>
  <c r="S37" i="37"/>
  <c r="O95" i="45" s="1"/>
  <c r="S43" i="37"/>
  <c r="O107" i="45" s="1"/>
  <c r="R41" i="37"/>
  <c r="O105" i="45" s="1"/>
  <c r="R37" i="37"/>
  <c r="O97" i="45" s="1"/>
  <c r="Q57" i="37"/>
  <c r="S44" i="37"/>
  <c r="R42" i="37"/>
  <c r="S45" i="37"/>
  <c r="R43" i="37"/>
  <c r="O109" i="45" s="1"/>
  <c r="S38" i="37"/>
  <c r="S46" i="37"/>
  <c r="O111" i="45" s="1"/>
  <c r="R44" i="37"/>
  <c r="Q14" i="37"/>
  <c r="S39" i="37"/>
  <c r="S47" i="37"/>
  <c r="O121" i="45" s="1"/>
  <c r="R45" i="37"/>
  <c r="Q50" i="37"/>
  <c r="N133" i="45" s="1"/>
  <c r="L9" i="45"/>
  <c r="Q9" i="45" s="1"/>
  <c r="N109" i="45"/>
  <c r="M155" i="45"/>
  <c r="M177" i="45"/>
  <c r="M113" i="45"/>
  <c r="L97" i="45"/>
  <c r="Q97" i="45" s="1"/>
  <c r="L11" i="45"/>
  <c r="Q11" i="45" s="1"/>
  <c r="O43" i="45"/>
  <c r="Z30" i="40"/>
  <c r="S66" i="40" s="1"/>
  <c r="X33" i="40"/>
  <c r="L94" i="45"/>
  <c r="N35" i="45"/>
  <c r="M181" i="45"/>
  <c r="N101" i="45"/>
  <c r="K165" i="45"/>
  <c r="L119" i="45"/>
  <c r="N201" i="45"/>
  <c r="S201" i="45" s="1"/>
  <c r="O15" i="45"/>
  <c r="Y17" i="40"/>
  <c r="AA31" i="40" s="1"/>
  <c r="T67" i="40" s="1"/>
  <c r="X32" i="40"/>
  <c r="O37" i="37"/>
  <c r="M95" i="45" s="1"/>
  <c r="R95" i="45" s="1"/>
  <c r="Q40" i="37"/>
  <c r="L14" i="37"/>
  <c r="L30" i="45" s="1"/>
  <c r="M22" i="37"/>
  <c r="M17" i="37"/>
  <c r="L35" i="45" s="1"/>
  <c r="M97" i="45"/>
  <c r="R97" i="45" s="1"/>
  <c r="K123" i="45"/>
  <c r="L201" i="45"/>
  <c r="Q201" i="45" s="1"/>
  <c r="M93" i="45"/>
  <c r="N94" i="45"/>
  <c r="L183" i="45"/>
  <c r="N193" i="45"/>
  <c r="S193" i="45" s="1"/>
  <c r="Z31" i="40"/>
  <c r="T66" i="40" s="1"/>
  <c r="O12" i="37"/>
  <c r="M21" i="45" s="1"/>
  <c r="Q44" i="37"/>
  <c r="N7" i="37"/>
  <c r="K22" i="37"/>
  <c r="J18" i="37"/>
  <c r="J64" i="37"/>
  <c r="K203" i="45" s="1"/>
  <c r="P203" i="45" s="1"/>
  <c r="N57" i="37"/>
  <c r="M172" i="45" s="1"/>
  <c r="J43" i="37"/>
  <c r="K109" i="45" s="1"/>
  <c r="K45" i="37"/>
  <c r="K119" i="45" s="1"/>
  <c r="J6" i="37"/>
  <c r="J23" i="37"/>
  <c r="K52" i="45" s="1"/>
  <c r="N19" i="37"/>
  <c r="N22" i="37"/>
  <c r="K18" i="37"/>
  <c r="J7" i="37"/>
  <c r="F13" i="31" s="1"/>
  <c r="H19" i="31" s="1"/>
  <c r="K57" i="37"/>
  <c r="K171" i="45" s="1"/>
  <c r="J42" i="37"/>
  <c r="J11" i="37"/>
  <c r="J58" i="37"/>
  <c r="K63" i="37"/>
  <c r="K42" i="37"/>
  <c r="J40" i="37"/>
  <c r="J59" i="37"/>
  <c r="K64" i="37"/>
  <c r="K201" i="45" s="1"/>
  <c r="P201" i="45" s="1"/>
  <c r="J37" i="37"/>
  <c r="K97" i="45" s="1"/>
  <c r="P97" i="45" s="1"/>
  <c r="K37" i="37"/>
  <c r="K95" i="45" s="1"/>
  <c r="P95" i="45" s="1"/>
  <c r="J12" i="37"/>
  <c r="K23" i="45" s="1"/>
  <c r="N10" i="37"/>
  <c r="K15" i="37"/>
  <c r="K23" i="37"/>
  <c r="K51" i="45" s="1"/>
  <c r="Z15" i="40"/>
  <c r="Z33" i="40" s="1"/>
  <c r="Z17" i="40"/>
  <c r="AA33" i="40" s="1"/>
  <c r="L85" i="45" l="1"/>
  <c r="K85" i="45"/>
  <c r="L11" i="40"/>
  <c r="L172" i="45"/>
  <c r="L142" i="45"/>
  <c r="N183" i="45"/>
  <c r="L113" i="45"/>
  <c r="K99" i="45"/>
  <c r="N121" i="45"/>
  <c r="L132" i="45"/>
  <c r="L29" i="45"/>
  <c r="N33" i="45"/>
  <c r="K94" i="45"/>
  <c r="N37" i="45"/>
  <c r="K13" i="45"/>
  <c r="K77" i="45"/>
  <c r="P77" i="45" s="1"/>
  <c r="N95" i="45"/>
  <c r="S95" i="45" s="1"/>
  <c r="O23" i="45"/>
  <c r="M111" i="45"/>
  <c r="K84" i="45"/>
  <c r="O37" i="45"/>
  <c r="K121" i="45"/>
  <c r="N111" i="45"/>
  <c r="K43" i="45"/>
  <c r="M152" i="45"/>
  <c r="N151" i="45"/>
  <c r="M30" i="45"/>
  <c r="K9" i="45"/>
  <c r="P9" i="45" s="1"/>
  <c r="K17" i="45"/>
  <c r="N59" i="45"/>
  <c r="K65" i="45"/>
  <c r="O55" i="45"/>
  <c r="O10" i="40"/>
  <c r="K32" i="40" s="1"/>
  <c r="N32" i="40" s="1"/>
  <c r="M135" i="45"/>
  <c r="L52" i="45"/>
  <c r="L21" i="45"/>
  <c r="M161" i="45"/>
  <c r="N73" i="45"/>
  <c r="O61" i="45"/>
  <c r="K21" i="45"/>
  <c r="O30" i="45"/>
  <c r="L133" i="45"/>
  <c r="N181" i="45"/>
  <c r="M142" i="45"/>
  <c r="K45" i="45"/>
  <c r="N105" i="45"/>
  <c r="M173" i="45"/>
  <c r="R173" i="45" s="1"/>
  <c r="L74" i="45"/>
  <c r="J11" i="31"/>
  <c r="H39" i="31" s="1"/>
  <c r="L173" i="45"/>
  <c r="Q173" i="45" s="1"/>
  <c r="M193" i="45"/>
  <c r="R193" i="45" s="1"/>
  <c r="L73" i="45"/>
  <c r="L65" i="45"/>
  <c r="K87" i="45"/>
  <c r="N190" i="45"/>
  <c r="L177" i="45"/>
  <c r="K59" i="45"/>
  <c r="K55" i="45"/>
  <c r="L151" i="45"/>
  <c r="M59" i="45"/>
  <c r="K141" i="45"/>
  <c r="N15" i="45"/>
  <c r="N135" i="45"/>
  <c r="M171" i="45"/>
  <c r="L41" i="45"/>
  <c r="M151" i="45"/>
  <c r="N23" i="45"/>
  <c r="N161" i="45"/>
  <c r="K142" i="45"/>
  <c r="K162" i="45"/>
  <c r="L93" i="45"/>
  <c r="K11" i="40"/>
  <c r="K30" i="45"/>
  <c r="L111" i="45"/>
  <c r="O35" i="45"/>
  <c r="N52" i="45"/>
  <c r="O63" i="45"/>
  <c r="K39" i="45"/>
  <c r="M165" i="45"/>
  <c r="N141" i="45"/>
  <c r="M87" i="45"/>
  <c r="N145" i="45"/>
  <c r="L161" i="45"/>
  <c r="M123" i="45"/>
  <c r="N132" i="45"/>
  <c r="N131" i="45"/>
  <c r="L17" i="45"/>
  <c r="L181" i="45"/>
  <c r="O33" i="45"/>
  <c r="L141" i="45"/>
  <c r="N165" i="45"/>
  <c r="L107" i="45"/>
  <c r="O120" i="45"/>
  <c r="O119" i="45"/>
  <c r="O103" i="45"/>
  <c r="L99" i="45"/>
  <c r="O11" i="45"/>
  <c r="L87" i="45"/>
  <c r="N31" i="45"/>
  <c r="L171" i="45"/>
  <c r="L203" i="45"/>
  <c r="Q203" i="45" s="1"/>
  <c r="M94" i="45"/>
  <c r="M163" i="45"/>
  <c r="N13" i="45"/>
  <c r="O51" i="45"/>
  <c r="K145" i="45"/>
  <c r="M105" i="45"/>
  <c r="L45" i="45"/>
  <c r="L190" i="45"/>
  <c r="M67" i="45"/>
  <c r="M17" i="45"/>
  <c r="M57" i="45"/>
  <c r="M103" i="45"/>
  <c r="M45" i="45"/>
  <c r="K103" i="45"/>
  <c r="K181" i="45"/>
  <c r="L13" i="45"/>
  <c r="K132" i="45"/>
  <c r="M31" i="45"/>
  <c r="M15" i="45"/>
  <c r="K189" i="45"/>
  <c r="N172" i="45"/>
  <c r="N67" i="45"/>
  <c r="O73" i="45"/>
  <c r="K19" i="45"/>
  <c r="M210" i="45"/>
  <c r="L109" i="45"/>
  <c r="N153" i="45"/>
  <c r="N119" i="45"/>
  <c r="L200" i="45"/>
  <c r="N83" i="45"/>
  <c r="L33" i="45"/>
  <c r="L131" i="45"/>
  <c r="L43" i="45"/>
  <c r="L51" i="45"/>
  <c r="L189" i="45"/>
  <c r="K53" i="45"/>
  <c r="N99" i="45"/>
  <c r="L193" i="45"/>
  <c r="Q193" i="45" s="1"/>
  <c r="K163" i="45"/>
  <c r="N103" i="45"/>
  <c r="M199" i="45"/>
  <c r="L191" i="45"/>
  <c r="Q191" i="45" s="1"/>
  <c r="N173" i="45"/>
  <c r="S173" i="45" s="1"/>
  <c r="L175" i="45"/>
  <c r="Q175" i="45" s="1"/>
  <c r="M55" i="45"/>
  <c r="M203" i="45"/>
  <c r="R203" i="45" s="1"/>
  <c r="N191" i="45"/>
  <c r="S191" i="45" s="1"/>
  <c r="L163" i="45"/>
  <c r="L210" i="45"/>
  <c r="N200" i="45"/>
  <c r="N163" i="45"/>
  <c r="M133" i="45"/>
  <c r="L145" i="45"/>
  <c r="M121" i="45"/>
  <c r="N57" i="45"/>
  <c r="N53" i="45"/>
  <c r="M85" i="45"/>
  <c r="K191" i="45"/>
  <c r="P191" i="45" s="1"/>
  <c r="O99" i="45"/>
  <c r="L122" i="45"/>
  <c r="N199" i="45"/>
  <c r="L152" i="45"/>
  <c r="M101" i="45"/>
  <c r="N30" i="45"/>
  <c r="M84" i="45"/>
  <c r="N210" i="45"/>
  <c r="K33" i="45"/>
  <c r="M19" i="45"/>
  <c r="K199" i="45"/>
  <c r="L31" i="45"/>
  <c r="L123" i="45"/>
  <c r="N85" i="45"/>
  <c r="M175" i="45"/>
  <c r="R175" i="45" s="1"/>
  <c r="K143" i="45"/>
  <c r="L23" i="45"/>
  <c r="N9" i="45"/>
  <c r="S9" i="45" s="1"/>
  <c r="N29" i="45"/>
  <c r="N171" i="45"/>
  <c r="N21" i="45"/>
  <c r="N41" i="45"/>
  <c r="L95" i="45"/>
  <c r="Q95" i="45" s="1"/>
  <c r="O45" i="45"/>
  <c r="N93" i="45"/>
  <c r="M39" i="45"/>
  <c r="L19" i="45"/>
  <c r="L101" i="45"/>
  <c r="K161" i="45"/>
  <c r="L15" i="45"/>
  <c r="K107" i="45"/>
  <c r="L143" i="45"/>
  <c r="M63" i="45"/>
  <c r="O74" i="45"/>
  <c r="M74" i="45"/>
  <c r="M61" i="45"/>
  <c r="M23" i="45"/>
  <c r="N65" i="45"/>
  <c r="N61" i="45"/>
  <c r="O53" i="45"/>
  <c r="L53" i="45"/>
  <c r="N43" i="45"/>
  <c r="L125" i="45"/>
  <c r="O12" i="40"/>
  <c r="K33" i="40" s="1"/>
  <c r="N33" i="40" s="1"/>
  <c r="M73" i="45"/>
  <c r="J12" i="31"/>
  <c r="G40" i="31" s="1"/>
  <c r="O59" i="45"/>
  <c r="N55" i="45"/>
  <c r="O67" i="45"/>
  <c r="N63" i="45"/>
  <c r="K67" i="45"/>
  <c r="N175" i="45"/>
  <c r="S175" i="45" s="1"/>
  <c r="K57" i="45"/>
  <c r="K74" i="45"/>
  <c r="L63" i="45"/>
  <c r="M153" i="45"/>
  <c r="K61" i="45"/>
  <c r="M53" i="45"/>
  <c r="O65" i="45"/>
  <c r="L59" i="45"/>
  <c r="K73" i="45"/>
  <c r="L10" i="40"/>
  <c r="K24" i="40" s="1"/>
  <c r="P24" i="40" s="1"/>
  <c r="L61" i="45"/>
  <c r="L57" i="45"/>
  <c r="M12" i="40"/>
  <c r="K27" i="40" s="1"/>
  <c r="O27" i="40" s="1"/>
  <c r="H11" i="31"/>
  <c r="H30" i="31" s="1"/>
  <c r="G13" i="31"/>
  <c r="H25" i="31" s="1"/>
  <c r="O57" i="45"/>
  <c r="N142" i="45"/>
  <c r="M190" i="45"/>
  <c r="M183" i="45"/>
  <c r="N77" i="45"/>
  <c r="S77" i="45" s="1"/>
  <c r="L121" i="45"/>
  <c r="N122" i="45"/>
  <c r="F10" i="31"/>
  <c r="G18" i="31" s="1"/>
  <c r="L179" i="45"/>
  <c r="L67" i="45"/>
  <c r="M10" i="40"/>
  <c r="K26" i="40" s="1"/>
  <c r="L26" i="40" s="1"/>
  <c r="M83" i="45"/>
  <c r="M109" i="45"/>
  <c r="K179" i="45"/>
  <c r="K63" i="45"/>
  <c r="G10" i="31"/>
  <c r="G24" i="31" s="1"/>
  <c r="L199" i="45"/>
  <c r="N19" i="45"/>
  <c r="N179" i="45"/>
  <c r="N177" i="45"/>
  <c r="J10" i="31"/>
  <c r="G39" i="31" s="1"/>
  <c r="J13" i="31"/>
  <c r="H40" i="31" s="1"/>
  <c r="I10" i="31"/>
  <c r="G37" i="31" s="1"/>
  <c r="D97" i="31" s="1"/>
  <c r="N74" i="45"/>
  <c r="L55" i="45"/>
  <c r="H13" i="31"/>
  <c r="H31" i="31" s="1"/>
  <c r="L155" i="45"/>
  <c r="K177" i="45"/>
  <c r="M132" i="45"/>
  <c r="N203" i="45"/>
  <c r="S203" i="45" s="1"/>
  <c r="K37" i="45"/>
  <c r="N12" i="40"/>
  <c r="K31" i="40" s="1"/>
  <c r="L31" i="40" s="1"/>
  <c r="J65" i="40" s="1"/>
  <c r="M11" i="40"/>
  <c r="M209" i="45"/>
  <c r="K209" i="45"/>
  <c r="M131" i="45"/>
  <c r="H12" i="31"/>
  <c r="G31" i="31" s="1"/>
  <c r="M43" i="45"/>
  <c r="M41" i="45"/>
  <c r="N10" i="40"/>
  <c r="K30" i="40" s="1"/>
  <c r="M13" i="40"/>
  <c r="L12" i="40"/>
  <c r="K25" i="40" s="1"/>
  <c r="N11" i="40"/>
  <c r="N13" i="40"/>
  <c r="O11" i="40"/>
  <c r="O13" i="40"/>
  <c r="L13" i="40"/>
  <c r="O19" i="45"/>
  <c r="L39" i="45"/>
  <c r="K29" i="45"/>
  <c r="K31" i="45"/>
  <c r="K10" i="40"/>
  <c r="K22" i="40" s="1"/>
  <c r="N22" i="40" s="1"/>
  <c r="O13" i="45"/>
  <c r="N39" i="45"/>
  <c r="N107" i="45"/>
  <c r="N155" i="45"/>
  <c r="K41" i="45"/>
  <c r="N113" i="45"/>
  <c r="N26" i="40"/>
  <c r="M9" i="45"/>
  <c r="R9" i="45" s="1"/>
  <c r="H10" i="31"/>
  <c r="G30" i="31" s="1"/>
  <c r="K12" i="40"/>
  <c r="K175" i="45"/>
  <c r="P175" i="45" s="1"/>
  <c r="K13" i="40"/>
  <c r="K190" i="45"/>
  <c r="K11" i="45"/>
  <c r="P11" i="45" s="1"/>
  <c r="F12" i="31"/>
  <c r="G19" i="31" s="1"/>
  <c r="N11" i="45"/>
  <c r="S11" i="45" s="1"/>
  <c r="I12" i="31"/>
  <c r="G38" i="31" s="1"/>
  <c r="D98" i="31" s="1"/>
  <c r="P31" i="40" l="1"/>
  <c r="J69" i="40" s="1"/>
  <c r="O32" i="40"/>
  <c r="L32" i="40"/>
  <c r="N31" i="40"/>
  <c r="J67" i="40" s="1"/>
  <c r="P32" i="40"/>
  <c r="M32" i="40"/>
  <c r="M31" i="40"/>
  <c r="J66" i="40" s="1"/>
  <c r="O31" i="40"/>
  <c r="J68" i="40" s="1"/>
  <c r="M24" i="40"/>
  <c r="L24" i="40"/>
  <c r="N24" i="40"/>
  <c r="O26" i="40"/>
  <c r="M27" i="40"/>
  <c r="P33" i="40"/>
  <c r="J64" i="40"/>
  <c r="L33" i="40"/>
  <c r="O33" i="40"/>
  <c r="M33" i="40"/>
  <c r="P26" i="40"/>
  <c r="M26" i="40"/>
  <c r="O24" i="40"/>
  <c r="N27" i="40"/>
  <c r="L27" i="40"/>
  <c r="P27" i="40"/>
  <c r="O22" i="40"/>
  <c r="O30" i="40"/>
  <c r="I68" i="40" s="1"/>
  <c r="L30" i="40"/>
  <c r="I65" i="40" s="1"/>
  <c r="P30" i="40"/>
  <c r="I69" i="40" s="1"/>
  <c r="M30" i="40"/>
  <c r="I66" i="40" s="1"/>
  <c r="I64" i="40"/>
  <c r="N30" i="40"/>
  <c r="I67" i="40" s="1"/>
  <c r="L25" i="40"/>
  <c r="P25" i="40"/>
  <c r="M25" i="40"/>
  <c r="O25" i="40"/>
  <c r="N25" i="40"/>
  <c r="M22" i="40"/>
  <c r="P22" i="40"/>
  <c r="L22" i="40"/>
  <c r="K23" i="40"/>
  <c r="M23" i="40" s="1"/>
  <c r="N23" i="40" l="1"/>
  <c r="L23" i="40"/>
  <c r="O23" i="40"/>
  <c r="P23" i="40"/>
</calcChain>
</file>

<file path=xl/sharedStrings.xml><?xml version="1.0" encoding="utf-8"?>
<sst xmlns="http://schemas.openxmlformats.org/spreadsheetml/2006/main" count="2201" uniqueCount="486">
  <si>
    <t>CASRN 107-06-2</t>
  </si>
  <si>
    <t>Draft Risk Evaluation for 1,2-Dichloroethane</t>
  </si>
  <si>
    <t>Supplemental File on 1,2-Dichloroethane Risk Calculations</t>
  </si>
  <si>
    <t>Description of this workbook:</t>
  </si>
  <si>
    <t xml:space="preserve">The risk calculator for 1,2-dichloroethane contains the following spreadsheets: 1) Calculation Summary, 2) Dashboard, 3) Bridge Table, 4) Risk Reduction, 5) Health Data, 6) Dermal Exposure, 7) Inhalation Exposure, 8) List Values, and 9) Exposure Factors. The workbook is designed so that the user need only use/change the input cells in three spreadsheets, the Dashboard, the Bridge Table, and the Risk Reduction, which have tabs colored green and contain the results of the risk calculator. The remaining spreadsheets contain data storage and calculation spreadsheets. </t>
  </si>
  <si>
    <t>Key Worksheets</t>
  </si>
  <si>
    <t>Description</t>
  </si>
  <si>
    <t>Dashboard</t>
  </si>
  <si>
    <r>
      <t>This Dashboard is an interactive spreadsheet that allows a user to view exposure results for a selected COU. The user can select the desired COU</t>
    </r>
    <r>
      <rPr>
        <sz val="11"/>
        <color rgb="FFFF0000"/>
        <rFont val="Arial"/>
        <family val="2"/>
      </rPr>
      <t xml:space="preserve"> </t>
    </r>
    <r>
      <rPr>
        <sz val="11"/>
        <rFont val="Arial"/>
        <family val="2"/>
      </rPr>
      <t>from a drop-down menu</t>
    </r>
    <r>
      <rPr>
        <sz val="11"/>
        <color rgb="FFFF0000"/>
        <rFont val="Arial"/>
        <family val="2"/>
      </rPr>
      <t xml:space="preserve">. </t>
    </r>
    <r>
      <rPr>
        <sz val="11"/>
        <rFont val="Arial"/>
        <family val="2"/>
      </rPr>
      <t>The exposure estimates are shown in the “</t>
    </r>
    <r>
      <rPr>
        <i/>
        <sz val="11"/>
        <rFont val="Arial"/>
        <family val="2"/>
      </rPr>
      <t>Exposure Outputs</t>
    </r>
    <r>
      <rPr>
        <sz val="11"/>
        <rFont val="Arial"/>
        <family val="2"/>
      </rPr>
      <t>” section for both inhalation and dermal routes and for high-end and central tendency exposures. For inhalation exposures the columns show results for both worker and occupational non-user (ONU) exposures. The “Risk Estimation” sections are separated into acute, chronic non-cancer and cancer sections. For each section there is a brief description of the hazard endpoint and the hazard value i.e. human equivalent concentration (HEC) for non-cancer effects from inhalation exposure, human equivalent dose (HED) for non-cancer effects from dermal exposure or a slope factor for cancer and the benchmark margins of exposure (MOEs) or benchmark values for cancer risk are provided to the right of the hazard value. The risk estimations show one column for exposures without PPE. Note that health data (e.g., HEC, IUR) are on an 8-hr TWA basis.</t>
    </r>
  </si>
  <si>
    <t>Bridge Table</t>
  </si>
  <si>
    <t xml:space="preserve">The table provides summary of the risk estimates for inhalation and dermal exposures for all occupational exposure scenarios.  Risk estimates that exceed the benchmark (i.e., MOEs less than the benchmark MOE or cancer risks greater than the cancer risk benchmark) are highlighted by bolding the number and shading the cell. </t>
  </si>
  <si>
    <t>Risk Reduction</t>
  </si>
  <si>
    <t>The Risk Reduction (RR) spreadsheet is an expanded version of the Dashboard. Similar to the Dashboard, the Risk Reduction allows the user to select a COU. In the Risk Reduction spreadsheet, the user can also elect to see results for a worker or ONU separately. Additionally, the Heat Map displays all the PPE options. The Risk Reduction spreadsheet includes results without PPE and for each of the PPE options (i.e., APF or PF). The Risk Reduction spreadsheet has a row for each toxicity endpoint, and each row shows the cancer risk or MOE values. Similar to the Dashboard, the RR spreadsheet shades results if the MOE is less than the benchmark MOE or the cancer risk is greater than the benchmark cancer risk.</t>
  </si>
  <si>
    <t>Health Data, 
Dermal Exposure, 
Inhalation Exposure, 
List Values and 
Exposure Factors</t>
  </si>
  <si>
    <t>As described above the remaining spreadsheets are data storage and calculation spreadsheets. These worksheets store the exposure estimates, health values and store some of the risk calculations. The user does not need to access these worksheets to use the Dashboard and Risk Reduction spreadsheets as described above; all results are automatically loaded into the Dashboard and Risk Reduction spreadsheets.</t>
  </si>
  <si>
    <t>Equations and Calculations Used for Risk Calculator</t>
  </si>
  <si>
    <t>Exposure Type</t>
  </si>
  <si>
    <t>Equation</t>
  </si>
  <si>
    <t>Equation Parameters</t>
  </si>
  <si>
    <r>
      <t>Inhalation Exposure Calculations</t>
    </r>
    <r>
      <rPr>
        <b/>
        <vertAlign val="superscript"/>
        <sz val="10"/>
        <color theme="1"/>
        <rFont val="Calibri"/>
        <family val="2"/>
        <scheme val="minor"/>
      </rPr>
      <t>a</t>
    </r>
  </si>
  <si>
    <t>Acute Concentration (AC) (ppm)</t>
  </si>
  <si>
    <t>8-hr TWA Concentration x ED / AT_AC</t>
  </si>
  <si>
    <t>- ED = 8 hr/day
- AT_AC = 24 hr/day</t>
  </si>
  <si>
    <t>Intermediate Average Daily Concentration (ADC)(ppm)</t>
  </si>
  <si>
    <t>8-hr TWA concentration x ED x EF_ST/AT_ADC_ST</t>
  </si>
  <si>
    <t>- ED = 8 hr/day
- EF_ST = The exposure days in the numerator will typically be 22 days/yr when the total exposure days/yr is &gt;22 days/yr or equal to the total exposure days/yr if the total is &lt;22 days/yr. This maximizes the number of exposure days in the intermediate timeframe, accounting for days off.  However, we may adjust this approach if we have specific information about the OES. For example, if we know that facilities operate using a single, week-long campaign, once per month (i.e., 7 days/month x 12 months). In this case, we would use 7 days for the intermediate exposure days.
- AT_ADC_ST= 720 hr (i.e. 30 days x 24 hr/day)</t>
  </si>
  <si>
    <r>
      <t>Chronic Average Daily Concentration (ADC</t>
    </r>
    <r>
      <rPr>
        <vertAlign val="subscript"/>
        <sz val="10"/>
        <color theme="1"/>
        <rFont val="Calibri"/>
        <family val="2"/>
        <scheme val="minor"/>
      </rPr>
      <t>intermediate</t>
    </r>
    <r>
      <rPr>
        <sz val="10"/>
        <color theme="1"/>
        <rFont val="Calibri"/>
        <family val="2"/>
        <scheme val="minor"/>
      </rPr>
      <t>)(ppm)</t>
    </r>
  </si>
  <si>
    <t>8-hr TWA concentration x ED x EF x WY/AT_ADC</t>
  </si>
  <si>
    <t>- ED = 8 hr/day
- EF = 24-250 days depending on OES
- WY = 31 (central tendency) to 40 yr (high-end)
- AT_ADC = 271,560 (central tendency) to 350,400 hr (high-end) (i.e. WY x 365 days/yr x 24 hr/day)</t>
  </si>
  <si>
    <t>Lifetime Average Daily Concentration (LADC)(ppm)</t>
  </si>
  <si>
    <t>8-hr TWA concentration x ED x EF x WY/AT_LADC</t>
  </si>
  <si>
    <t>- ED = 8 hr/day
- EF = 24-250 days depending on OES
- WY = 31 (central tendency) to 40 yr (high-end)
- AT_LADC = 683,280 hr (i.e. 78 yr x 365 days/yr x 24 hr/day)</t>
  </si>
  <si>
    <t>a - Inhalation metrics (AC, intermediate ADC, chronic ADC, LADC) will all be multiplied by a breathing rate ratio of 1.25/0.6125.</t>
  </si>
  <si>
    <t>Non-Cancer Inhalation Exposure Risk Calculations</t>
  </si>
  <si>
    <t>Human Equivalent Concentration (HEC) (ppm)</t>
  </si>
  <si>
    <t>see Health Data tab</t>
  </si>
  <si>
    <t>Benchmark Margin of Exposure (MOE) (unitless)</t>
  </si>
  <si>
    <t>Acute MOE (unitless)</t>
  </si>
  <si>
    <t>HEC / AC</t>
  </si>
  <si>
    <t>The calculated MOE is then compared with the Benchmark MOE; if the calculated MOE is less than the benchmark MOE then there is risk.</t>
  </si>
  <si>
    <t>Chronic, Non-Cancer MOE (unitless)</t>
  </si>
  <si>
    <t>HEC / ADC</t>
  </si>
  <si>
    <t>Cancer Inhalation Exposure Risk Calculations</t>
  </si>
  <si>
    <r>
      <t>Inhalation Unit Risk (ppm</t>
    </r>
    <r>
      <rPr>
        <vertAlign val="superscript"/>
        <sz val="10"/>
        <color theme="1"/>
        <rFont val="Calibri"/>
        <family val="2"/>
        <scheme val="minor"/>
      </rPr>
      <t>-1</t>
    </r>
    <r>
      <rPr>
        <sz val="10"/>
        <color theme="1"/>
        <rFont val="Calibri"/>
        <family val="2"/>
        <scheme val="minor"/>
      </rPr>
      <t>)</t>
    </r>
  </si>
  <si>
    <t>Cancer risk (unitless)</t>
  </si>
  <si>
    <t>IUR x LADC</t>
  </si>
  <si>
    <t xml:space="preserve">Cancer risk in a population (i.e., 1 in XXX). This value is then compared with the cancer risk benchmarks of 10-4 (1-in-1,000) </t>
  </si>
  <si>
    <t>Dermal Exposures</t>
  </si>
  <si>
    <t>SA x Qu x Fabs x Yderm x FT</t>
  </si>
  <si>
    <t>- BW = Body weight: 80 kg (average adult worker), 72.4 kg (woman of childbearing age)</t>
  </si>
  <si>
    <t>- EF_ST = The exposure days in the numerator will typically be 22 days/yr when the total exposure days/yr is &gt;22 days/yr or equal to the total exposure days/yr if the total is &lt;22 days/yr. This maximizes the number of exposure days in the intermediate timeframe, accounting for days off.  
- WY = Working years for the intermediate period (yrs)—not used for intermediate 					effects resulting from &lt;1 yr of exposures
- AT = 30 days</t>
  </si>
  <si>
    <t xml:space="preserve">- EF = 24-350 days depending on OES
- WY = 31 (central tendency) to 40 yr (high-end)
- AT = 28,470 day </t>
  </si>
  <si>
    <t>Non-Cancer Dermal Exposure Risk Calculations</t>
  </si>
  <si>
    <t>Human Equivalent Dose (HED) (ppm)</t>
  </si>
  <si>
    <t>HED / ARD</t>
  </si>
  <si>
    <t>HED / CRD</t>
  </si>
  <si>
    <r>
      <t>Dermal Cancer Slope Factor (CSF)(mg/kg-day</t>
    </r>
    <r>
      <rPr>
        <vertAlign val="superscript"/>
        <sz val="10"/>
        <color theme="1"/>
        <rFont val="Calibri"/>
        <family val="2"/>
        <scheme val="minor"/>
      </rPr>
      <t>-1</t>
    </r>
    <r>
      <rPr>
        <sz val="10"/>
        <color theme="1"/>
        <rFont val="Calibri"/>
        <family val="2"/>
        <scheme val="minor"/>
      </rPr>
      <t>)</t>
    </r>
  </si>
  <si>
    <t>CSF x CRD (Cancer)</t>
  </si>
  <si>
    <t>Condition of Use</t>
  </si>
  <si>
    <t>Dermal</t>
  </si>
  <si>
    <t>Select the Condition of Use (select)</t>
  </si>
  <si>
    <t>Worker Type
(select)</t>
  </si>
  <si>
    <t>Manufacturing (Operators)</t>
  </si>
  <si>
    <t>Average Adult Worker</t>
  </si>
  <si>
    <t>8-hr TWA Exposures</t>
  </si>
  <si>
    <t>Exposure Outputs</t>
  </si>
  <si>
    <t>Category</t>
  </si>
  <si>
    <t>Exposure Level</t>
  </si>
  <si>
    <t>Full-Shift (Eight-Hour) TWA Exposure</t>
  </si>
  <si>
    <t>Acute, Non-Cancer Exposures</t>
  </si>
  <si>
    <t>Intermediate, Non-Cancer Exposures</t>
  </si>
  <si>
    <t>Chronic, Non-Cancer Exposures</t>
  </si>
  <si>
    <t>Chronic, Cancer Exposures</t>
  </si>
  <si>
    <t>Chronic, Cancer Exposures - WY Adjustment</t>
  </si>
  <si>
    <t>Potential Dose Rate</t>
  </si>
  <si>
    <r>
      <t>C</t>
    </r>
    <r>
      <rPr>
        <b/>
        <vertAlign val="subscript"/>
        <sz val="10"/>
        <rFont val="Calibri"/>
        <family val="2"/>
        <scheme val="minor"/>
      </rPr>
      <t>1,2-Dichloroethane</t>
    </r>
    <r>
      <rPr>
        <b/>
        <sz val="10"/>
        <rFont val="Calibri"/>
        <family val="2"/>
        <scheme val="minor"/>
      </rPr>
      <t>, 8-hr TWA (ppm)</t>
    </r>
  </si>
  <si>
    <r>
      <t>AC</t>
    </r>
    <r>
      <rPr>
        <b/>
        <vertAlign val="subscript"/>
        <sz val="10"/>
        <rFont val="Calibri"/>
        <family val="2"/>
        <scheme val="minor"/>
      </rPr>
      <t>1,2-Dichloroethane</t>
    </r>
    <r>
      <rPr>
        <b/>
        <sz val="10"/>
        <rFont val="Calibri"/>
        <family val="2"/>
        <scheme val="minor"/>
      </rPr>
      <t>, 8-hr TWA (ppm)</t>
    </r>
  </si>
  <si>
    <r>
      <t>ADC</t>
    </r>
    <r>
      <rPr>
        <b/>
        <vertAlign val="subscript"/>
        <sz val="10"/>
        <rFont val="Calibri"/>
        <family val="2"/>
        <scheme val="minor"/>
      </rPr>
      <t>1,2-Dichloroethane</t>
    </r>
    <r>
      <rPr>
        <b/>
        <sz val="10"/>
        <rFont val="Calibri"/>
        <family val="2"/>
        <scheme val="minor"/>
      </rPr>
      <t>, 8-hr TWA (ppm)</t>
    </r>
  </si>
  <si>
    <r>
      <t>LADC</t>
    </r>
    <r>
      <rPr>
        <b/>
        <vertAlign val="subscript"/>
        <sz val="10"/>
        <rFont val="Calibri"/>
        <family val="2"/>
        <scheme val="minor"/>
      </rPr>
      <t>1,2-Dichloroethane</t>
    </r>
    <r>
      <rPr>
        <b/>
        <sz val="10"/>
        <rFont val="Calibri"/>
        <family val="2"/>
        <scheme val="minor"/>
      </rPr>
      <t>, 8-hr TWA (ppm)</t>
    </r>
  </si>
  <si>
    <t>Worker</t>
  </si>
  <si>
    <t>Central Tendency</t>
  </si>
  <si>
    <t>Worker, No Gloves</t>
  </si>
  <si>
    <t>ONU</t>
  </si>
  <si>
    <t>High End</t>
  </si>
  <si>
    <t>Risk Estimation for Acute Inhalation Exposures</t>
  </si>
  <si>
    <t>Risk Estimation for Acute, Non-Cancer Dermal Exposures</t>
  </si>
  <si>
    <t>Health Effect, Endpoint and Study</t>
  </si>
  <si>
    <t>HEC (ppm)</t>
  </si>
  <si>
    <t>Benchmark MOE 
(= Total UF)</t>
  </si>
  <si>
    <t>Acute Exposure Estimates</t>
  </si>
  <si>
    <t>HED (mg/kg)</t>
  </si>
  <si>
    <t>Chronic Exposure Estimates</t>
  </si>
  <si>
    <t>Worker MOE</t>
  </si>
  <si>
    <t>ONU MOE</t>
  </si>
  <si>
    <t>Worker MOE, No Gloves</t>
  </si>
  <si>
    <t>Tox5</t>
  </si>
  <si>
    <t>Tox1</t>
  </si>
  <si>
    <t>Risk Estimation for Intermediate, Non-Cancer Inhalation Exposures</t>
  </si>
  <si>
    <t>Risk Estimation for Intermediate, Non-Cancer Dermal Exposures</t>
  </si>
  <si>
    <t>Intermediate Exposure Estimates</t>
  </si>
  <si>
    <t>Tox2</t>
  </si>
  <si>
    <t>Tox6</t>
  </si>
  <si>
    <t>Risk Estimation for Chronic, Non-Cancer Inhalation Exposures</t>
  </si>
  <si>
    <t>Risk Estimation for Chronic, Non-Cancer Dermal Exposures</t>
  </si>
  <si>
    <t>Tox3</t>
  </si>
  <si>
    <t>Tox7</t>
  </si>
  <si>
    <t>Cancer Risks</t>
  </si>
  <si>
    <t>Chronic Cancer Exposure Estimates</t>
  </si>
  <si>
    <t>Risk Estimate</t>
  </si>
  <si>
    <r>
      <t>IUR (ppm)</t>
    </r>
    <r>
      <rPr>
        <b/>
        <vertAlign val="superscript"/>
        <sz val="10"/>
        <color theme="1"/>
        <rFont val="Calibri"/>
        <family val="2"/>
        <scheme val="minor"/>
      </rPr>
      <t>-1</t>
    </r>
  </si>
  <si>
    <t>Benchmark</t>
  </si>
  <si>
    <t xml:space="preserve">Worker </t>
  </si>
  <si>
    <t xml:space="preserve">ONU </t>
  </si>
  <si>
    <r>
      <t>CSF (mg/kg-d)</t>
    </r>
    <r>
      <rPr>
        <b/>
        <vertAlign val="superscript"/>
        <sz val="10"/>
        <color theme="1"/>
        <rFont val="Calibri"/>
        <family val="2"/>
        <scheme val="minor"/>
      </rPr>
      <t>-1</t>
    </r>
  </si>
  <si>
    <t>Tox4</t>
  </si>
  <si>
    <r>
      <t>10</t>
    </r>
    <r>
      <rPr>
        <b/>
        <vertAlign val="superscript"/>
        <sz val="10"/>
        <color theme="1"/>
        <rFont val="Calibri"/>
        <family val="2"/>
        <scheme val="minor"/>
      </rPr>
      <t>-4</t>
    </r>
  </si>
  <si>
    <t>Tox8</t>
  </si>
  <si>
    <t>Inhalation Cancer Risk Estimates</t>
  </si>
  <si>
    <t>Cancer Risk</t>
  </si>
  <si>
    <t>Dermal Cancer Risk Estimates</t>
  </si>
  <si>
    <t>ONU: Central Tendency</t>
  </si>
  <si>
    <t>ONU: High End</t>
  </si>
  <si>
    <t>Worker: Central Tendency</t>
  </si>
  <si>
    <t>Worker: High End</t>
  </si>
  <si>
    <t>Summary of Risk Estimates for Inhalation and Dermal Exposures to Workers by Condition of Use</t>
  </si>
  <si>
    <t>Benchmarks</t>
  </si>
  <si>
    <t>Inhalation
8-hr TWA</t>
  </si>
  <si>
    <t>Respirator APF =</t>
  </si>
  <si>
    <t>Glove PF =</t>
  </si>
  <si>
    <t>OES Group</t>
  </si>
  <si>
    <t>Population</t>
  </si>
  <si>
    <t>Exposure Route</t>
  </si>
  <si>
    <t>Life Cycle Stage/ Category</t>
  </si>
  <si>
    <t>Subcategory</t>
  </si>
  <si>
    <t>Occupational Exposure Scenario</t>
  </si>
  <si>
    <t>Exposure Route and Duration</t>
  </si>
  <si>
    <t>Risk Estimates for No PPE</t>
  </si>
  <si>
    <t>Risk Estimates with PPE</t>
  </si>
  <si>
    <t>Select the PPE APF or PF for Each OES, Receptor, and Endpoint</t>
  </si>
  <si>
    <r>
      <t>Cancer (bench­mark = 10</t>
    </r>
    <r>
      <rPr>
        <b/>
        <vertAlign val="superscript"/>
        <sz val="9.5"/>
        <color rgb="FF000000"/>
        <rFont val="Times New Roman"/>
        <family val="1"/>
      </rPr>
      <t>-4</t>
    </r>
    <r>
      <rPr>
        <b/>
        <sz val="9.5"/>
        <color rgb="FF000000"/>
        <rFont val="Times New Roman"/>
        <family val="1"/>
      </rPr>
      <t>)</t>
    </r>
  </si>
  <si>
    <t>Acute Non-cancer</t>
  </si>
  <si>
    <t>Intermediate Non-cancer</t>
  </si>
  <si>
    <t>Chronic Non-cancer</t>
  </si>
  <si>
    <t>Cancer</t>
  </si>
  <si>
    <t>Acute Non-cancer HEC (ppm) and HED (mg/kg-d)</t>
  </si>
  <si>
    <t>Intermediate Non-cancer HEC (ppm) and HED (mg/kg-d)</t>
  </si>
  <si>
    <t>Chronic Non-cancer HEC (ppm) and HED (mg/kg-d)</t>
  </si>
  <si>
    <r>
      <t>Cancer CSF (ppm)</t>
    </r>
    <r>
      <rPr>
        <b/>
        <vertAlign val="superscript"/>
        <sz val="9.5"/>
        <color rgb="FF000000"/>
        <rFont val="Times New Roman"/>
        <family val="1"/>
      </rPr>
      <t>-1</t>
    </r>
    <r>
      <rPr>
        <b/>
        <sz val="9.5"/>
        <color rgb="FF000000"/>
        <rFont val="Times New Roman"/>
        <family val="1"/>
      </rPr>
      <t xml:space="preserve"> and (mg/kg-d)</t>
    </r>
    <r>
      <rPr>
        <b/>
        <vertAlign val="superscript"/>
        <sz val="9.5"/>
        <color rgb="FF000000"/>
        <rFont val="Times New Roman"/>
        <family val="1"/>
      </rPr>
      <t>-1</t>
    </r>
  </si>
  <si>
    <t>1a</t>
  </si>
  <si>
    <t>Inhalation</t>
  </si>
  <si>
    <t>Manufacture/
Domestic Manufacturing</t>
  </si>
  <si>
    <t>Domestic manufacture</t>
  </si>
  <si>
    <t>APF</t>
  </si>
  <si>
    <t>High-End</t>
  </si>
  <si>
    <t>1b</t>
  </si>
  <si>
    <t>Manufacturing (Logistics Technicians)</t>
  </si>
  <si>
    <t>1c</t>
  </si>
  <si>
    <t>Manufacturing (Maintenance Technicians)</t>
  </si>
  <si>
    <t>1d</t>
  </si>
  <si>
    <t>Manufacturing (Laboratory Technicians)</t>
  </si>
  <si>
    <t>Manufacturing (All)</t>
  </si>
  <si>
    <t>PF</t>
  </si>
  <si>
    <t>N/A</t>
  </si>
  <si>
    <t>2a</t>
  </si>
  <si>
    <t>2b</t>
  </si>
  <si>
    <t>2c</t>
  </si>
  <si>
    <t>2d</t>
  </si>
  <si>
    <t>3a</t>
  </si>
  <si>
    <t>Processing / Processing - Repackaging</t>
  </si>
  <si>
    <t>Processing - Repackaging</t>
  </si>
  <si>
    <t>Repackaging (PBZ)</t>
  </si>
  <si>
    <t>3b</t>
  </si>
  <si>
    <t>Repackaging (Modeled)</t>
  </si>
  <si>
    <t>4a</t>
  </si>
  <si>
    <t>Processing/As a Reactant</t>
  </si>
  <si>
    <t>Intermediate: Petrochemical manufacturing; Plastic material and resin manufacturing; All other basic organic chemical manufacturing</t>
  </si>
  <si>
    <t>Processing as a Reactant (Operators)</t>
  </si>
  <si>
    <t>4b</t>
  </si>
  <si>
    <t>Processing as a Reactant (Logistics Technicians)</t>
  </si>
  <si>
    <t>4c</t>
  </si>
  <si>
    <t>Processing as a Reactant (Maintenance Technicians)</t>
  </si>
  <si>
    <t>4d</t>
  </si>
  <si>
    <t>Processing as a Reactant (Laboratory Technicians)</t>
  </si>
  <si>
    <t>4e</t>
  </si>
  <si>
    <t>Processing as a Reactant (Herbicide Manufacture)</t>
  </si>
  <si>
    <t>Processing as a Reactant (All)</t>
  </si>
  <si>
    <t>4e_ONU</t>
  </si>
  <si>
    <t>Processing/Incorporated into formulation, mixture, or reaction product</t>
  </si>
  <si>
    <t>Fuels and fuel additives: All other petroleum and coal products manufacturing / Processing aids: specific to petroleum production</t>
  </si>
  <si>
    <t xml:space="preserve">Processing into formulation, mixture, or reaction product </t>
  </si>
  <si>
    <t>Industrial Use/Adhesives and Sealants</t>
  </si>
  <si>
    <t>Adhesives and sealants</t>
  </si>
  <si>
    <t>Industrial application of adhesives and sealants</t>
  </si>
  <si>
    <t>Industrial Use/Lubricants and Greases</t>
  </si>
  <si>
    <t>Paste lubricants and greases</t>
  </si>
  <si>
    <t>Industrial application of lubricants and greases containing 1,2-Dichloroethane</t>
  </si>
  <si>
    <t xml:space="preserve">Industrial Use/Solvents (for cleaning and degreasing)
</t>
  </si>
  <si>
    <t>A component of degreasing and cleaning solvents</t>
  </si>
  <si>
    <t>Industrial and commercial non-aerosol cleaning/degreasing</t>
  </si>
  <si>
    <t>Commercial aerosol products (Aerosol degreasing, aerosol lubricants)</t>
  </si>
  <si>
    <t>10a</t>
  </si>
  <si>
    <t>Commercial Use/ Other use</t>
  </si>
  <si>
    <t>Laboratory Chemical (e.g., reagent)</t>
  </si>
  <si>
    <t xml:space="preserve">Commercial Laboratory Use (Laboratory technician) </t>
  </si>
  <si>
    <t>10b</t>
  </si>
  <si>
    <t>Commercial Laboratory Use (Herbicide Manufacture)</t>
  </si>
  <si>
    <t>10c</t>
  </si>
  <si>
    <t>Commercial Laboratory Use (academic laboratories)</t>
  </si>
  <si>
    <t>Commercial Laboratory Use (All)</t>
  </si>
  <si>
    <t>Disposal / Disposal</t>
  </si>
  <si>
    <t>Disposal</t>
  </si>
  <si>
    <t>Waste Handling, Treatment, and Disposal (Landfill)</t>
  </si>
  <si>
    <t>Waste Handling, Treatment, and Disposal (POTW and non-POTW WWT)</t>
  </si>
  <si>
    <t>N/A = not assessed because ONUs are not assumed to be wearing PPE</t>
  </si>
  <si>
    <t>NR = not reported</t>
  </si>
  <si>
    <t>- - = exposure data for ONUs were not available</t>
  </si>
  <si>
    <r>
      <t>–</t>
    </r>
    <r>
      <rPr>
        <sz val="9.5"/>
        <color theme="1"/>
        <rFont val="Times New Roman"/>
        <family val="1"/>
      </rPr>
      <t xml:space="preserve"> = not included because calculated risk was below benchmark MOE for high-end exposures without PPE</t>
    </r>
  </si>
  <si>
    <t>*EPA cannot separately determine a central tendency and high-end estimate and/or EPA cannot determine statistical representativeness of the values given the small sample size.</t>
  </si>
  <si>
    <t>** The risk assessment did not provide details about how these values were calculated, therefore, it is unclear what percentile is represented when an exposure is described as “reasonable worst case.”</t>
  </si>
  <si>
    <t>***For this scenario, the high-end was the 90th percentile.</t>
  </si>
  <si>
    <r>
      <t>****For this scenario, the high-end was the maximum value.</t>
    </r>
    <r>
      <rPr>
        <sz val="8"/>
        <color theme="1"/>
        <rFont val="Times New Roman"/>
        <family val="1"/>
      </rPr>
      <t> </t>
    </r>
  </si>
  <si>
    <t>Inhalation Exposure</t>
  </si>
  <si>
    <t>Exposure Type 
(select)</t>
  </si>
  <si>
    <t>Chronic, Cancer Exposures (WY Adjusted)</t>
  </si>
  <si>
    <r>
      <t>AC</t>
    </r>
    <r>
      <rPr>
        <b/>
        <vertAlign val="subscript"/>
        <sz val="10"/>
        <rFont val="Calibri"/>
        <family val="2"/>
        <scheme val="minor"/>
      </rPr>
      <t>8-hr TWA</t>
    </r>
    <r>
      <rPr>
        <b/>
        <sz val="10"/>
        <rFont val="Calibri"/>
        <family val="2"/>
        <scheme val="minor"/>
      </rPr>
      <t xml:space="preserve"> (ppm)</t>
    </r>
  </si>
  <si>
    <t>Risk Estimation for Inhalation Exposures</t>
  </si>
  <si>
    <t>Risk Estimation for Dermal Exposures</t>
  </si>
  <si>
    <t>Risk Type</t>
  </si>
  <si>
    <t>Toxicity Endpoint</t>
  </si>
  <si>
    <t>Study</t>
  </si>
  <si>
    <t>No Respirator</t>
  </si>
  <si>
    <t>APF = 10</t>
  </si>
  <si>
    <t>APF = 25</t>
  </si>
  <si>
    <t>APF = 50</t>
  </si>
  <si>
    <t>APF = 1,000</t>
  </si>
  <si>
    <t>APF = 10,000</t>
  </si>
  <si>
    <t>No Gloves</t>
  </si>
  <si>
    <t>PF = 5</t>
  </si>
  <si>
    <t>PF = 10</t>
  </si>
  <si>
    <t>PF = 20</t>
  </si>
  <si>
    <t>Acute, Non-Cancer</t>
  </si>
  <si>
    <t>Intermediate</t>
  </si>
  <si>
    <t>Chronic, Non-Cancer</t>
  </si>
  <si>
    <r>
      <t>IUR (ppm)</t>
    </r>
    <r>
      <rPr>
        <b/>
        <vertAlign val="superscript"/>
        <sz val="10"/>
        <rFont val="Calibri"/>
        <family val="2"/>
        <scheme val="minor"/>
      </rPr>
      <t>-1</t>
    </r>
  </si>
  <si>
    <r>
      <t>CSF (mg/kg-d)</t>
    </r>
    <r>
      <rPr>
        <b/>
        <vertAlign val="superscript"/>
        <sz val="10"/>
        <rFont val="Calibri"/>
        <family val="2"/>
        <scheme val="minor"/>
      </rPr>
      <t>-1</t>
    </r>
  </si>
  <si>
    <t>Chronic, Cancer</t>
  </si>
  <si>
    <t>No Gloves 
(PF = 1)</t>
  </si>
  <si>
    <t>Protective Gloves 
(PF = 5)</t>
  </si>
  <si>
    <t>Protective Gloves 
(Commercial uses, PF = 10)</t>
  </si>
  <si>
    <t>=</t>
  </si>
  <si>
    <t>Protective Gloves 
(Industrial uses, PF = 20)</t>
  </si>
  <si>
    <t>Look-up Values and Risk Parameter Values</t>
  </si>
  <si>
    <t>Acute and Chronic, Non-Cancer Parameters</t>
  </si>
  <si>
    <t>Cancer Parameters</t>
  </si>
  <si>
    <t>Look-up Table Values</t>
  </si>
  <si>
    <t>Code</t>
  </si>
  <si>
    <t>Uncertainty Factors (UFs) for Benchmark MOE</t>
  </si>
  <si>
    <r>
      <t>IUR (ppm)</t>
    </r>
    <r>
      <rPr>
        <b/>
        <vertAlign val="superscript"/>
        <sz val="11"/>
        <color theme="1"/>
        <rFont val="Calibri"/>
        <family val="2"/>
        <scheme val="minor"/>
      </rPr>
      <t>-1</t>
    </r>
  </si>
  <si>
    <t>Exposure Percentiles</t>
  </si>
  <si>
    <t>Target Cancer Risk Level</t>
  </si>
  <si>
    <t>Degeneration with necrosis of the olfactory mucosa</t>
  </si>
  <si>
    <t>Dow Chemical, 2006</t>
  </si>
  <si>
    <t>--</t>
  </si>
  <si>
    <t>Decrease in sperm concentration</t>
  </si>
  <si>
    <t>Zhang et al., 2017</t>
  </si>
  <si>
    <t>Result of combined cancer modeling</t>
  </si>
  <si>
    <t>Nagano et al., 2006</t>
  </si>
  <si>
    <t>HEC conversion factor</t>
  </si>
  <si>
    <t>Cancer Parameter</t>
  </si>
  <si>
    <t>ppm per mg/m3</t>
  </si>
  <si>
    <t>HED (mg/kg-d)</t>
  </si>
  <si>
    <r>
      <t>CSF (mg/kg-d)</t>
    </r>
    <r>
      <rPr>
        <b/>
        <vertAlign val="superscript"/>
        <sz val="11"/>
        <color theme="1"/>
        <rFont val="Calibri"/>
        <family val="2"/>
        <scheme val="minor"/>
      </rPr>
      <t>-1</t>
    </r>
  </si>
  <si>
    <t>1,2-Dichloroethane MW</t>
  </si>
  <si>
    <t>g/mol</t>
  </si>
  <si>
    <t>Increased kidney weight; Renal system</t>
  </si>
  <si>
    <t>Storer et al., 1984</t>
  </si>
  <si>
    <t>Molar Volume</t>
  </si>
  <si>
    <t>L/mol</t>
  </si>
  <si>
    <t>Increased relative kidney weight</t>
  </si>
  <si>
    <t>NTP, 1991</t>
  </si>
  <si>
    <t>Result of combined cancer modeling (route-to-route extrapolation from the IUR)</t>
  </si>
  <si>
    <t>Data for Risk Graph on Dashboard</t>
  </si>
  <si>
    <t>Occupational Non-user</t>
  </si>
  <si>
    <t>8-hr TWA Exposures Worker Type
(select) Exposure Estimates</t>
  </si>
  <si>
    <t>Calculated High-End Doses</t>
  </si>
  <si>
    <t>Calculated Central Tendency Doses</t>
  </si>
  <si>
    <t>Lookup Name</t>
  </si>
  <si>
    <t>OES</t>
  </si>
  <si>
    <t>Max Yderm</t>
  </si>
  <si>
    <r>
      <t>Qu (mg/cm</t>
    </r>
    <r>
      <rPr>
        <b/>
        <vertAlign val="superscript"/>
        <sz val="11"/>
        <color theme="1"/>
        <rFont val="Calibri"/>
        <family val="2"/>
        <scheme val="minor"/>
      </rPr>
      <t>2</t>
    </r>
    <r>
      <rPr>
        <b/>
        <sz val="11"/>
        <color theme="1"/>
        <rFont val="Calibri"/>
        <family val="2"/>
        <scheme val="minor"/>
      </rPr>
      <t>-event)</t>
    </r>
  </si>
  <si>
    <r>
      <t>Surface Area (cm</t>
    </r>
    <r>
      <rPr>
        <b/>
        <vertAlign val="superscript"/>
        <sz val="11"/>
        <color theme="1"/>
        <rFont val="Calibri"/>
        <family val="2"/>
        <scheme val="minor"/>
      </rPr>
      <t>2</t>
    </r>
    <r>
      <rPr>
        <b/>
        <sz val="11"/>
        <color theme="1"/>
        <rFont val="Calibri"/>
        <family val="2"/>
        <scheme val="minor"/>
      </rPr>
      <t>)</t>
    </r>
  </si>
  <si>
    <r>
      <t>Fraction Absorbed, f</t>
    </r>
    <r>
      <rPr>
        <b/>
        <vertAlign val="subscript"/>
        <sz val="11"/>
        <color theme="1"/>
        <rFont val="Calibri"/>
        <family val="2"/>
        <scheme val="minor"/>
      </rPr>
      <t>abs</t>
    </r>
  </si>
  <si>
    <t>Manufacturing</t>
  </si>
  <si>
    <t>Variable</t>
  </si>
  <si>
    <t>Repackaging</t>
  </si>
  <si>
    <t>-</t>
  </si>
  <si>
    <t>Processing as a reactant</t>
  </si>
  <si>
    <t>Processing as a Reactant (Herbicide manufacture)</t>
  </si>
  <si>
    <t>Industrial application of adhesives and sealants (Surrogate)</t>
  </si>
  <si>
    <t>Industrial application of lubricants and greases containing 1,2-dichloroethane (Modeled)</t>
  </si>
  <si>
    <t>Industrial application of lubricants and greases</t>
  </si>
  <si>
    <t>Industrial and commercial non-aerosol cleaning/degreasing (Surrogate)</t>
  </si>
  <si>
    <t>Commercial aerosol products (Aerosol degreasing, aerosol lubricants) (Modeled)</t>
  </si>
  <si>
    <t>Commercial aerosol products (aerosol degreasing, aerosol lubricants)</t>
  </si>
  <si>
    <t>Commercial Laboratory use</t>
  </si>
  <si>
    <t>Commercial laboratory use</t>
  </si>
  <si>
    <t>Commercial Laboratory use (Herbicide manufacture)</t>
  </si>
  <si>
    <t>Commercial Laboratory use (academic laboratories)</t>
  </si>
  <si>
    <t>Waste handling, disposal, and treatment (Landfill)</t>
  </si>
  <si>
    <t>Waste handling, disposal, and treatment (WWT)</t>
  </si>
  <si>
    <t>Exposure Scenario</t>
  </si>
  <si>
    <t>Exposure Frequency</t>
  </si>
  <si>
    <t>Eight Hour TWA Exposures</t>
  </si>
  <si>
    <t>Chronic, Cancer Exposures, WY Adjusted</t>
  </si>
  <si>
    <t>Datapoints</t>
  </si>
  <si>
    <t>Sources &amp; Notes</t>
  </si>
  <si>
    <t>(day/yr)</t>
  </si>
  <si>
    <r>
      <t>C</t>
    </r>
    <r>
      <rPr>
        <b/>
        <vertAlign val="subscript"/>
        <sz val="10"/>
        <rFont val="Calibri"/>
        <family val="2"/>
        <scheme val="minor"/>
      </rPr>
      <t>8-hr TWA</t>
    </r>
    <r>
      <rPr>
        <b/>
        <sz val="10"/>
        <rFont val="Calibri"/>
        <family val="2"/>
        <scheme val="minor"/>
      </rPr>
      <t xml:space="preserve"> (ppm)</t>
    </r>
  </si>
  <si>
    <r>
      <t>ADC</t>
    </r>
    <r>
      <rPr>
        <b/>
        <vertAlign val="subscript"/>
        <sz val="10"/>
        <rFont val="Calibri"/>
        <family val="2"/>
        <scheme val="minor"/>
      </rPr>
      <t>8-hr TWA</t>
    </r>
    <r>
      <rPr>
        <b/>
        <sz val="10"/>
        <rFont val="Calibri"/>
        <family val="2"/>
        <scheme val="minor"/>
      </rPr>
      <t xml:space="preserve"> (ppm)</t>
    </r>
  </si>
  <si>
    <r>
      <t>LADC</t>
    </r>
    <r>
      <rPr>
        <b/>
        <vertAlign val="subscript"/>
        <sz val="10"/>
        <rFont val="Calibri"/>
        <family val="2"/>
        <scheme val="minor"/>
      </rPr>
      <t>8-hr TWA</t>
    </r>
    <r>
      <rPr>
        <b/>
        <sz val="10"/>
        <rFont val="Calibri"/>
        <family val="2"/>
        <scheme val="minor"/>
      </rPr>
      <t xml:space="preserve"> (ppm)</t>
    </r>
  </si>
  <si>
    <t>Data Type</t>
  </si>
  <si>
    <t>8-hr TWA</t>
  </si>
  <si>
    <t xml:space="preserve">1,2-Dichloroethane Test Order Data </t>
  </si>
  <si>
    <t>PBZ Monitoring Data</t>
  </si>
  <si>
    <t>Manufacturing (ONUs)</t>
  </si>
  <si>
    <t>1,2-Dichloroethane Test Order Data - ONUs</t>
  </si>
  <si>
    <t>1,2-Dichloroethane Test Order Data - Logistics Technicians</t>
  </si>
  <si>
    <t>n/a</t>
  </si>
  <si>
    <t>1,2-Dichloroethane Test Order Data - Logistics Technicians. Assumed central tendency of worker exposure.</t>
  </si>
  <si>
    <t>Modeled - Import-Repackaging</t>
  </si>
  <si>
    <t>n/a - modeled</t>
  </si>
  <si>
    <t>Modeled. Assumed central tendency of worker exposure.</t>
  </si>
  <si>
    <t>Processing as a Reactant (ONUs)</t>
  </si>
  <si>
    <t>Surrogate Data - Trichloroethylene</t>
  </si>
  <si>
    <t xml:space="preserve">Modeled - Aerosol Degreasing </t>
  </si>
  <si>
    <t>1,2-Dichloroethane Test Order Data - Laboratory Technicians</t>
  </si>
  <si>
    <t>1,2-Dichloroethane Test Order Data - Laboratory Technicians. Assumed central tendency of worker exposure.</t>
  </si>
  <si>
    <t>Commercial laboratory use (Herbicide manufacture)</t>
  </si>
  <si>
    <t>Surrogate Data - Methylene Chloride</t>
  </si>
  <si>
    <t>Loizidou and Kapetanios, 1992</t>
  </si>
  <si>
    <t>Loizidou and Kapetanios, 1992. Assumed central tendency of worker exposure.</t>
  </si>
  <si>
    <t>Vinyl Institute</t>
  </si>
  <si>
    <t xml:space="preserve">PBZ Monitoring Data </t>
  </si>
  <si>
    <t>Vinyl Institute. Assumed central tendency of worker exposure.</t>
  </si>
  <si>
    <t>Conditions of Use</t>
  </si>
  <si>
    <t>Exposure Data Types</t>
  </si>
  <si>
    <t>Dermal Exposure Scenario</t>
  </si>
  <si>
    <t>Monitoring Data</t>
  </si>
  <si>
    <t>Modeled Data</t>
  </si>
  <si>
    <t>Worker Type</t>
  </si>
  <si>
    <t>BMDL Percentile</t>
  </si>
  <si>
    <t xml:space="preserve"> 1,2-Dichloroethane</t>
  </si>
  <si>
    <t>Assigned Protection Factor</t>
  </si>
  <si>
    <t>MW</t>
  </si>
  <si>
    <t>OSHA PEL</t>
  </si>
  <si>
    <t>ppm</t>
  </si>
  <si>
    <r>
      <t>mg/m</t>
    </r>
    <r>
      <rPr>
        <vertAlign val="superscript"/>
        <sz val="10"/>
        <rFont val="Calibri"/>
        <family val="2"/>
      </rPr>
      <t>3</t>
    </r>
  </si>
  <si>
    <t>Unit Conversions</t>
  </si>
  <si>
    <t>Micrograms to milligrams</t>
  </si>
  <si>
    <r>
      <rPr>
        <sz val="10"/>
        <rFont val="Calibri"/>
        <family val="2"/>
      </rPr>
      <t>μ</t>
    </r>
    <r>
      <rPr>
        <sz val="10"/>
        <rFont val="Arial"/>
        <family val="2"/>
      </rPr>
      <t>g/mg</t>
    </r>
  </si>
  <si>
    <t>Parameter Name</t>
  </si>
  <si>
    <t>Symbol</t>
  </si>
  <si>
    <t>Value</t>
  </si>
  <si>
    <t>Unit</t>
  </si>
  <si>
    <t>Occupational Exposure Duration (8-hr)</t>
  </si>
  <si>
    <t>ED_8</t>
  </si>
  <si>
    <t xml:space="preserve">hr/day </t>
  </si>
  <si>
    <t>Continuous Exposure Duration (24-hr)</t>
  </si>
  <si>
    <t>ED_24</t>
  </si>
  <si>
    <t xml:space="preserve">Occupational Exposure Frequency </t>
  </si>
  <si>
    <t>EF</t>
  </si>
  <si>
    <t xml:space="preserve">day/yr </t>
  </si>
  <si>
    <t>Continuous Exposure Frequency</t>
  </si>
  <si>
    <t>EF_C</t>
  </si>
  <si>
    <t>Working Years Per Lifetime (Mid)</t>
  </si>
  <si>
    <t>WY_mid</t>
  </si>
  <si>
    <t xml:space="preserve">yr </t>
  </si>
  <si>
    <t>Working Years Per Lifetime (High)</t>
  </si>
  <si>
    <t>WY_high</t>
  </si>
  <si>
    <t>Lifetime Years for LADC</t>
  </si>
  <si>
    <t>LT</t>
  </si>
  <si>
    <t>Averaging time For ADC (Mid), non-cancer occupational</t>
  </si>
  <si>
    <t>AT_ADC_mid</t>
  </si>
  <si>
    <t xml:space="preserve">hr </t>
  </si>
  <si>
    <t>Averaging time For ADC (High), non-cancer occupational</t>
  </si>
  <si>
    <t>AT_ADC_high</t>
  </si>
  <si>
    <t>Averaging time For LADC, cancer occupational</t>
  </si>
  <si>
    <t>AT_LADC</t>
  </si>
  <si>
    <t>AT_CRD_mid</t>
  </si>
  <si>
    <t>day</t>
  </si>
  <si>
    <t>AT_CRD_high</t>
  </si>
  <si>
    <t>AT_LCRD</t>
  </si>
  <si>
    <t>Breathing Ratio</t>
  </si>
  <si>
    <t>Breathing_Ratio</t>
  </si>
  <si>
    <t>Averaging time For ADC Intermediate, non-cancer occupational</t>
  </si>
  <si>
    <t>AT_ADC_ST</t>
  </si>
  <si>
    <t>Exposure Days - Intermediate</t>
  </si>
  <si>
    <t>EF_ST</t>
  </si>
  <si>
    <t>AT_CRD_ST</t>
  </si>
  <si>
    <t>Acute Averaging Time</t>
  </si>
  <si>
    <t>AT_AC</t>
  </si>
  <si>
    <t>Adjusted Working Years - Manufacturing (Mid)</t>
  </si>
  <si>
    <t>WY_mfg_mid</t>
  </si>
  <si>
    <t>Adjusted Working Years - Manufacturing (High)</t>
  </si>
  <si>
    <t>WY_mfg_high</t>
  </si>
  <si>
    <t>Adjusted Working Years -  Manufacturing as a Byproduct (Mid)</t>
  </si>
  <si>
    <t>WY_byp_mid</t>
  </si>
  <si>
    <t>WY_byp_high</t>
  </si>
  <si>
    <t>Adjusted Working Years - Processing as a reactant (Mid)</t>
  </si>
  <si>
    <t>WY_proc_mid</t>
  </si>
  <si>
    <t>Adjusted Working Years - Processing as a reactant (High)</t>
  </si>
  <si>
    <t>WY_proc_high</t>
  </si>
  <si>
    <t>Exposure Factors</t>
  </si>
  <si>
    <t>Woman of Childbearing Age</t>
  </si>
  <si>
    <t>Characterization of Value</t>
  </si>
  <si>
    <t>Body Weight, BW (kg)</t>
  </si>
  <si>
    <r>
      <t>1 Hand Surface Area (cm</t>
    </r>
    <r>
      <rPr>
        <b/>
        <vertAlign val="superscript"/>
        <sz val="11"/>
        <color theme="1"/>
        <rFont val="Calibri"/>
        <family val="2"/>
        <scheme val="minor"/>
      </rPr>
      <t>2</t>
    </r>
    <r>
      <rPr>
        <b/>
        <sz val="11"/>
        <color theme="1"/>
        <rFont val="Calibri"/>
        <family val="2"/>
        <scheme val="minor"/>
      </rPr>
      <t>)</t>
    </r>
  </si>
  <si>
    <r>
      <t>2 Hand Surface Area (cm</t>
    </r>
    <r>
      <rPr>
        <b/>
        <vertAlign val="superscript"/>
        <sz val="11"/>
        <color theme="1"/>
        <rFont val="Calibri"/>
        <family val="2"/>
        <scheme val="minor"/>
      </rPr>
      <t>2</t>
    </r>
    <r>
      <rPr>
        <b/>
        <sz val="11"/>
        <color theme="1"/>
        <rFont val="Calibri"/>
        <family val="2"/>
        <scheme val="minor"/>
      </rPr>
      <t>)</t>
    </r>
  </si>
  <si>
    <t>Working Years - High-End (yr)</t>
  </si>
  <si>
    <t>Working Years - Central Tendency (yr)</t>
  </si>
  <si>
    <t>Lifetime</t>
  </si>
  <si>
    <t>Woman of Childbearing Age Exposure Factors:</t>
  </si>
  <si>
    <t>Body Weight:</t>
  </si>
  <si>
    <t>From the Exposure Factors Handbook Table 8-5: Mean and Percentile Body Weights (kg) for Females Derived from NHANES (1990-2006) (1)</t>
  </si>
  <si>
    <t>Age 16 to &lt;21 years: 65.9 kg (mean)</t>
  </si>
  <si>
    <t>Age 21 to &lt;30 years: 71.9 kg (mean)</t>
  </si>
  <si>
    <t>Age 30 to &lt;40 years: 74.8 kg (mean)</t>
  </si>
  <si>
    <t>Age 40 to &lt;50 years: 77.1 kg (mean)</t>
  </si>
  <si>
    <t>(1) U.S. Environmental Protection Agency (EPA). (2011) Exposure Factors Handbook: 2011 Edition. National Center for Environmental Assessment, Washington, DC; EPA/600/R-09/052F.</t>
  </si>
  <si>
    <t>Manufacturing - as an unintended byproduct at 95-100% (Operators)</t>
  </si>
  <si>
    <t>Manufacturing - as an unintended byproduct at 95-100% (Logistics Technicians)</t>
  </si>
  <si>
    <t>Manufacturing - as an unintended byproduct at 95-100% (Maintenance Technicians)</t>
  </si>
  <si>
    <t>Manufacturing - as an unintended byproduct at 95-100% (Laboratory Technicians)</t>
  </si>
  <si>
    <t>Manufacturing - as an unintended byproduct at 1% (Operators)</t>
  </si>
  <si>
    <t>Manufacturing - as an unintended byproduct at 1% (Logistics Technicians)</t>
  </si>
  <si>
    <t>Manufacturing - as an unintended byproduct at 1% (Maintenance Technicians)</t>
  </si>
  <si>
    <t>Manufacturing - as an unintended byproduct at 1% (Laboratory Technicians)</t>
  </si>
  <si>
    <t>Manufacturing - as an unintended byproduct at 95-100% (ONUs)</t>
  </si>
  <si>
    <t>2e</t>
  </si>
  <si>
    <t>2f</t>
  </si>
  <si>
    <t>Manufacturing - as an unintended byproduct at 1% (ONUs)</t>
  </si>
  <si>
    <t>2g</t>
  </si>
  <si>
    <t>2h</t>
  </si>
  <si>
    <t>2i</t>
  </si>
  <si>
    <t>2j</t>
  </si>
  <si>
    <t>Manufacturing - as an unintended byproduct at 95-100% (All)</t>
  </si>
  <si>
    <t>Manufacturing - as an unintended byproduct at 1% (All)</t>
  </si>
  <si>
    <t>Manufacturing as an unintended byproduct at 95-100%</t>
  </si>
  <si>
    <t>Manufacturing as an unintended byproduct at 1%</t>
  </si>
  <si>
    <t>Acute Absorbed Dose Rate (AADR) (mg/day)</t>
  </si>
  <si>
    <t>Acute Absorbed Dose (AAD)(mg/kg-day)</t>
  </si>
  <si>
    <t xml:space="preserve">Chronic Absorbed Dose (CAD), Non-Cancer (mg/kg-day) </t>
  </si>
  <si>
    <t xml:space="preserve">Chronic Absorbed Dose (LCAD), Cancer (mg/kg-day) </t>
  </si>
  <si>
    <t>AADR / BW</t>
  </si>
  <si>
    <t>AAD x EF_ST x WY / AT</t>
  </si>
  <si>
    <t>AAD x EF x WY / AT</t>
  </si>
  <si>
    <r>
      <t>AADR</t>
    </r>
    <r>
      <rPr>
        <b/>
        <vertAlign val="subscript"/>
        <sz val="10"/>
        <color theme="1"/>
        <rFont val="Calibri"/>
        <family val="2"/>
        <scheme val="minor"/>
      </rPr>
      <t>exp</t>
    </r>
    <r>
      <rPr>
        <b/>
        <sz val="10"/>
        <color theme="1"/>
        <rFont val="Calibri"/>
        <family val="2"/>
        <scheme val="minor"/>
      </rPr>
      <t xml:space="preserve"> (mg/day)</t>
    </r>
  </si>
  <si>
    <r>
      <t>AAD</t>
    </r>
    <r>
      <rPr>
        <b/>
        <vertAlign val="subscript"/>
        <sz val="10"/>
        <rFont val="Calibri"/>
        <family val="2"/>
        <scheme val="minor"/>
      </rPr>
      <t>1,2-Dichloroethane</t>
    </r>
    <r>
      <rPr>
        <b/>
        <sz val="10"/>
        <rFont val="Calibri"/>
        <family val="2"/>
        <scheme val="minor"/>
      </rPr>
      <t xml:space="preserve"> (mg/kg-day)</t>
    </r>
  </si>
  <si>
    <t>Acute Absorbed Dose Rate</t>
  </si>
  <si>
    <t>Acute Absorbed Dose</t>
  </si>
  <si>
    <t>Chronic Absorbed Dose, Non-Cancer</t>
  </si>
  <si>
    <t>Chronic Absorbed Dose, Cancer</t>
  </si>
  <si>
    <t>Chronic Absorbed Dose, Cancer - WY Adjustment</t>
  </si>
  <si>
    <r>
      <t>CAD</t>
    </r>
    <r>
      <rPr>
        <b/>
        <vertAlign val="subscript"/>
        <sz val="10"/>
        <rFont val="Calibri"/>
        <family val="2"/>
        <scheme val="minor"/>
      </rPr>
      <t>1,2-Dichloroethane</t>
    </r>
    <r>
      <rPr>
        <b/>
        <sz val="10"/>
        <rFont val="Calibri"/>
        <family val="2"/>
        <scheme val="minor"/>
      </rPr>
      <t xml:space="preserve"> (mg/kg-day)</t>
    </r>
  </si>
  <si>
    <r>
      <t>LCAD</t>
    </r>
    <r>
      <rPr>
        <b/>
        <vertAlign val="subscript"/>
        <sz val="10"/>
        <rFont val="Calibri"/>
        <family val="2"/>
        <scheme val="minor"/>
      </rPr>
      <t>1,2-Dichloroethane</t>
    </r>
    <r>
      <rPr>
        <b/>
        <sz val="10"/>
        <rFont val="Calibri"/>
        <family val="2"/>
        <scheme val="minor"/>
      </rPr>
      <t xml:space="preserve"> (mg/kg-day)</t>
    </r>
  </si>
  <si>
    <t>Chronic Absorbed Dose, Cancer (WY-Adjusted)</t>
  </si>
  <si>
    <t>Chronic Absorbed Dose, Cancer (WY Adjusted)</t>
  </si>
  <si>
    <r>
      <t>AADR</t>
    </r>
    <r>
      <rPr>
        <b/>
        <vertAlign val="subscript"/>
        <sz val="11"/>
        <color theme="1"/>
        <rFont val="Calibri"/>
        <family val="2"/>
        <scheme val="minor"/>
      </rPr>
      <t>exp</t>
    </r>
    <r>
      <rPr>
        <b/>
        <sz val="11"/>
        <color theme="1"/>
        <rFont val="Calibri"/>
        <family val="2"/>
        <scheme val="minor"/>
      </rPr>
      <t xml:space="preserve"> (mg/day)</t>
    </r>
  </si>
  <si>
    <r>
      <t>AAD</t>
    </r>
    <r>
      <rPr>
        <b/>
        <vertAlign val="subscript"/>
        <sz val="11"/>
        <rFont val="Calibri"/>
        <family val="2"/>
        <scheme val="minor"/>
      </rPr>
      <t>1,2-Dichloroethane</t>
    </r>
    <r>
      <rPr>
        <b/>
        <sz val="11"/>
        <rFont val="Calibri"/>
        <family val="2"/>
        <scheme val="minor"/>
      </rPr>
      <t xml:space="preserve"> (mg/kg-day)</t>
    </r>
  </si>
  <si>
    <r>
      <t>CAD</t>
    </r>
    <r>
      <rPr>
        <b/>
        <vertAlign val="subscript"/>
        <sz val="11"/>
        <rFont val="Calibri"/>
        <family val="2"/>
        <scheme val="minor"/>
      </rPr>
      <t>1,2-Dichloroethane</t>
    </r>
    <r>
      <rPr>
        <b/>
        <sz val="11"/>
        <rFont val="Calibri"/>
        <family val="2"/>
        <scheme val="minor"/>
      </rPr>
      <t xml:space="preserve"> (mg/kg-day)</t>
    </r>
  </si>
  <si>
    <r>
      <t>LCAD</t>
    </r>
    <r>
      <rPr>
        <b/>
        <vertAlign val="subscript"/>
        <sz val="11"/>
        <rFont val="Calibri"/>
        <family val="2"/>
        <scheme val="minor"/>
      </rPr>
      <t>1,2-Dichloroethane</t>
    </r>
    <r>
      <rPr>
        <b/>
        <sz val="11"/>
        <rFont val="Calibri"/>
        <family val="2"/>
        <scheme val="minor"/>
      </rPr>
      <t xml:space="preserve"> (mg/kg-day)</t>
    </r>
  </si>
  <si>
    <r>
      <rPr>
        <b/>
        <sz val="10"/>
        <color rgb="FF000000"/>
        <rFont val="Calibri"/>
        <scheme val="minor"/>
      </rPr>
      <t>10</t>
    </r>
    <r>
      <rPr>
        <b/>
        <vertAlign val="superscript"/>
        <sz val="10"/>
        <color rgb="FF000000"/>
        <rFont val="Calibri"/>
        <scheme val="minor"/>
      </rPr>
      <t>-4</t>
    </r>
  </si>
  <si>
    <r>
      <rPr>
        <b/>
        <sz val="9.5"/>
        <color rgb="FF000000"/>
        <rFont val="Times New Roman"/>
      </rPr>
      <t>Cancer (bench­mark = 10</t>
    </r>
    <r>
      <rPr>
        <b/>
        <vertAlign val="superscript"/>
        <sz val="9.5"/>
        <color rgb="FF000000"/>
        <rFont val="Times New Roman"/>
      </rPr>
      <t>-4</t>
    </r>
    <r>
      <rPr>
        <b/>
        <sz val="9.5"/>
        <color rgb="FF000000"/>
        <rFont val="Times New Roman"/>
      </rPr>
      <t>)</t>
    </r>
  </si>
  <si>
    <r>
      <rPr>
        <b/>
        <sz val="9.5"/>
        <color rgb="FF000000"/>
        <rFont val="Times New Roman"/>
      </rPr>
      <t>Cancer, WY-Adjusted (bench­mark = 10</t>
    </r>
    <r>
      <rPr>
        <b/>
        <vertAlign val="superscript"/>
        <sz val="9.5"/>
        <color rgb="FF000000"/>
        <rFont val="Times New Roman"/>
      </rPr>
      <t>-4</t>
    </r>
    <r>
      <rPr>
        <b/>
        <sz val="9.5"/>
        <color rgb="FF000000"/>
        <rFont val="Times New Roman"/>
      </rPr>
      <t>)</t>
    </r>
  </si>
  <si>
    <t>Risk Calculator for Occupational Exposure to 1,2-Dichloroethane</t>
  </si>
  <si>
    <t xml:space="preserve">Intermediate Absorbed Dose (IAD), Non-Cancer (mg/kg-day) </t>
  </si>
  <si>
    <t>Intermediate Absorbed Dose, Non-Cancer</t>
  </si>
  <si>
    <r>
      <t>IAD</t>
    </r>
    <r>
      <rPr>
        <b/>
        <vertAlign val="subscript"/>
        <sz val="10"/>
        <rFont val="Calibri"/>
        <family val="2"/>
        <scheme val="minor"/>
      </rPr>
      <t>1,2-Dichloroethane</t>
    </r>
    <r>
      <rPr>
        <b/>
        <sz val="10"/>
        <rFont val="Calibri"/>
        <family val="2"/>
        <scheme val="minor"/>
      </rPr>
      <t xml:space="preserve"> (mg/kg-day)</t>
    </r>
  </si>
  <si>
    <r>
      <t>IAD</t>
    </r>
    <r>
      <rPr>
        <b/>
        <vertAlign val="subscript"/>
        <sz val="11"/>
        <rFont val="Calibri"/>
        <family val="2"/>
        <scheme val="minor"/>
      </rPr>
      <t>1,2-Dichloroethane</t>
    </r>
    <r>
      <rPr>
        <b/>
        <sz val="11"/>
        <rFont val="Calibri"/>
        <family val="2"/>
        <scheme val="minor"/>
      </rPr>
      <t xml:space="preserve"> (mg/kg-day)</t>
    </r>
  </si>
  <si>
    <t>Adjusted Working Years -  Manufacturing as a Byproduct (High)</t>
  </si>
  <si>
    <r>
      <t>- SA = Surface area of dermal exposure (535 cm</t>
    </r>
    <r>
      <rPr>
        <vertAlign val="superscript"/>
        <sz val="10"/>
        <color theme="1"/>
        <rFont val="Calibri"/>
        <family val="2"/>
        <scheme val="minor"/>
      </rPr>
      <t xml:space="preserve">2 </t>
    </r>
    <r>
      <rPr>
        <sz val="10"/>
        <color theme="1"/>
        <rFont val="Calibri"/>
        <family val="2"/>
        <scheme val="minor"/>
      </rPr>
      <t>for 1-hand and 1,070 cm</t>
    </r>
    <r>
      <rPr>
        <vertAlign val="superscript"/>
        <sz val="10"/>
        <color theme="1"/>
        <rFont val="Calibri"/>
        <family val="2"/>
        <scheme val="minor"/>
      </rPr>
      <t>2</t>
    </r>
    <r>
      <rPr>
        <sz val="10"/>
        <color theme="1"/>
        <rFont val="Calibri"/>
        <family val="2"/>
        <scheme val="minor"/>
      </rPr>
      <t xml:space="preserve"> for 2-hand exposure)
- Qu = Quantity remaining on Skin: 1.4 (central tendency) to 2.1 (high end) mg/cm</t>
    </r>
    <r>
      <rPr>
        <vertAlign val="superscript"/>
        <sz val="10"/>
        <color theme="1"/>
        <rFont val="Calibri"/>
        <family val="2"/>
        <scheme val="minor"/>
      </rPr>
      <t>2</t>
    </r>
    <r>
      <rPr>
        <sz val="10"/>
        <color theme="1"/>
        <rFont val="Calibri"/>
        <family val="2"/>
        <scheme val="minor"/>
      </rPr>
      <t>-event
- Fabs = Fraction absorbed into skin: variable)
- Yderm = Concentration of chemical of interest
- FT = Exposure frequency : 1 event/day</t>
    </r>
  </si>
  <si>
    <t>Averaging time for CAD (Mid), non-cancer continuous</t>
  </si>
  <si>
    <t>Averaging time for CAD (High), non-cancer continuous</t>
  </si>
  <si>
    <t>Averaging time for LCAD, cancer continuous</t>
  </si>
  <si>
    <t>Averaging time for CAD (Intermediate), non-cancer continuous</t>
  </si>
  <si>
    <t>- EF = 24-250 days depending on OES
- WY = 31 (central tendency) to 40 yr (high-end) [or utilizing industry provided data, referred to as WY or working years adjusted]
- AT = 11,315 day (central tendency) to 14,600 day (high-end) (i.e. WY x 365 days/yr)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</si>
</sst>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00"/>
    <numFmt numFmtId="166" formatCode="0.0E+00"/>
    <numFmt numFmtId="167" formatCode="0.0000"/>
    <numFmt numFmtId="168" formatCode="0.0%"/>
    <numFmt numFmtId="169" formatCode="0.000E+00"/>
  </numFmts>
  <fonts count="69"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4"/>
      <color theme="1"/>
      <name val="Calibri"/>
      <family val="2"/>
      <scheme val="minor"/>
    </font>
    <font>
      <b/>
      <vertAlign val="superscript"/>
      <sz val="11"/>
      <color theme="1"/>
      <name val="Calibri"/>
      <family val="2"/>
      <scheme val="minor"/>
    </font>
    <font>
      <b/>
      <sz val="16"/>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b/>
      <vertAlign val="subscript"/>
      <sz val="10"/>
      <name val="Calibri"/>
      <family val="2"/>
      <scheme val="minor"/>
    </font>
    <font>
      <b/>
      <sz val="16"/>
      <name val="Calibri"/>
      <family val="2"/>
      <scheme val="minor"/>
    </font>
    <font>
      <sz val="10"/>
      <name val="Calibri"/>
      <family val="2"/>
      <scheme val="minor"/>
    </font>
    <font>
      <b/>
      <vertAlign val="superscript"/>
      <sz val="10"/>
      <color theme="1"/>
      <name val="Calibri"/>
      <family val="2"/>
      <scheme val="minor"/>
    </font>
    <font>
      <sz val="11"/>
      <color theme="0" tint="-4.9989318521683403E-2"/>
      <name val="Calibri"/>
      <family val="2"/>
      <scheme val="minor"/>
    </font>
    <font>
      <b/>
      <vertAlign val="subscript"/>
      <sz val="10"/>
      <color theme="1"/>
      <name val="Calibri"/>
      <family val="2"/>
      <scheme val="minor"/>
    </font>
    <font>
      <sz val="11"/>
      <color rgb="FFFF0000"/>
      <name val="Calibri"/>
      <family val="2"/>
      <scheme val="minor"/>
    </font>
    <font>
      <u/>
      <sz val="11"/>
      <color theme="1"/>
      <name val="Calibri"/>
      <family val="2"/>
      <scheme val="minor"/>
    </font>
    <font>
      <sz val="11"/>
      <color theme="1"/>
      <name val="Calibri"/>
      <family val="2"/>
      <scheme val="minor"/>
    </font>
    <font>
      <i/>
      <sz val="11"/>
      <color theme="1"/>
      <name val="Calibri"/>
      <family val="2"/>
      <scheme val="minor"/>
    </font>
    <font>
      <b/>
      <sz val="11"/>
      <color rgb="FFFF0000"/>
      <name val="Calibri"/>
      <family val="2"/>
      <scheme val="minor"/>
    </font>
    <font>
      <b/>
      <sz val="10"/>
      <color rgb="FF000000"/>
      <name val="Calibri"/>
      <family val="2"/>
      <scheme val="minor"/>
    </font>
    <font>
      <b/>
      <i/>
      <sz val="16"/>
      <name val="Calibri"/>
      <family val="2"/>
      <scheme val="minor"/>
    </font>
    <font>
      <sz val="14"/>
      <name val="Calibri"/>
      <family val="2"/>
      <scheme val="minor"/>
    </font>
    <font>
      <b/>
      <i/>
      <sz val="14"/>
      <name val="Calibri"/>
      <family val="2"/>
      <scheme val="minor"/>
    </font>
    <font>
      <b/>
      <sz val="14"/>
      <name val="Calibri"/>
      <family val="2"/>
      <scheme val="minor"/>
    </font>
    <font>
      <b/>
      <sz val="11"/>
      <color theme="9" tint="0.79998168889431442"/>
      <name val="Calibri"/>
      <family val="2"/>
      <scheme val="minor"/>
    </font>
    <font>
      <b/>
      <i/>
      <sz val="10"/>
      <name val="Calibri"/>
      <family val="2"/>
      <scheme val="minor"/>
    </font>
    <font>
      <b/>
      <sz val="10"/>
      <color theme="8" tint="0.79998168889431442"/>
      <name val="Calibri"/>
      <family val="2"/>
      <scheme val="minor"/>
    </font>
    <font>
      <u/>
      <sz val="10"/>
      <color theme="1"/>
      <name val="Calibri"/>
      <family val="2"/>
      <scheme val="minor"/>
    </font>
    <font>
      <sz val="10"/>
      <color rgb="FFFF0000"/>
      <name val="Calibri"/>
      <family val="2"/>
      <scheme val="minor"/>
    </font>
    <font>
      <sz val="10"/>
      <color theme="0" tint="-4.9989318521683403E-2"/>
      <name val="Calibri"/>
      <family val="2"/>
      <scheme val="minor"/>
    </font>
    <font>
      <sz val="10"/>
      <name val="Arial"/>
      <family val="2"/>
    </font>
    <font>
      <sz val="10"/>
      <name val="Calibri"/>
      <family val="2"/>
    </font>
    <font>
      <vertAlign val="superscript"/>
      <sz val="10"/>
      <name val="Calibri"/>
      <family val="2"/>
    </font>
    <font>
      <b/>
      <sz val="12"/>
      <name val="Calibri"/>
      <family val="2"/>
    </font>
    <font>
      <b/>
      <vertAlign val="subscript"/>
      <sz val="11"/>
      <color theme="1"/>
      <name val="Calibri"/>
      <family val="2"/>
      <scheme val="minor"/>
    </font>
    <font>
      <b/>
      <vertAlign val="subscript"/>
      <sz val="11"/>
      <name val="Calibri"/>
      <family val="2"/>
      <scheme val="minor"/>
    </font>
    <font>
      <b/>
      <sz val="10"/>
      <name val="Calibri"/>
      <family val="2"/>
    </font>
    <font>
      <sz val="8"/>
      <name val="Calibri"/>
      <family val="2"/>
      <scheme val="minor"/>
    </font>
    <font>
      <b/>
      <sz val="11"/>
      <color theme="1"/>
      <name val="Arial"/>
      <family val="2"/>
    </font>
    <font>
      <sz val="11"/>
      <color theme="1"/>
      <name val="Arial"/>
      <family val="2"/>
    </font>
    <font>
      <sz val="11"/>
      <name val="Arial"/>
      <family val="2"/>
    </font>
    <font>
      <b/>
      <sz val="11"/>
      <color rgb="FFFF0000"/>
      <name val="Arial"/>
      <family val="2"/>
    </font>
    <font>
      <b/>
      <sz val="11"/>
      <color theme="1"/>
      <name val="Times New Roman"/>
      <family val="1"/>
    </font>
    <font>
      <sz val="11"/>
      <color theme="1"/>
      <name val="Times New Roman"/>
      <family val="1"/>
    </font>
    <font>
      <b/>
      <sz val="12"/>
      <color theme="1"/>
      <name val="Times New Roman"/>
      <family val="1"/>
    </font>
    <font>
      <b/>
      <sz val="9.5"/>
      <color theme="1"/>
      <name val="Times New Roman"/>
      <family val="1"/>
    </font>
    <font>
      <b/>
      <sz val="9.5"/>
      <color rgb="FF000000"/>
      <name val="Times New Roman"/>
      <family val="1"/>
    </font>
    <font>
      <b/>
      <vertAlign val="superscript"/>
      <sz val="9.5"/>
      <color rgb="FF000000"/>
      <name val="Times New Roman"/>
      <family val="1"/>
    </font>
    <font>
      <sz val="9.5"/>
      <color theme="1"/>
      <name val="Times New Roman"/>
      <family val="1"/>
    </font>
    <font>
      <sz val="9.5"/>
      <color rgb="FF000000"/>
      <name val="Times New Roman"/>
      <family val="1"/>
    </font>
    <font>
      <sz val="10"/>
      <color theme="1"/>
      <name val="Times New Roman"/>
      <family val="1"/>
    </font>
    <font>
      <sz val="8"/>
      <color theme="1"/>
      <name val="Times New Roman"/>
      <family val="1"/>
    </font>
    <font>
      <sz val="9.5"/>
      <name val="Times New Roman"/>
      <family val="1"/>
    </font>
    <font>
      <b/>
      <vertAlign val="superscript"/>
      <sz val="10"/>
      <name val="Calibri"/>
      <family val="2"/>
      <scheme val="minor"/>
    </font>
    <font>
      <i/>
      <sz val="11"/>
      <name val="Arial"/>
      <family val="2"/>
    </font>
    <font>
      <vertAlign val="superscript"/>
      <sz val="10"/>
      <color theme="1"/>
      <name val="Calibri"/>
      <family val="2"/>
      <scheme val="minor"/>
    </font>
    <font>
      <sz val="9"/>
      <color theme="1"/>
      <name val="Times New Roman"/>
      <family val="1"/>
    </font>
    <font>
      <b/>
      <sz val="16"/>
      <color rgb="FF000000"/>
      <name val="Times New Roman"/>
      <family val="1"/>
    </font>
    <font>
      <b/>
      <sz val="10"/>
      <color rgb="FFFF0000"/>
      <name val="Calibri"/>
      <family val="2"/>
      <scheme val="minor"/>
    </font>
    <font>
      <vertAlign val="subscript"/>
      <sz val="10"/>
      <color theme="1"/>
      <name val="Calibri"/>
      <family val="2"/>
      <scheme val="minor"/>
    </font>
    <font>
      <sz val="12"/>
      <color theme="1"/>
      <name val="Times New Roman"/>
      <family val="1"/>
    </font>
    <font>
      <b/>
      <sz val="14"/>
      <color theme="1"/>
      <name val="Times New Roman"/>
      <family val="1"/>
    </font>
    <font>
      <sz val="11"/>
      <color rgb="FFFF0000"/>
      <name val="Arial"/>
      <family val="2"/>
    </font>
    <font>
      <b/>
      <sz val="10"/>
      <color rgb="FF000000"/>
      <name val="Calibri"/>
      <scheme val="minor"/>
    </font>
    <font>
      <b/>
      <vertAlign val="superscript"/>
      <sz val="10"/>
      <color rgb="FF000000"/>
      <name val="Calibri"/>
      <scheme val="minor"/>
    </font>
    <font>
      <b/>
      <sz val="9.5"/>
      <color rgb="FF000000"/>
      <name val="Times New Roman"/>
    </font>
    <font>
      <b/>
      <vertAlign val="superscript"/>
      <sz val="9.5"/>
      <color rgb="FF000000"/>
      <name val="Times New Roman"/>
    </font>
  </fonts>
  <fills count="24">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8" tint="0.39994506668294322"/>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0"/>
        <bgColor theme="4" tint="0.79998168889431442"/>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8" tint="-0.249977111117893"/>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D9D9D9"/>
        <bgColor indexed="64"/>
      </patternFill>
    </fill>
    <fill>
      <patternFill patternType="solid">
        <fgColor theme="4" tint="0.59996337778862885"/>
        <bgColor indexed="64"/>
      </patternFill>
    </fill>
    <fill>
      <patternFill patternType="solid">
        <fgColor theme="2" tint="-0.24994659260841701"/>
        <bgColor indexed="64"/>
      </patternFill>
    </fill>
    <fill>
      <patternFill patternType="solid">
        <fgColor theme="0" tint="-0.24994659260841701"/>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6" tint="0.39994506668294322"/>
        <bgColor indexed="64"/>
      </patternFill>
    </fill>
    <fill>
      <patternFill patternType="solid">
        <fgColor theme="6" tint="0.79998168889431442"/>
        <bgColor indexed="64"/>
      </patternFill>
    </fill>
    <fill>
      <patternFill patternType="solid">
        <fgColor rgb="FFFFFF00"/>
        <bgColor indexed="64"/>
      </patternFill>
    </fill>
  </fills>
  <borders count="9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14996795556505021"/>
      </left>
      <right/>
      <top style="thin">
        <color theme="0" tint="-0.14996795556505021"/>
      </top>
      <bottom style="thin">
        <color theme="0" tint="-0.14996795556505021"/>
      </bottom>
      <diagonal/>
    </border>
    <border>
      <left style="thin">
        <color auto="1"/>
      </left>
      <right style="thin">
        <color auto="1"/>
      </right>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bottom style="medium">
        <color auto="1"/>
      </bottom>
      <diagonal/>
    </border>
    <border>
      <left style="thin">
        <color auto="1"/>
      </left>
      <right style="thin">
        <color auto="1"/>
      </right>
      <top style="thin">
        <color auto="1"/>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auto="1"/>
      </left>
      <right style="thin">
        <color auto="1"/>
      </right>
      <top/>
      <bottom style="medium">
        <color auto="1"/>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indexed="64"/>
      </right>
      <top/>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indexed="64"/>
      </left>
      <right style="medium">
        <color auto="1"/>
      </right>
      <top style="thin">
        <color indexed="64"/>
      </top>
      <bottom style="medium">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right/>
      <top style="medium">
        <color auto="1"/>
      </top>
      <bottom style="thin">
        <color auto="1"/>
      </bottom>
      <diagonal/>
    </border>
    <border>
      <left style="thin">
        <color theme="0" tint="-0.14996795556505021"/>
      </left>
      <right style="thin">
        <color theme="0" tint="-0.14996795556505021"/>
      </right>
      <top/>
      <bottom style="thin">
        <color theme="0" tint="-0.149967955565050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auto="1"/>
      </top>
      <bottom/>
      <diagonal/>
    </border>
    <border>
      <left/>
      <right style="thin">
        <color indexed="64"/>
      </right>
      <top style="medium">
        <color auto="1"/>
      </top>
      <bottom style="thin">
        <color auto="1"/>
      </bottom>
      <diagonal/>
    </border>
    <border>
      <left/>
      <right style="thin">
        <color auto="1"/>
      </right>
      <top style="thin">
        <color auto="1"/>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bottom style="medium">
        <color indexed="64"/>
      </bottom>
      <diagonal/>
    </border>
    <border>
      <left style="medium">
        <color indexed="64"/>
      </left>
      <right/>
      <top style="thin">
        <color indexed="64"/>
      </top>
      <bottom style="medium">
        <color indexed="64"/>
      </bottom>
      <diagonal/>
    </border>
    <border>
      <left style="medium">
        <color auto="1"/>
      </left>
      <right/>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medium">
        <color indexed="64"/>
      </bottom>
      <diagonal/>
    </border>
    <border>
      <left style="medium">
        <color auto="1"/>
      </left>
      <right style="medium">
        <color indexed="64"/>
      </right>
      <top style="medium">
        <color auto="1"/>
      </top>
      <bottom style="medium">
        <color auto="1"/>
      </bottom>
      <diagonal/>
    </border>
    <border>
      <left style="medium">
        <color auto="1"/>
      </left>
      <right/>
      <top/>
      <bottom style="thin">
        <color auto="1"/>
      </bottom>
      <diagonal/>
    </border>
    <border>
      <left style="medium">
        <color indexed="64"/>
      </left>
      <right/>
      <top/>
      <bottom style="medium">
        <color indexed="64"/>
      </bottom>
      <diagonal/>
    </border>
    <border>
      <left style="thin">
        <color auto="1"/>
      </left>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diagonal/>
    </border>
    <border>
      <left/>
      <right style="medium">
        <color indexed="64"/>
      </right>
      <top style="double">
        <color indexed="64"/>
      </top>
      <bottom/>
      <diagonal/>
    </border>
    <border>
      <left/>
      <right style="medium">
        <color auto="1"/>
      </right>
      <top style="double">
        <color indexed="64"/>
      </top>
      <bottom style="medium">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thin">
        <color theme="1"/>
      </bottom>
      <diagonal/>
    </border>
    <border>
      <left style="medium">
        <color indexed="64"/>
      </left>
      <right style="medium">
        <color indexed="64"/>
      </right>
      <top style="thin">
        <color theme="1"/>
      </top>
      <bottom style="medium">
        <color indexed="64"/>
      </bottom>
      <diagonal/>
    </border>
    <border>
      <left/>
      <right style="thin">
        <color indexed="64"/>
      </right>
      <top style="medium">
        <color indexed="64"/>
      </top>
      <bottom/>
      <diagonal/>
    </border>
    <border>
      <left style="thin">
        <color indexed="64"/>
      </left>
      <right style="medium">
        <color indexed="64"/>
      </right>
      <top/>
      <bottom/>
      <diagonal/>
    </border>
    <border>
      <left style="medium">
        <color indexed="64"/>
      </left>
      <right style="medium">
        <color auto="1"/>
      </right>
      <top style="thin">
        <color indexed="64"/>
      </top>
      <bottom/>
      <diagonal/>
    </border>
    <border>
      <left style="thin">
        <color indexed="64"/>
      </left>
      <right style="medium">
        <color indexed="64"/>
      </right>
      <top/>
      <bottom style="medium">
        <color indexed="64"/>
      </bottom>
      <diagonal/>
    </border>
    <border>
      <left style="thin">
        <color auto="1"/>
      </left>
      <right style="thin">
        <color auto="1"/>
      </right>
      <top style="medium">
        <color indexed="64"/>
      </top>
      <bottom style="medium">
        <color indexed="64"/>
      </bottom>
      <diagonal/>
    </border>
  </borders>
  <cellStyleXfs count="4">
    <xf numFmtId="0" fontId="0" fillId="0" borderId="0"/>
    <xf numFmtId="9" fontId="18" fillId="0" borderId="0" applyFont="0" applyFill="0" applyBorder="0" applyAlignment="0" applyProtection="0"/>
    <xf numFmtId="0" fontId="32" fillId="0" borderId="0"/>
    <xf numFmtId="43" fontId="18" fillId="0" borderId="0" applyFont="0" applyFill="0" applyBorder="0" applyAlignment="0" applyProtection="0"/>
  </cellStyleXfs>
  <cellXfs count="770">
    <xf numFmtId="0" fontId="0" fillId="0" borderId="0" xfId="0"/>
    <xf numFmtId="0" fontId="4" fillId="3" borderId="0" xfId="0" applyFont="1" applyFill="1"/>
    <xf numFmtId="0" fontId="0" fillId="3" borderId="0" xfId="0" applyFill="1"/>
    <xf numFmtId="0" fontId="0" fillId="3" borderId="5" xfId="0" applyFill="1" applyBorder="1"/>
    <xf numFmtId="166" fontId="0" fillId="3" borderId="7" xfId="0" applyNumberFormat="1" applyFill="1" applyBorder="1"/>
    <xf numFmtId="0" fontId="0" fillId="3" borderId="6" xfId="0" applyFill="1" applyBorder="1"/>
    <xf numFmtId="0" fontId="0" fillId="3" borderId="8" xfId="0" applyFill="1" applyBorder="1"/>
    <xf numFmtId="0" fontId="1" fillId="3" borderId="13" xfId="0" applyFont="1" applyFill="1" applyBorder="1" applyAlignment="1">
      <alignment horizontal="center" wrapText="1"/>
    </xf>
    <xf numFmtId="0" fontId="1" fillId="3" borderId="11" xfId="0" applyFont="1" applyFill="1" applyBorder="1" applyAlignment="1">
      <alignment horizontal="center" wrapText="1"/>
    </xf>
    <xf numFmtId="0" fontId="1" fillId="3" borderId="12" xfId="0" applyFont="1" applyFill="1" applyBorder="1" applyAlignment="1">
      <alignment horizontal="center" wrapText="1"/>
    </xf>
    <xf numFmtId="0" fontId="3" fillId="3" borderId="0" xfId="0" applyFont="1" applyFill="1" applyAlignment="1">
      <alignment vertical="center" wrapText="1"/>
    </xf>
    <xf numFmtId="0" fontId="0" fillId="3" borderId="0" xfId="0" applyFill="1" applyAlignment="1">
      <alignment horizontal="center" vertical="center"/>
    </xf>
    <xf numFmtId="0" fontId="0" fillId="3" borderId="0" xfId="0" applyFill="1" applyAlignment="1">
      <alignment vertical="center"/>
    </xf>
    <xf numFmtId="0" fontId="6" fillId="3" borderId="0" xfId="0" applyFont="1" applyFill="1" applyAlignment="1">
      <alignment vertical="center"/>
    </xf>
    <xf numFmtId="0" fontId="2" fillId="3" borderId="0" xfId="0" applyFont="1" applyFill="1" applyAlignment="1">
      <alignment vertical="center"/>
    </xf>
    <xf numFmtId="0" fontId="7" fillId="0" borderId="0" xfId="0" applyFont="1" applyAlignment="1">
      <alignment horizontal="center"/>
    </xf>
    <xf numFmtId="0" fontId="7" fillId="0" borderId="0" xfId="0" applyFont="1" applyAlignment="1">
      <alignment wrapText="1"/>
    </xf>
    <xf numFmtId="0" fontId="7" fillId="0" borderId="0" xfId="0" applyFont="1"/>
    <xf numFmtId="0" fontId="3" fillId="3" borderId="0" xfId="0" applyFont="1" applyFill="1" applyAlignment="1">
      <alignment horizontal="center" vertical="center" wrapText="1"/>
    </xf>
    <xf numFmtId="0" fontId="2" fillId="3" borderId="0" xfId="0" applyFont="1" applyFill="1" applyAlignment="1">
      <alignment horizontal="center" vertical="center"/>
    </xf>
    <xf numFmtId="0" fontId="11" fillId="3" borderId="0" xfId="0" applyFont="1" applyFill="1" applyAlignment="1">
      <alignment vertical="center"/>
    </xf>
    <xf numFmtId="0" fontId="2" fillId="3" borderId="0" xfId="0" applyFont="1" applyFill="1" applyAlignment="1">
      <alignment vertical="center" wrapText="1"/>
    </xf>
    <xf numFmtId="0" fontId="12" fillId="3" borderId="0" xfId="0" applyFont="1" applyFill="1" applyAlignment="1">
      <alignment vertical="center"/>
    </xf>
    <xf numFmtId="0" fontId="14" fillId="3" borderId="0" xfId="0" applyFont="1" applyFill="1" applyAlignment="1">
      <alignment vertical="center"/>
    </xf>
    <xf numFmtId="0" fontId="14" fillId="3" borderId="0" xfId="0" applyFont="1" applyFill="1" applyAlignment="1">
      <alignment vertical="center" wrapText="1"/>
    </xf>
    <xf numFmtId="0" fontId="0" fillId="3" borderId="23" xfId="0" applyFill="1" applyBorder="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164" fontId="7" fillId="0" borderId="0" xfId="0" applyNumberFormat="1" applyFont="1" applyAlignment="1">
      <alignment horizontal="center" vertical="center"/>
    </xf>
    <xf numFmtId="0" fontId="7" fillId="0" borderId="0" xfId="0" applyFont="1" applyAlignment="1">
      <alignment horizontal="left" vertical="center" wrapText="1"/>
    </xf>
    <xf numFmtId="0" fontId="9" fillId="0" borderId="0" xfId="0" applyFont="1" applyAlignment="1">
      <alignment vertical="center" wrapText="1"/>
    </xf>
    <xf numFmtId="0" fontId="8" fillId="0" borderId="0" xfId="0" applyFont="1" applyAlignment="1">
      <alignment vertical="center" wrapText="1"/>
    </xf>
    <xf numFmtId="0" fontId="16" fillId="3" borderId="0" xfId="0" applyFont="1" applyFill="1" applyAlignment="1">
      <alignment vertical="center"/>
    </xf>
    <xf numFmtId="0" fontId="16" fillId="3" borderId="0" xfId="0" applyFont="1" applyFill="1" applyAlignment="1">
      <alignment horizontal="center" vertical="center"/>
    </xf>
    <xf numFmtId="0" fontId="16" fillId="3" borderId="0" xfId="0" applyFont="1" applyFill="1" applyAlignment="1">
      <alignment vertical="center" wrapText="1"/>
    </xf>
    <xf numFmtId="0" fontId="2" fillId="3" borderId="1" xfId="0" applyFont="1" applyFill="1" applyBorder="1" applyAlignment="1">
      <alignment vertical="center"/>
    </xf>
    <xf numFmtId="167" fontId="2" fillId="3" borderId="1" xfId="0" applyNumberFormat="1" applyFont="1" applyFill="1" applyBorder="1" applyAlignment="1">
      <alignment horizontal="center" vertical="center"/>
    </xf>
    <xf numFmtId="0" fontId="2" fillId="3" borderId="1" xfId="0" applyFont="1" applyFill="1" applyBorder="1" applyAlignment="1">
      <alignment vertical="center" wrapText="1"/>
    </xf>
    <xf numFmtId="165" fontId="2" fillId="3" borderId="1" xfId="0" applyNumberFormat="1" applyFont="1" applyFill="1" applyBorder="1" applyAlignment="1">
      <alignment horizontal="center" vertical="center" wrapText="1"/>
    </xf>
    <xf numFmtId="2" fontId="12" fillId="3" borderId="0" xfId="0" applyNumberFormat="1" applyFont="1" applyFill="1" applyAlignment="1">
      <alignment horizontal="center" vertical="center" wrapText="1"/>
    </xf>
    <xf numFmtId="1" fontId="9" fillId="3" borderId="0" xfId="0" applyNumberFormat="1" applyFont="1" applyFill="1" applyAlignment="1">
      <alignment horizontal="center" vertical="center" wrapText="1"/>
    </xf>
    <xf numFmtId="0" fontId="0" fillId="3" borderId="0" xfId="0" applyFill="1" applyAlignment="1">
      <alignment wrapText="1"/>
    </xf>
    <xf numFmtId="0" fontId="0" fillId="3" borderId="0" xfId="0" applyFill="1" applyAlignment="1">
      <alignment horizontal="center"/>
    </xf>
    <xf numFmtId="0" fontId="1" fillId="3" borderId="0" xfId="0" applyFont="1" applyFill="1"/>
    <xf numFmtId="0" fontId="19" fillId="3" borderId="0" xfId="0" applyFont="1" applyFill="1"/>
    <xf numFmtId="0" fontId="8" fillId="0" borderId="0" xfId="0" applyFont="1"/>
    <xf numFmtId="0" fontId="8" fillId="0" borderId="0" xfId="0" applyFont="1" applyAlignment="1">
      <alignment vertical="center"/>
    </xf>
    <xf numFmtId="1" fontId="7" fillId="0" borderId="0" xfId="0" applyNumberFormat="1" applyFont="1" applyAlignment="1">
      <alignment horizontal="center" vertical="center" wrapText="1"/>
    </xf>
    <xf numFmtId="0" fontId="3" fillId="3" borderId="0" xfId="0" applyFont="1" applyFill="1" applyAlignment="1">
      <alignment horizontal="left" vertical="center"/>
    </xf>
    <xf numFmtId="0" fontId="22" fillId="3" borderId="0" xfId="0" applyFont="1" applyFill="1" applyAlignment="1">
      <alignment vertical="center"/>
    </xf>
    <xf numFmtId="0" fontId="0" fillId="3" borderId="0" xfId="0" applyFill="1" applyAlignment="1">
      <alignment horizontal="left" vertical="top"/>
    </xf>
    <xf numFmtId="0" fontId="0" fillId="3" borderId="1" xfId="0" applyFill="1" applyBorder="1" applyAlignment="1">
      <alignment horizontal="left" vertical="top"/>
    </xf>
    <xf numFmtId="0" fontId="0" fillId="3" borderId="8" xfId="0" applyFill="1" applyBorder="1" applyAlignment="1">
      <alignment vertical="top"/>
    </xf>
    <xf numFmtId="2" fontId="12" fillId="3" borderId="0" xfId="0" applyNumberFormat="1" applyFont="1" applyFill="1" applyAlignment="1">
      <alignment horizontal="center" vertical="center"/>
    </xf>
    <xf numFmtId="0" fontId="11" fillId="3" borderId="30" xfId="0" applyFont="1" applyFill="1" applyBorder="1" applyAlignment="1">
      <alignment vertical="center"/>
    </xf>
    <xf numFmtId="0" fontId="2" fillId="3" borderId="30" xfId="0" applyFont="1" applyFill="1" applyBorder="1" applyAlignment="1">
      <alignment horizontal="center" vertical="center" wrapText="1"/>
    </xf>
    <xf numFmtId="0" fontId="3" fillId="3" borderId="30" xfId="0" applyFont="1" applyFill="1" applyBorder="1" applyAlignment="1">
      <alignment vertical="center" wrapText="1"/>
    </xf>
    <xf numFmtId="2" fontId="12" fillId="0" borderId="14" xfId="0" applyNumberFormat="1" applyFont="1" applyBorder="1" applyAlignment="1">
      <alignment horizontal="center" vertical="center"/>
    </xf>
    <xf numFmtId="2" fontId="12" fillId="0" borderId="15" xfId="0" applyNumberFormat="1" applyFont="1" applyBorder="1" applyAlignment="1">
      <alignment horizontal="center" vertical="center"/>
    </xf>
    <xf numFmtId="0" fontId="12" fillId="3" borderId="0" xfId="0" applyFont="1" applyFill="1" applyAlignment="1">
      <alignment vertical="center" wrapText="1"/>
    </xf>
    <xf numFmtId="2" fontId="12" fillId="3" borderId="0" xfId="0" applyNumberFormat="1" applyFont="1" applyFill="1" applyAlignment="1">
      <alignment horizontal="left" vertical="center"/>
    </xf>
    <xf numFmtId="0" fontId="9" fillId="3" borderId="0" xfId="0" applyFont="1" applyFill="1" applyAlignment="1">
      <alignment vertical="center" wrapText="1"/>
    </xf>
    <xf numFmtId="0" fontId="7" fillId="3" borderId="0" xfId="0" applyFont="1" applyFill="1" applyAlignment="1">
      <alignment vertical="center" wrapText="1"/>
    </xf>
    <xf numFmtId="2" fontId="0" fillId="3" borderId="0" xfId="0" applyNumberFormat="1" applyFill="1" applyAlignment="1">
      <alignment horizontal="center" vertical="center"/>
    </xf>
    <xf numFmtId="0" fontId="1" fillId="0" borderId="45" xfId="0" applyFont="1" applyBorder="1"/>
    <xf numFmtId="0" fontId="1" fillId="0" borderId="42" xfId="0" applyFont="1" applyBorder="1"/>
    <xf numFmtId="9" fontId="0" fillId="0" borderId="44" xfId="0" applyNumberFormat="1" applyBorder="1"/>
    <xf numFmtId="9" fontId="0" fillId="0" borderId="43" xfId="0" applyNumberFormat="1" applyBorder="1"/>
    <xf numFmtId="0" fontId="0" fillId="0" borderId="44" xfId="0" applyBorder="1"/>
    <xf numFmtId="0" fontId="0" fillId="0" borderId="43" xfId="0" applyBorder="1"/>
    <xf numFmtId="2" fontId="12" fillId="0" borderId="18" xfId="0" applyNumberFormat="1" applyFont="1" applyBorder="1" applyAlignment="1">
      <alignment horizontal="center" vertical="center"/>
    </xf>
    <xf numFmtId="0" fontId="21" fillId="5" borderId="1" xfId="0" applyFont="1" applyFill="1" applyBorder="1" applyAlignment="1">
      <alignment horizontal="left" vertical="center" wrapText="1"/>
    </xf>
    <xf numFmtId="0" fontId="0" fillId="12" borderId="1" xfId="0" applyFill="1" applyBorder="1" applyAlignment="1">
      <alignment horizontal="center" vertical="center"/>
    </xf>
    <xf numFmtId="0" fontId="9" fillId="3" borderId="0" xfId="0" applyFont="1" applyFill="1" applyAlignment="1">
      <alignment horizontal="center" vertical="center" wrapText="1"/>
    </xf>
    <xf numFmtId="0" fontId="0" fillId="5" borderId="1" xfId="0" applyFill="1" applyBorder="1" applyAlignment="1">
      <alignment vertical="center"/>
    </xf>
    <xf numFmtId="0" fontId="9" fillId="5" borderId="1" xfId="0" applyFont="1" applyFill="1" applyBorder="1" applyAlignment="1">
      <alignment horizontal="center" vertical="center" wrapText="1"/>
    </xf>
    <xf numFmtId="165" fontId="12" fillId="3" borderId="14" xfId="0" applyNumberFormat="1" applyFont="1" applyFill="1" applyBorder="1" applyAlignment="1">
      <alignment horizontal="center" vertical="center"/>
    </xf>
    <xf numFmtId="0" fontId="26" fillId="3" borderId="0" xfId="0" applyFont="1" applyFill="1" applyAlignment="1">
      <alignment horizontal="center" vertical="center"/>
    </xf>
    <xf numFmtId="165" fontId="12" fillId="3" borderId="0" xfId="0" applyNumberFormat="1" applyFont="1" applyFill="1" applyAlignment="1">
      <alignment horizontal="center" vertical="center"/>
    </xf>
    <xf numFmtId="0" fontId="1" fillId="6" borderId="51" xfId="0" applyFont="1" applyFill="1" applyBorder="1" applyAlignment="1">
      <alignment horizontal="left" wrapText="1"/>
    </xf>
    <xf numFmtId="0" fontId="1" fillId="6" borderId="62" xfId="0" applyFont="1" applyFill="1" applyBorder="1" applyAlignment="1">
      <alignment horizontal="left" wrapText="1"/>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center" vertical="center" wrapText="1"/>
    </xf>
    <xf numFmtId="0" fontId="27" fillId="4" borderId="35" xfId="0" applyFont="1" applyFill="1" applyBorder="1" applyAlignment="1">
      <alignment horizontal="center" vertical="center" wrapText="1"/>
    </xf>
    <xf numFmtId="0" fontId="27" fillId="3" borderId="0" xfId="0" applyFont="1" applyFill="1" applyAlignment="1">
      <alignment horizontal="center" vertical="center" wrapText="1"/>
    </xf>
    <xf numFmtId="0" fontId="9" fillId="4" borderId="34" xfId="0" applyFont="1" applyFill="1" applyBorder="1" applyAlignment="1">
      <alignment horizontal="center" vertical="center" wrapText="1"/>
    </xf>
    <xf numFmtId="0" fontId="9" fillId="3" borderId="0" xfId="0" applyFont="1" applyFill="1" applyAlignment="1">
      <alignment horizontal="left" vertical="center"/>
    </xf>
    <xf numFmtId="0" fontId="27" fillId="3" borderId="0" xfId="0" applyFont="1" applyFill="1" applyAlignment="1">
      <alignment vertical="center"/>
    </xf>
    <xf numFmtId="0" fontId="8" fillId="3" borderId="0" xfId="0" applyFont="1" applyFill="1" applyAlignment="1">
      <alignment vertical="center"/>
    </xf>
    <xf numFmtId="0" fontId="9" fillId="3" borderId="0" xfId="0" applyFont="1" applyFill="1" applyAlignment="1">
      <alignment vertical="center"/>
    </xf>
    <xf numFmtId="0" fontId="9" fillId="3" borderId="30" xfId="0" applyFont="1" applyFill="1" applyBorder="1" applyAlignment="1">
      <alignment vertical="center"/>
    </xf>
    <xf numFmtId="0" fontId="7" fillId="3" borderId="15" xfId="0" applyFont="1" applyFill="1" applyBorder="1" applyAlignment="1">
      <alignment vertical="center"/>
    </xf>
    <xf numFmtId="0" fontId="7" fillId="3" borderId="14" xfId="0" applyFont="1" applyFill="1" applyBorder="1" applyAlignment="1">
      <alignment vertical="center"/>
    </xf>
    <xf numFmtId="0" fontId="30" fillId="3" borderId="0" xfId="0" applyFont="1" applyFill="1" applyAlignment="1">
      <alignment horizontal="center" vertical="center"/>
    </xf>
    <xf numFmtId="0" fontId="31" fillId="3" borderId="0" xfId="0" applyFont="1" applyFill="1" applyAlignment="1">
      <alignment vertical="center" wrapText="1"/>
    </xf>
    <xf numFmtId="0" fontId="31" fillId="3" borderId="0" xfId="0" applyFont="1" applyFill="1" applyAlignment="1">
      <alignment vertical="center"/>
    </xf>
    <xf numFmtId="0" fontId="30" fillId="3" borderId="0" xfId="0" applyFont="1" applyFill="1" applyAlignment="1">
      <alignment vertical="center" wrapText="1"/>
    </xf>
    <xf numFmtId="0" fontId="30" fillId="3" borderId="0" xfId="0" applyFont="1" applyFill="1" applyAlignment="1">
      <alignment horizontal="center" vertical="center" wrapText="1"/>
    </xf>
    <xf numFmtId="0" fontId="8" fillId="12" borderId="1" xfId="0" applyFont="1" applyFill="1" applyBorder="1" applyAlignment="1">
      <alignment vertical="center"/>
    </xf>
    <xf numFmtId="0" fontId="8" fillId="12" borderId="1" xfId="0" applyFont="1" applyFill="1" applyBorder="1" applyAlignment="1">
      <alignment horizontal="center" vertical="center"/>
    </xf>
    <xf numFmtId="11" fontId="7" fillId="3" borderId="1" xfId="0" applyNumberFormat="1" applyFont="1" applyFill="1" applyBorder="1" applyAlignment="1">
      <alignment horizontal="center" vertical="center"/>
    </xf>
    <xf numFmtId="0" fontId="7" fillId="3" borderId="1" xfId="0" applyFont="1" applyFill="1" applyBorder="1" applyAlignment="1">
      <alignment vertical="center"/>
    </xf>
    <xf numFmtId="0" fontId="21" fillId="0" borderId="0" xfId="0" applyFont="1" applyAlignment="1">
      <alignment horizontal="left" vertical="center" wrapText="1"/>
    </xf>
    <xf numFmtId="0" fontId="7" fillId="0" borderId="1" xfId="0" applyFont="1" applyBorder="1" applyAlignment="1">
      <alignment vertical="center"/>
    </xf>
    <xf numFmtId="0" fontId="32" fillId="0" borderId="0" xfId="2"/>
    <xf numFmtId="0" fontId="33" fillId="0" borderId="50" xfId="2" applyFont="1" applyBorder="1" applyAlignment="1">
      <alignment vertical="center" wrapText="1"/>
    </xf>
    <xf numFmtId="0" fontId="33" fillId="0" borderId="67" xfId="2" applyFont="1" applyBorder="1" applyAlignment="1">
      <alignment horizontal="center" vertical="center" wrapText="1"/>
    </xf>
    <xf numFmtId="0" fontId="35" fillId="15" borderId="68" xfId="2" applyFont="1" applyFill="1" applyBorder="1" applyAlignment="1">
      <alignment horizontal="center" vertical="center" wrapText="1"/>
    </xf>
    <xf numFmtId="0" fontId="35" fillId="15" borderId="69" xfId="2" applyFont="1" applyFill="1" applyBorder="1" applyAlignment="1">
      <alignment horizontal="center" vertical="center" wrapText="1"/>
    </xf>
    <xf numFmtId="0" fontId="33" fillId="0" borderId="67" xfId="2" applyFont="1" applyBorder="1" applyAlignment="1">
      <alignment vertical="center" wrapText="1"/>
    </xf>
    <xf numFmtId="2" fontId="12" fillId="0" borderId="22" xfId="0" applyNumberFormat="1" applyFont="1" applyBorder="1" applyAlignment="1">
      <alignment horizontal="center" vertical="center"/>
    </xf>
    <xf numFmtId="0" fontId="0" fillId="3" borderId="7" xfId="0" applyFill="1" applyBorder="1" applyAlignment="1">
      <alignment wrapText="1"/>
    </xf>
    <xf numFmtId="0" fontId="8" fillId="12" borderId="1" xfId="0" applyFont="1" applyFill="1" applyBorder="1" applyAlignment="1">
      <alignment vertical="center" wrapText="1"/>
    </xf>
    <xf numFmtId="0" fontId="8" fillId="12" borderId="52" xfId="0" applyFont="1" applyFill="1" applyBorder="1" applyAlignment="1">
      <alignment vertical="center" wrapText="1"/>
    </xf>
    <xf numFmtId="11" fontId="0" fillId="8" borderId="9" xfId="0" applyNumberFormat="1" applyFill="1" applyBorder="1" applyAlignment="1">
      <alignment horizontal="center"/>
    </xf>
    <xf numFmtId="167" fontId="12" fillId="3" borderId="0" xfId="0" applyNumberFormat="1" applyFont="1" applyFill="1" applyAlignment="1">
      <alignment horizontal="center" vertical="center"/>
    </xf>
    <xf numFmtId="9" fontId="23" fillId="0" borderId="0" xfId="1" applyFont="1" applyFill="1" applyBorder="1" applyAlignment="1">
      <alignment horizontal="center" vertical="center"/>
    </xf>
    <xf numFmtId="0" fontId="24" fillId="3" borderId="0" xfId="0" applyFont="1" applyFill="1" applyAlignment="1">
      <alignment vertical="center" wrapText="1"/>
    </xf>
    <xf numFmtId="0" fontId="25" fillId="3" borderId="0" xfId="0" applyFont="1" applyFill="1" applyAlignment="1">
      <alignment horizontal="center" vertical="center" wrapText="1"/>
    </xf>
    <xf numFmtId="0" fontId="0" fillId="3" borderId="8" xfId="0" applyFill="1" applyBorder="1" applyAlignment="1">
      <alignment wrapText="1"/>
    </xf>
    <xf numFmtId="0" fontId="26" fillId="3" borderId="0" xfId="0" applyFont="1" applyFill="1" applyAlignment="1">
      <alignment vertical="center"/>
    </xf>
    <xf numFmtId="1" fontId="9" fillId="3" borderId="15" xfId="0" applyNumberFormat="1" applyFont="1" applyFill="1" applyBorder="1" applyAlignment="1">
      <alignment horizontal="center" vertical="center" wrapText="1"/>
    </xf>
    <xf numFmtId="0" fontId="27" fillId="4" borderId="59" xfId="0" applyFont="1" applyFill="1" applyBorder="1" applyAlignment="1">
      <alignment vertical="center" wrapText="1"/>
    </xf>
    <xf numFmtId="0" fontId="27" fillId="4" borderId="49" xfId="0" applyFont="1" applyFill="1" applyBorder="1" applyAlignment="1">
      <alignment vertical="center" wrapText="1"/>
    </xf>
    <xf numFmtId="166" fontId="0" fillId="3" borderId="9" xfId="0" applyNumberFormat="1" applyFill="1" applyBorder="1"/>
    <xf numFmtId="0" fontId="0" fillId="3" borderId="19" xfId="0" applyFill="1" applyBorder="1" applyAlignment="1">
      <alignment horizontal="center"/>
    </xf>
    <xf numFmtId="0" fontId="0" fillId="3" borderId="20" xfId="0" applyFill="1" applyBorder="1"/>
    <xf numFmtId="1" fontId="0" fillId="3" borderId="1" xfId="0" applyNumberFormat="1" applyFill="1" applyBorder="1" applyAlignment="1">
      <alignment horizontal="center"/>
    </xf>
    <xf numFmtId="0" fontId="0" fillId="3" borderId="1" xfId="0" applyFill="1" applyBorder="1" applyAlignment="1">
      <alignment horizontal="center"/>
    </xf>
    <xf numFmtId="0" fontId="0" fillId="3" borderId="21" xfId="0" applyFill="1" applyBorder="1" applyAlignment="1">
      <alignment horizontal="center"/>
    </xf>
    <xf numFmtId="0" fontId="0" fillId="3" borderId="15" xfId="0" applyFill="1" applyBorder="1" applyAlignment="1">
      <alignment horizontal="center"/>
    </xf>
    <xf numFmtId="0" fontId="0" fillId="3" borderId="22" xfId="0" applyFill="1" applyBorder="1"/>
    <xf numFmtId="3" fontId="0" fillId="0" borderId="19" xfId="0" applyNumberFormat="1" applyBorder="1" applyAlignment="1">
      <alignment horizontal="center" vertical="center"/>
    </xf>
    <xf numFmtId="0" fontId="1" fillId="0" borderId="0" xfId="0" applyFont="1"/>
    <xf numFmtId="0" fontId="33" fillId="0" borderId="0" xfId="2" applyFont="1" applyAlignment="1">
      <alignment vertical="center" wrapText="1"/>
    </xf>
    <xf numFmtId="1" fontId="33" fillId="0" borderId="0" xfId="2" applyNumberFormat="1" applyFont="1" applyAlignment="1">
      <alignment horizontal="center" vertical="center" wrapText="1"/>
    </xf>
    <xf numFmtId="0" fontId="32" fillId="0" borderId="21" xfId="2" applyBorder="1"/>
    <xf numFmtId="0" fontId="32" fillId="0" borderId="22" xfId="2" applyBorder="1"/>
    <xf numFmtId="3" fontId="32" fillId="0" borderId="15" xfId="2" applyNumberFormat="1" applyBorder="1"/>
    <xf numFmtId="1" fontId="3" fillId="3" borderId="0" xfId="0" applyNumberFormat="1" applyFont="1" applyFill="1" applyAlignment="1">
      <alignment horizontal="center" vertical="center" wrapText="1"/>
    </xf>
    <xf numFmtId="0" fontId="25" fillId="4" borderId="72" xfId="0" applyFont="1" applyFill="1" applyBorder="1" applyAlignment="1">
      <alignment horizontal="center" vertical="center" wrapText="1"/>
    </xf>
    <xf numFmtId="0" fontId="24" fillId="3" borderId="63" xfId="0" applyFont="1" applyFill="1" applyBorder="1" applyAlignment="1">
      <alignment horizontal="center" vertical="center" wrapText="1"/>
    </xf>
    <xf numFmtId="0" fontId="25" fillId="3" borderId="63" xfId="0" applyFont="1" applyFill="1" applyBorder="1" applyAlignment="1">
      <alignment horizontal="center" vertical="center" wrapText="1"/>
    </xf>
    <xf numFmtId="0" fontId="23" fillId="3" borderId="63" xfId="0" applyFont="1" applyFill="1" applyBorder="1" applyAlignment="1">
      <alignment vertical="center" wrapText="1"/>
    </xf>
    <xf numFmtId="11" fontId="12" fillId="0" borderId="14" xfId="0" applyNumberFormat="1" applyFont="1" applyBorder="1" applyAlignment="1">
      <alignment horizontal="center" vertical="center"/>
    </xf>
    <xf numFmtId="11" fontId="12" fillId="0" borderId="18" xfId="0" applyNumberFormat="1" applyFont="1" applyBorder="1" applyAlignment="1">
      <alignment horizontal="center" vertical="center"/>
    </xf>
    <xf numFmtId="1" fontId="21" fillId="0" borderId="44" xfId="0" applyNumberFormat="1" applyFont="1" applyBorder="1" applyAlignment="1">
      <alignment horizontal="left" vertical="center" wrapText="1"/>
    </xf>
    <xf numFmtId="167" fontId="12" fillId="3" borderId="14" xfId="0" applyNumberFormat="1" applyFont="1" applyFill="1" applyBorder="1" applyAlignment="1">
      <alignment horizontal="center" vertical="center"/>
    </xf>
    <xf numFmtId="0" fontId="27" fillId="4" borderId="71" xfId="0" applyFont="1" applyFill="1" applyBorder="1" applyAlignment="1">
      <alignment vertical="center" wrapText="1"/>
    </xf>
    <xf numFmtId="0" fontId="9" fillId="4" borderId="75"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0" fillId="3" borderId="51" xfId="0" applyFill="1" applyBorder="1" applyAlignment="1">
      <alignment horizontal="center"/>
    </xf>
    <xf numFmtId="0" fontId="0" fillId="3" borderId="34" xfId="0" applyFill="1" applyBorder="1" applyAlignment="1">
      <alignment horizontal="center"/>
    </xf>
    <xf numFmtId="164" fontId="0" fillId="3" borderId="24" xfId="0" applyNumberFormat="1" applyFill="1" applyBorder="1" applyAlignment="1">
      <alignment horizontal="center"/>
    </xf>
    <xf numFmtId="0" fontId="0" fillId="3" borderId="28" xfId="0" applyFill="1" applyBorder="1"/>
    <xf numFmtId="0" fontId="1" fillId="6" borderId="71"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0" fillId="0" borderId="0" xfId="0" applyAlignment="1">
      <alignment vertical="center"/>
    </xf>
    <xf numFmtId="0" fontId="40" fillId="16" borderId="31" xfId="0" applyFont="1" applyFill="1" applyBorder="1" applyAlignment="1">
      <alignment vertical="center"/>
    </xf>
    <xf numFmtId="0" fontId="41" fillId="16" borderId="31" xfId="0" applyFont="1" applyFill="1" applyBorder="1" applyAlignment="1">
      <alignment vertical="center"/>
    </xf>
    <xf numFmtId="0" fontId="0" fillId="0" borderId="0" xfId="0" applyAlignment="1">
      <alignment horizontal="center" vertical="center"/>
    </xf>
    <xf numFmtId="0" fontId="40" fillId="17" borderId="82" xfId="0" applyFont="1" applyFill="1" applyBorder="1" applyAlignment="1">
      <alignment horizontal="center" vertical="center"/>
    </xf>
    <xf numFmtId="0" fontId="40" fillId="17" borderId="83" xfId="0" applyFont="1" applyFill="1" applyBorder="1" applyAlignment="1">
      <alignment horizontal="center" vertical="center"/>
    </xf>
    <xf numFmtId="0" fontId="40" fillId="18" borderId="82" xfId="0" applyFont="1" applyFill="1" applyBorder="1" applyAlignment="1">
      <alignment vertical="center"/>
    </xf>
    <xf numFmtId="0" fontId="40" fillId="18" borderId="82" xfId="0" applyFont="1" applyFill="1" applyBorder="1" applyAlignment="1">
      <alignment horizontal="left" vertical="center"/>
    </xf>
    <xf numFmtId="0" fontId="40" fillId="18" borderId="84" xfId="0" applyFont="1" applyFill="1" applyBorder="1" applyAlignment="1">
      <alignment horizontal="left" vertical="center" wrapText="1"/>
    </xf>
    <xf numFmtId="0" fontId="40" fillId="0" borderId="0" xfId="0" applyFont="1" applyAlignment="1">
      <alignment horizontal="left" vertical="center" wrapText="1"/>
    </xf>
    <xf numFmtId="0" fontId="41" fillId="0" borderId="0" xfId="0" applyFont="1" applyAlignment="1">
      <alignment vertical="top" wrapText="1"/>
    </xf>
    <xf numFmtId="0" fontId="43" fillId="0" borderId="0" xfId="0" quotePrefix="1" applyFont="1" applyAlignment="1" applyProtection="1">
      <alignment vertical="center"/>
      <protection hidden="1"/>
    </xf>
    <xf numFmtId="0" fontId="44" fillId="3" borderId="0" xfId="0" applyFont="1" applyFill="1"/>
    <xf numFmtId="0" fontId="45" fillId="3" borderId="0" xfId="0" applyFont="1" applyFill="1"/>
    <xf numFmtId="0" fontId="45" fillId="11" borderId="71" xfId="0" applyFont="1" applyFill="1" applyBorder="1" applyAlignment="1">
      <alignment horizontal="center"/>
    </xf>
    <xf numFmtId="11" fontId="45" fillId="11" borderId="71" xfId="0" applyNumberFormat="1" applyFont="1" applyFill="1" applyBorder="1" applyAlignment="1">
      <alignment horizontal="center"/>
    </xf>
    <xf numFmtId="0" fontId="1" fillId="3" borderId="48" xfId="0" applyFont="1" applyFill="1" applyBorder="1" applyAlignment="1">
      <alignment horizontal="right"/>
    </xf>
    <xf numFmtId="0" fontId="46" fillId="3" borderId="0" xfId="0" applyFont="1" applyFill="1" applyAlignment="1">
      <alignment vertical="center"/>
    </xf>
    <xf numFmtId="0" fontId="1" fillId="3" borderId="53" xfId="0" applyFont="1" applyFill="1" applyBorder="1" applyAlignment="1">
      <alignment horizontal="right"/>
    </xf>
    <xf numFmtId="0" fontId="1" fillId="3" borderId="0" xfId="0" applyFont="1" applyFill="1" applyAlignment="1">
      <alignment wrapText="1"/>
    </xf>
    <xf numFmtId="0" fontId="48" fillId="20" borderId="67" xfId="0" applyFont="1" applyFill="1" applyBorder="1" applyAlignment="1">
      <alignment horizontal="center" vertical="center" wrapText="1"/>
    </xf>
    <xf numFmtId="0" fontId="48" fillId="20" borderId="33" xfId="0" applyFont="1" applyFill="1" applyBorder="1" applyAlignment="1">
      <alignment horizontal="center" vertical="center" wrapText="1"/>
    </xf>
    <xf numFmtId="0" fontId="48" fillId="20" borderId="25" xfId="0" applyFont="1" applyFill="1" applyBorder="1" applyAlignment="1">
      <alignment horizontal="center" vertical="center" wrapText="1"/>
    </xf>
    <xf numFmtId="0" fontId="48" fillId="20" borderId="27" xfId="0" applyFont="1" applyFill="1" applyBorder="1" applyAlignment="1">
      <alignment horizontal="center" vertical="center" wrapText="1"/>
    </xf>
    <xf numFmtId="2" fontId="50" fillId="3" borderId="37" xfId="0" applyNumberFormat="1" applyFont="1" applyFill="1" applyBorder="1" applyAlignment="1">
      <alignment horizontal="center" vertical="center" wrapText="1"/>
    </xf>
    <xf numFmtId="11" fontId="50" fillId="3" borderId="37" xfId="0" applyNumberFormat="1" applyFont="1" applyFill="1" applyBorder="1" applyAlignment="1">
      <alignment horizontal="center" vertical="center" wrapText="1"/>
    </xf>
    <xf numFmtId="0" fontId="0" fillId="3" borderId="33"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3" borderId="27" xfId="0" applyFill="1" applyBorder="1" applyAlignment="1" applyProtection="1">
      <alignment horizontal="center" vertical="center"/>
      <protection locked="0"/>
    </xf>
    <xf numFmtId="0" fontId="0" fillId="3" borderId="71" xfId="0" applyFill="1" applyBorder="1"/>
    <xf numFmtId="0" fontId="0" fillId="3" borderId="71" xfId="0" applyFill="1" applyBorder="1" applyAlignment="1">
      <alignment horizontal="center"/>
    </xf>
    <xf numFmtId="11" fontId="0" fillId="3" borderId="71" xfId="0" applyNumberFormat="1" applyFill="1" applyBorder="1" applyAlignment="1">
      <alignment horizontal="center"/>
    </xf>
    <xf numFmtId="0" fontId="0" fillId="3" borderId="63" xfId="0"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0" fillId="3" borderId="37"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0" fontId="0" fillId="3" borderId="76" xfId="0" applyFill="1" applyBorder="1" applyAlignment="1" applyProtection="1">
      <alignment horizontal="center" vertical="center"/>
      <protection locked="0"/>
    </xf>
    <xf numFmtId="0" fontId="0" fillId="3" borderId="0" xfId="0" quotePrefix="1" applyFill="1"/>
    <xf numFmtId="0" fontId="51" fillId="3" borderId="87" xfId="0" applyFont="1" applyFill="1" applyBorder="1" applyAlignment="1">
      <alignment horizontal="center" vertical="center" wrapText="1"/>
    </xf>
    <xf numFmtId="0" fontId="0" fillId="3" borderId="72"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65" xfId="0" applyFill="1" applyBorder="1" applyAlignment="1" applyProtection="1">
      <alignment horizontal="center" vertical="center"/>
      <protection locked="0"/>
    </xf>
    <xf numFmtId="11" fontId="51" fillId="3" borderId="37" xfId="0" applyNumberFormat="1" applyFont="1" applyFill="1" applyBorder="1" applyAlignment="1">
      <alignment horizontal="center" vertical="center" wrapText="1"/>
    </xf>
    <xf numFmtId="0" fontId="51" fillId="3" borderId="54" xfId="0" applyFont="1" applyFill="1" applyBorder="1" applyAlignment="1">
      <alignment horizontal="center" vertical="center" wrapText="1"/>
    </xf>
    <xf numFmtId="0" fontId="50" fillId="3" borderId="71" xfId="0" applyFont="1" applyFill="1" applyBorder="1" applyAlignment="1">
      <alignment horizontal="center" vertical="center" wrapText="1"/>
    </xf>
    <xf numFmtId="0" fontId="0" fillId="3" borderId="73" xfId="0" applyFill="1" applyBorder="1" applyAlignment="1" applyProtection="1">
      <alignment horizontal="center" vertical="center"/>
      <protection locked="0"/>
    </xf>
    <xf numFmtId="0" fontId="0" fillId="3" borderId="36" xfId="0" applyFill="1" applyBorder="1" applyAlignment="1" applyProtection="1">
      <alignment horizontal="center" vertical="center"/>
      <protection locked="0"/>
    </xf>
    <xf numFmtId="0" fontId="0" fillId="3" borderId="67" xfId="0" applyFill="1" applyBorder="1" applyAlignment="1" applyProtection="1">
      <alignment horizontal="center" vertical="center"/>
      <protection locked="0"/>
    </xf>
    <xf numFmtId="0" fontId="50" fillId="3" borderId="90" xfId="0" applyFont="1" applyFill="1" applyBorder="1" applyAlignment="1">
      <alignment horizontal="center" vertical="center" wrapText="1"/>
    </xf>
    <xf numFmtId="0" fontId="45" fillId="3" borderId="0" xfId="0" applyFont="1" applyFill="1" applyAlignment="1">
      <alignment horizontal="center"/>
    </xf>
    <xf numFmtId="0" fontId="50" fillId="3" borderId="0" xfId="0" applyFont="1" applyFill="1" applyAlignment="1">
      <alignment vertical="center"/>
    </xf>
    <xf numFmtId="0" fontId="51" fillId="3" borderId="0" xfId="0" applyFont="1" applyFill="1" applyAlignment="1">
      <alignment vertical="center"/>
    </xf>
    <xf numFmtId="0" fontId="53" fillId="3" borderId="0" xfId="0" applyFont="1" applyFill="1" applyAlignment="1">
      <alignment vertical="center"/>
    </xf>
    <xf numFmtId="0" fontId="52" fillId="3" borderId="0" xfId="0" applyFont="1" applyFill="1" applyAlignment="1">
      <alignment vertical="center"/>
    </xf>
    <xf numFmtId="0" fontId="7" fillId="0" borderId="71" xfId="0" applyFont="1" applyBorder="1" applyAlignment="1">
      <alignment horizontal="center"/>
    </xf>
    <xf numFmtId="3" fontId="33" fillId="0" borderId="67" xfId="2" applyNumberFormat="1" applyFont="1" applyBorder="1" applyAlignment="1">
      <alignment horizontal="center" vertical="center" wrapText="1"/>
    </xf>
    <xf numFmtId="37" fontId="7" fillId="0" borderId="71" xfId="3" applyNumberFormat="1" applyFont="1" applyFill="1" applyBorder="1" applyAlignment="1">
      <alignment horizontal="center" vertical="center"/>
    </xf>
    <xf numFmtId="37" fontId="7" fillId="0" borderId="50" xfId="3" applyNumberFormat="1" applyFont="1" applyFill="1" applyBorder="1" applyAlignment="1">
      <alignment horizontal="center" vertical="center"/>
    </xf>
    <xf numFmtId="0" fontId="0" fillId="0" borderId="1" xfId="0" applyBorder="1" applyAlignment="1">
      <alignment horizontal="left" vertical="top"/>
    </xf>
    <xf numFmtId="1" fontId="7" fillId="0" borderId="91" xfId="0" applyNumberFormat="1" applyFont="1" applyBorder="1" applyAlignment="1">
      <alignment horizontal="center" vertical="center"/>
    </xf>
    <xf numFmtId="0" fontId="8" fillId="2" borderId="2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42" fillId="0" borderId="83" xfId="0" applyFont="1" applyBorder="1" applyAlignment="1">
      <alignment vertical="center" wrapText="1"/>
    </xf>
    <xf numFmtId="0" fontId="42" fillId="0" borderId="85" xfId="0" applyFont="1" applyBorder="1" applyAlignment="1">
      <alignment vertical="center" wrapText="1"/>
    </xf>
    <xf numFmtId="164" fontId="12" fillId="3" borderId="0" xfId="0" applyNumberFormat="1" applyFont="1" applyFill="1" applyAlignment="1">
      <alignment horizontal="center" vertical="center"/>
    </xf>
    <xf numFmtId="2" fontId="50" fillId="3" borderId="71" xfId="0" applyNumberFormat="1" applyFont="1" applyFill="1" applyBorder="1" applyAlignment="1">
      <alignment horizontal="center" vertical="center" wrapText="1"/>
    </xf>
    <xf numFmtId="0" fontId="0" fillId="19" borderId="60" xfId="0" applyFill="1" applyBorder="1" applyAlignment="1">
      <alignment horizontal="center"/>
    </xf>
    <xf numFmtId="1" fontId="45" fillId="11" borderId="71" xfId="0" applyNumberFormat="1" applyFont="1" applyFill="1" applyBorder="1" applyAlignment="1">
      <alignment horizontal="center"/>
    </xf>
    <xf numFmtId="0" fontId="16" fillId="3" borderId="0" xfId="0" applyFont="1" applyFill="1"/>
    <xf numFmtId="1" fontId="7" fillId="0" borderId="9" xfId="0" applyNumberFormat="1" applyFont="1" applyBorder="1" applyAlignment="1">
      <alignment horizontal="center" vertical="center"/>
    </xf>
    <xf numFmtId="0" fontId="12" fillId="2" borderId="62" xfId="0" applyFont="1" applyFill="1" applyBorder="1" applyAlignment="1">
      <alignment horizontal="center" vertical="center" wrapText="1"/>
    </xf>
    <xf numFmtId="2" fontId="7" fillId="0" borderId="0" xfId="0" applyNumberFormat="1" applyFont="1" applyAlignment="1">
      <alignment horizontal="center" vertical="center"/>
    </xf>
    <xf numFmtId="0" fontId="8" fillId="6" borderId="0" xfId="0" applyFont="1" applyFill="1" applyAlignment="1">
      <alignment horizontal="center"/>
    </xf>
    <xf numFmtId="0" fontId="7" fillId="0" borderId="0" xfId="0" applyFont="1" applyAlignment="1">
      <alignment vertical="center"/>
    </xf>
    <xf numFmtId="0" fontId="7" fillId="0" borderId="0" xfId="0" quotePrefix="1" applyFont="1" applyAlignment="1">
      <alignment vertical="center" wrapText="1"/>
    </xf>
    <xf numFmtId="0" fontId="7" fillId="0" borderId="0" xfId="0" quotePrefix="1" applyFont="1" applyAlignment="1">
      <alignment wrapText="1"/>
    </xf>
    <xf numFmtId="0" fontId="7" fillId="0" borderId="0" xfId="0" applyFont="1" applyAlignment="1">
      <alignment horizontal="left" wrapText="1"/>
    </xf>
    <xf numFmtId="0" fontId="7" fillId="0" borderId="0" xfId="0" applyFont="1" applyAlignment="1">
      <alignment horizontal="left"/>
    </xf>
    <xf numFmtId="0" fontId="8" fillId="0" borderId="0" xfId="0" applyFont="1" applyAlignment="1">
      <alignment horizontal="left"/>
    </xf>
    <xf numFmtId="0" fontId="7" fillId="0" borderId="0" xfId="0" quotePrefix="1" applyFont="1" applyAlignment="1">
      <alignment horizontal="left"/>
    </xf>
    <xf numFmtId="0" fontId="8" fillId="2" borderId="54" xfId="0" applyFont="1" applyFill="1" applyBorder="1" applyAlignment="1">
      <alignment vertical="center" wrapText="1"/>
    </xf>
    <xf numFmtId="0" fontId="8" fillId="2" borderId="37" xfId="0" applyFont="1" applyFill="1" applyBorder="1" applyAlignment="1">
      <alignment vertical="center" wrapText="1"/>
    </xf>
    <xf numFmtId="0" fontId="8" fillId="2" borderId="67" xfId="0" applyFont="1" applyFill="1" applyBorder="1" applyAlignment="1">
      <alignment horizontal="center" vertical="center" wrapText="1"/>
    </xf>
    <xf numFmtId="0" fontId="0" fillId="0" borderId="1" xfId="0" applyBorder="1" applyAlignment="1">
      <alignment horizontal="center"/>
    </xf>
    <xf numFmtId="0" fontId="7" fillId="0" borderId="1" xfId="0" applyFont="1" applyBorder="1" applyAlignment="1">
      <alignment horizontal="left"/>
    </xf>
    <xf numFmtId="0" fontId="7" fillId="0" borderId="91" xfId="0" applyFont="1" applyBorder="1" applyAlignment="1">
      <alignment horizontal="center"/>
    </xf>
    <xf numFmtId="0" fontId="7" fillId="0" borderId="15" xfId="0" applyFont="1" applyBorder="1" applyAlignment="1">
      <alignment horizontal="left"/>
    </xf>
    <xf numFmtId="0" fontId="0" fillId="0" borderId="15" xfId="0" applyBorder="1" applyAlignment="1">
      <alignment horizontal="center"/>
    </xf>
    <xf numFmtId="0" fontId="7" fillId="0" borderId="58" xfId="0" applyFont="1" applyBorder="1" applyAlignment="1">
      <alignment horizontal="center"/>
    </xf>
    <xf numFmtId="0" fontId="1" fillId="0" borderId="71" xfId="0" applyFont="1" applyBorder="1"/>
    <xf numFmtId="0" fontId="0" fillId="0" borderId="47" xfId="0" applyBorder="1" applyAlignment="1">
      <alignment vertical="center"/>
    </xf>
    <xf numFmtId="4" fontId="7" fillId="0" borderId="34" xfId="0" applyNumberFormat="1" applyFont="1" applyBorder="1" applyAlignment="1">
      <alignment horizontal="center" vertical="center"/>
    </xf>
    <xf numFmtId="4" fontId="7" fillId="0" borderId="28" xfId="0" applyNumberFormat="1" applyFont="1" applyBorder="1" applyAlignment="1">
      <alignment horizontal="center" vertical="center"/>
    </xf>
    <xf numFmtId="4" fontId="7" fillId="0" borderId="19" xfId="0" applyNumberFormat="1" applyFont="1" applyBorder="1" applyAlignment="1">
      <alignment horizontal="center" vertical="center"/>
    </xf>
    <xf numFmtId="4" fontId="7" fillId="0" borderId="20" xfId="0" applyNumberFormat="1" applyFont="1" applyBorder="1" applyAlignment="1">
      <alignment horizontal="center" vertical="center"/>
    </xf>
    <xf numFmtId="4" fontId="7" fillId="0" borderId="21" xfId="0" applyNumberFormat="1" applyFont="1" applyBorder="1" applyAlignment="1">
      <alignment horizontal="center" vertical="center"/>
    </xf>
    <xf numFmtId="4" fontId="7" fillId="0" borderId="22" xfId="0" applyNumberFormat="1" applyFont="1" applyBorder="1" applyAlignment="1">
      <alignment horizontal="center" vertical="center"/>
    </xf>
    <xf numFmtId="0" fontId="33" fillId="0" borderId="16" xfId="2" applyFont="1" applyBorder="1" applyAlignment="1">
      <alignment vertical="center" wrapText="1"/>
    </xf>
    <xf numFmtId="0" fontId="33" fillId="0" borderId="14" xfId="2" applyFont="1" applyBorder="1" applyAlignment="1">
      <alignment horizontal="center" vertical="center" wrapText="1"/>
    </xf>
    <xf numFmtId="0" fontId="33" fillId="0" borderId="18" xfId="2" applyFont="1" applyBorder="1" applyAlignment="1">
      <alignment vertical="center" wrapText="1"/>
    </xf>
    <xf numFmtId="0" fontId="33" fillId="0" borderId="21" xfId="2" applyFont="1" applyBorder="1" applyAlignment="1">
      <alignment vertical="center" wrapText="1"/>
    </xf>
    <xf numFmtId="1" fontId="33" fillId="0" borderId="15" xfId="2" applyNumberFormat="1" applyFont="1" applyBorder="1" applyAlignment="1">
      <alignment horizontal="center" vertical="center" wrapText="1"/>
    </xf>
    <xf numFmtId="0" fontId="33" fillId="0" borderId="22" xfId="2" applyFont="1" applyBorder="1" applyAlignment="1">
      <alignment vertical="center" wrapText="1"/>
    </xf>
    <xf numFmtId="0" fontId="33" fillId="0" borderId="15" xfId="2" applyFont="1" applyBorder="1" applyAlignment="1">
      <alignment horizontal="center" vertical="center" wrapText="1"/>
    </xf>
    <xf numFmtId="0" fontId="1" fillId="0" borderId="92" xfId="0" applyFont="1" applyBorder="1"/>
    <xf numFmtId="0" fontId="0" fillId="0" borderId="93" xfId="0" applyBorder="1"/>
    <xf numFmtId="1" fontId="21" fillId="0" borderId="43" xfId="0" applyNumberFormat="1" applyFont="1" applyBorder="1" applyAlignment="1">
      <alignment horizontal="left" vertical="center" wrapText="1"/>
    </xf>
    <xf numFmtId="3" fontId="0" fillId="0" borderId="1" xfId="0" applyNumberFormat="1" applyBorder="1" applyAlignment="1">
      <alignment horizontal="center"/>
    </xf>
    <xf numFmtId="3" fontId="0" fillId="0" borderId="15" xfId="0" applyNumberFormat="1" applyBorder="1" applyAlignment="1">
      <alignment horizontal="center"/>
    </xf>
    <xf numFmtId="165" fontId="0" fillId="0" borderId="52" xfId="0" applyNumberFormat="1" applyBorder="1" applyAlignment="1">
      <alignment horizontal="center"/>
    </xf>
    <xf numFmtId="165" fontId="0" fillId="0" borderId="29" xfId="0" applyNumberFormat="1" applyBorder="1" applyAlignment="1">
      <alignment horizontal="center"/>
    </xf>
    <xf numFmtId="0" fontId="50" fillId="3" borderId="49" xfId="0" applyFont="1" applyFill="1" applyBorder="1" applyAlignment="1">
      <alignment horizontal="center" vertical="center" wrapText="1"/>
    </xf>
    <xf numFmtId="0" fontId="1" fillId="10" borderId="49" xfId="0" applyFont="1" applyFill="1" applyBorder="1" applyAlignment="1">
      <alignment horizontal="center" vertical="center" wrapText="1"/>
    </xf>
    <xf numFmtId="0" fontId="58" fillId="3" borderId="0" xfId="0" applyFont="1" applyFill="1" applyAlignment="1">
      <alignment vertical="center"/>
    </xf>
    <xf numFmtId="11" fontId="51" fillId="3" borderId="71" xfId="0" applyNumberFormat="1" applyFont="1" applyFill="1" applyBorder="1" applyAlignment="1">
      <alignment horizontal="center" vertical="center" wrapText="1"/>
    </xf>
    <xf numFmtId="0" fontId="7" fillId="7" borderId="52" xfId="0" applyFont="1" applyFill="1" applyBorder="1" applyAlignment="1">
      <alignment horizontal="center" vertical="center"/>
    </xf>
    <xf numFmtId="0" fontId="7" fillId="0" borderId="52" xfId="0" applyFont="1" applyBorder="1" applyAlignment="1">
      <alignment horizontal="center" vertical="center"/>
    </xf>
    <xf numFmtId="0" fontId="7" fillId="7" borderId="29" xfId="0" applyFont="1" applyFill="1" applyBorder="1" applyAlignment="1">
      <alignment horizontal="center" vertical="center"/>
    </xf>
    <xf numFmtId="4" fontId="7" fillId="0" borderId="91" xfId="0" applyNumberFormat="1" applyFont="1" applyBorder="1" applyAlignment="1">
      <alignment horizontal="center" vertical="center"/>
    </xf>
    <xf numFmtId="4" fontId="7" fillId="0" borderId="58" xfId="0" applyNumberFormat="1" applyFont="1" applyBorder="1" applyAlignment="1">
      <alignment horizontal="center" vertical="center"/>
    </xf>
    <xf numFmtId="0" fontId="8" fillId="2" borderId="32" xfId="0" applyFont="1" applyFill="1" applyBorder="1" applyAlignment="1">
      <alignment horizontal="center" vertical="center" wrapText="1"/>
    </xf>
    <xf numFmtId="0" fontId="7" fillId="0" borderId="14" xfId="0" applyFont="1" applyBorder="1" applyAlignment="1">
      <alignment vertical="center"/>
    </xf>
    <xf numFmtId="0" fontId="7" fillId="7" borderId="17" xfId="0" applyFont="1" applyFill="1" applyBorder="1" applyAlignment="1">
      <alignment horizontal="center" vertical="center"/>
    </xf>
    <xf numFmtId="0" fontId="7" fillId="0" borderId="25" xfId="0" applyFont="1" applyBorder="1" applyAlignment="1">
      <alignment vertical="center"/>
    </xf>
    <xf numFmtId="0" fontId="7" fillId="0" borderId="10" xfId="0" applyFont="1" applyBorder="1" applyAlignment="1">
      <alignment horizontal="center"/>
    </xf>
    <xf numFmtId="0" fontId="7" fillId="0" borderId="51" xfId="0" applyFont="1" applyBorder="1" applyAlignment="1">
      <alignment horizontal="center"/>
    </xf>
    <xf numFmtId="0" fontId="7" fillId="0" borderId="62" xfId="0" applyFont="1" applyBorder="1" applyAlignment="1">
      <alignment horizontal="center"/>
    </xf>
    <xf numFmtId="0" fontId="7" fillId="0" borderId="14" xfId="0" applyFont="1" applyBorder="1" applyAlignment="1">
      <alignment horizontal="center"/>
    </xf>
    <xf numFmtId="0" fontId="7" fillId="0" borderId="24" xfId="0" applyFont="1" applyBorder="1" applyAlignment="1">
      <alignment wrapText="1"/>
    </xf>
    <xf numFmtId="0" fontId="7" fillId="0" borderId="65" xfId="0" applyFont="1" applyBorder="1"/>
    <xf numFmtId="0" fontId="7" fillId="0" borderId="1" xfId="0" applyFont="1" applyBorder="1" applyAlignment="1">
      <alignment horizontal="center"/>
    </xf>
    <xf numFmtId="0" fontId="7" fillId="0" borderId="1" xfId="0" applyFont="1" applyBorder="1" applyAlignment="1">
      <alignment wrapText="1"/>
    </xf>
    <xf numFmtId="0" fontId="7" fillId="0" borderId="77" xfId="0" applyFont="1" applyBorder="1"/>
    <xf numFmtId="0" fontId="60" fillId="0" borderId="0" xfId="0" applyFont="1"/>
    <xf numFmtId="0" fontId="7" fillId="0" borderId="1" xfId="0" applyFont="1" applyBorder="1"/>
    <xf numFmtId="0" fontId="7" fillId="0" borderId="15" xfId="0" applyFont="1" applyBorder="1" applyAlignment="1">
      <alignment horizontal="center"/>
    </xf>
    <xf numFmtId="0" fontId="7" fillId="0" borderId="70" xfId="0" applyFont="1" applyBorder="1"/>
    <xf numFmtId="0" fontId="50" fillId="21" borderId="71" xfId="0" applyFont="1" applyFill="1" applyBorder="1" applyAlignment="1">
      <alignment horizontal="center"/>
    </xf>
    <xf numFmtId="0" fontId="50" fillId="3" borderId="71" xfId="0" applyFont="1" applyFill="1" applyBorder="1" applyAlignment="1">
      <alignment horizontal="center"/>
    </xf>
    <xf numFmtId="0" fontId="50" fillId="21" borderId="50" xfId="0" applyFont="1" applyFill="1" applyBorder="1" applyAlignment="1">
      <alignment horizontal="center"/>
    </xf>
    <xf numFmtId="0" fontId="1" fillId="10" borderId="35" xfId="0" applyFont="1" applyFill="1" applyBorder="1" applyAlignment="1">
      <alignment horizontal="center" vertical="center" wrapText="1"/>
    </xf>
    <xf numFmtId="0" fontId="0" fillId="3" borderId="1" xfId="0" applyFill="1" applyBorder="1"/>
    <xf numFmtId="0" fontId="1" fillId="3" borderId="1" xfId="0" applyFont="1" applyFill="1" applyBorder="1" applyAlignment="1">
      <alignment horizontal="center" wrapText="1"/>
    </xf>
    <xf numFmtId="0" fontId="1" fillId="9" borderId="1" xfId="0" applyFont="1" applyFill="1" applyBorder="1" applyAlignment="1">
      <alignment horizontal="center" wrapText="1"/>
    </xf>
    <xf numFmtId="0" fontId="1" fillId="3" borderId="1" xfId="0" applyFont="1" applyFill="1" applyBorder="1" applyAlignment="1">
      <alignment vertical="center"/>
    </xf>
    <xf numFmtId="0" fontId="0" fillId="3" borderId="1" xfId="0" applyFill="1" applyBorder="1" applyAlignment="1">
      <alignment wrapText="1"/>
    </xf>
    <xf numFmtId="0" fontId="2" fillId="0" borderId="1" xfId="0" applyFont="1" applyBorder="1" applyAlignment="1">
      <alignment horizontal="center"/>
    </xf>
    <xf numFmtId="0" fontId="0" fillId="9" borderId="1" xfId="0" quotePrefix="1" applyFill="1" applyBorder="1" applyAlignment="1">
      <alignment horizontal="center"/>
    </xf>
    <xf numFmtId="0" fontId="0" fillId="0" borderId="1" xfId="0" applyBorder="1" applyAlignment="1">
      <alignment wrapText="1"/>
    </xf>
    <xf numFmtId="3" fontId="2" fillId="0" borderId="1" xfId="0" applyNumberFormat="1" applyFont="1" applyBorder="1" applyAlignment="1">
      <alignment horizontal="center"/>
    </xf>
    <xf numFmtId="0" fontId="1" fillId="3" borderId="1" xfId="0" applyFont="1" applyFill="1" applyBorder="1" applyAlignment="1">
      <alignment horizontal="left" vertical="center"/>
    </xf>
    <xf numFmtId="0" fontId="17" fillId="3" borderId="1" xfId="0" applyFont="1" applyFill="1" applyBorder="1" applyAlignment="1">
      <alignment vertical="center"/>
    </xf>
    <xf numFmtId="0" fontId="0" fillId="3" borderId="1" xfId="0" quotePrefix="1" applyFill="1" applyBorder="1" applyAlignment="1">
      <alignment horizontal="center"/>
    </xf>
    <xf numFmtId="0" fontId="1" fillId="3" borderId="0" xfId="0" applyFont="1" applyFill="1" applyAlignment="1">
      <alignment vertical="center"/>
    </xf>
    <xf numFmtId="0" fontId="17" fillId="3" borderId="0" xfId="0" applyFont="1" applyFill="1" applyAlignment="1">
      <alignment wrapText="1"/>
    </xf>
    <xf numFmtId="0" fontId="0" fillId="3" borderId="0" xfId="0" quotePrefix="1" applyFill="1" applyAlignment="1">
      <alignment horizontal="center"/>
    </xf>
    <xf numFmtId="0" fontId="1" fillId="9" borderId="1" xfId="0" applyFont="1" applyFill="1" applyBorder="1" applyAlignment="1">
      <alignment horizontal="center" vertical="center" wrapText="1"/>
    </xf>
    <xf numFmtId="0" fontId="3" fillId="3" borderId="1" xfId="0" applyFont="1" applyFill="1" applyBorder="1" applyAlignment="1">
      <alignment horizontal="center" wrapText="1"/>
    </xf>
    <xf numFmtId="2" fontId="2" fillId="0" borderId="1" xfId="0" quotePrefix="1" applyNumberFormat="1" applyFont="1" applyBorder="1" applyAlignment="1">
      <alignment horizontal="center"/>
    </xf>
    <xf numFmtId="1" fontId="2" fillId="0" borderId="1" xfId="0" quotePrefix="1" applyNumberFormat="1" applyFont="1" applyBorder="1" applyAlignment="1">
      <alignment horizontal="center"/>
    </xf>
    <xf numFmtId="1" fontId="2" fillId="0" borderId="1" xfId="0" applyNumberFormat="1" applyFont="1" applyBorder="1" applyAlignment="1">
      <alignment horizontal="center"/>
    </xf>
    <xf numFmtId="0" fontId="0" fillId="3" borderId="1" xfId="0" applyFill="1" applyBorder="1" applyAlignment="1">
      <alignment vertical="center" wrapText="1"/>
    </xf>
    <xf numFmtId="11" fontId="2" fillId="8" borderId="1" xfId="0" quotePrefix="1" applyNumberFormat="1" applyFont="1" applyFill="1" applyBorder="1" applyAlignment="1">
      <alignment horizontal="center"/>
    </xf>
    <xf numFmtId="3" fontId="45" fillId="11" borderId="71" xfId="0" applyNumberFormat="1" applyFont="1" applyFill="1" applyBorder="1" applyAlignment="1">
      <alignment horizontal="center"/>
    </xf>
    <xf numFmtId="2" fontId="12" fillId="3" borderId="0" xfId="0" quotePrefix="1" applyNumberFormat="1" applyFont="1" applyFill="1" applyAlignment="1">
      <alignment horizontal="center" vertical="center"/>
    </xf>
    <xf numFmtId="11" fontId="12" fillId="3" borderId="0" xfId="0" applyNumberFormat="1" applyFont="1" applyFill="1" applyAlignment="1">
      <alignment horizontal="center" vertical="center"/>
    </xf>
    <xf numFmtId="0" fontId="7" fillId="3" borderId="0" xfId="0" applyFont="1" applyFill="1" applyAlignment="1">
      <alignment horizontal="left" vertical="center"/>
    </xf>
    <xf numFmtId="167" fontId="12" fillId="3" borderId="0" xfId="0" quotePrefix="1" applyNumberFormat="1" applyFont="1" applyFill="1" applyAlignment="1">
      <alignment horizontal="center" vertical="center"/>
    </xf>
    <xf numFmtId="164" fontId="2" fillId="0" borderId="1" xfId="0" quotePrefix="1" applyNumberFormat="1" applyFont="1" applyBorder="1" applyAlignment="1">
      <alignment horizontal="center"/>
    </xf>
    <xf numFmtId="164" fontId="0" fillId="3" borderId="71" xfId="0" applyNumberFormat="1" applyFill="1" applyBorder="1" applyAlignment="1">
      <alignment horizontal="center"/>
    </xf>
    <xf numFmtId="0" fontId="7" fillId="0" borderId="24" xfId="0" applyFont="1" applyBorder="1" applyAlignment="1">
      <alignment horizontal="center"/>
    </xf>
    <xf numFmtId="0" fontId="8" fillId="3" borderId="0" xfId="0" applyFont="1" applyFill="1" applyAlignment="1">
      <alignment horizontal="center" vertical="center" wrapText="1"/>
    </xf>
    <xf numFmtId="0" fontId="12" fillId="3" borderId="0" xfId="0" applyFont="1" applyFill="1" applyAlignment="1">
      <alignment horizontal="left" vertical="center" wrapText="1"/>
    </xf>
    <xf numFmtId="2" fontId="7" fillId="3" borderId="0" xfId="0" applyNumberFormat="1" applyFont="1" applyFill="1" applyAlignment="1">
      <alignment horizontal="center" vertical="center"/>
    </xf>
    <xf numFmtId="0" fontId="63" fillId="3" borderId="0" xfId="0" applyFont="1" applyFill="1" applyAlignment="1">
      <alignment horizontal="center" vertical="center"/>
    </xf>
    <xf numFmtId="4" fontId="7" fillId="0" borderId="57" xfId="0" applyNumberFormat="1" applyFont="1" applyBorder="1" applyAlignment="1">
      <alignment horizontal="center" vertical="center"/>
    </xf>
    <xf numFmtId="0" fontId="8" fillId="2" borderId="15" xfId="0" applyFont="1" applyFill="1" applyBorder="1" applyAlignment="1">
      <alignment horizontal="center" vertical="center" wrapText="1"/>
    </xf>
    <xf numFmtId="165" fontId="0" fillId="0" borderId="1" xfId="0" applyNumberFormat="1" applyBorder="1" applyAlignment="1">
      <alignment horizontal="left" vertical="top" wrapText="1"/>
    </xf>
    <xf numFmtId="0" fontId="0" fillId="3" borderId="8" xfId="0" applyFill="1" applyBorder="1" applyAlignment="1">
      <alignment horizontal="left"/>
    </xf>
    <xf numFmtId="11" fontId="2" fillId="0" borderId="1" xfId="0" applyNumberFormat="1" applyFont="1" applyBorder="1" applyAlignment="1">
      <alignment horizontal="center" vertical="center"/>
    </xf>
    <xf numFmtId="0" fontId="7" fillId="0" borderId="15" xfId="0" applyFont="1" applyBorder="1"/>
    <xf numFmtId="165" fontId="2" fillId="3" borderId="24" xfId="0" applyNumberFormat="1" applyFont="1" applyFill="1" applyBorder="1" applyAlignment="1">
      <alignment horizontal="center" vertical="center"/>
    </xf>
    <xf numFmtId="165" fontId="2" fillId="3" borderId="28" xfId="0" applyNumberFormat="1" applyFont="1" applyFill="1" applyBorder="1" applyAlignment="1">
      <alignment horizontal="center" vertical="center"/>
    </xf>
    <xf numFmtId="165" fontId="2" fillId="3" borderId="36" xfId="0" applyNumberFormat="1" applyFont="1" applyFill="1" applyBorder="1" applyAlignment="1">
      <alignment horizontal="center" vertical="center"/>
    </xf>
    <xf numFmtId="0" fontId="3" fillId="11" borderId="73" xfId="0" applyFont="1" applyFill="1" applyBorder="1" applyAlignment="1">
      <alignment horizontal="center" vertical="center" wrapText="1"/>
    </xf>
    <xf numFmtId="0" fontId="3" fillId="11" borderId="30" xfId="0" applyFont="1" applyFill="1" applyBorder="1" applyAlignment="1">
      <alignment horizontal="center" vertical="center" wrapText="1"/>
    </xf>
    <xf numFmtId="0" fontId="3" fillId="11" borderId="67" xfId="0" applyFont="1" applyFill="1" applyBorder="1" applyAlignment="1">
      <alignment horizontal="center" vertical="center" wrapText="1"/>
    </xf>
    <xf numFmtId="165" fontId="2" fillId="3" borderId="34" xfId="0" applyNumberFormat="1" applyFont="1" applyFill="1" applyBorder="1" applyAlignment="1">
      <alignment horizontal="center" vertical="center"/>
    </xf>
    <xf numFmtId="165" fontId="2" fillId="3" borderId="38" xfId="0" applyNumberFormat="1" applyFont="1" applyFill="1" applyBorder="1" applyAlignment="1">
      <alignment horizontal="center" vertical="center"/>
    </xf>
    <xf numFmtId="11" fontId="7" fillId="3" borderId="0" xfId="0" applyNumberFormat="1" applyFont="1" applyFill="1" applyAlignment="1">
      <alignment vertical="center"/>
    </xf>
    <xf numFmtId="0" fontId="8" fillId="3" borderId="0" xfId="0" applyFont="1" applyFill="1" applyAlignment="1">
      <alignment vertical="center" wrapText="1"/>
    </xf>
    <xf numFmtId="167" fontId="12" fillId="3" borderId="15" xfId="0" applyNumberFormat="1" applyFont="1" applyFill="1" applyBorder="1" applyAlignment="1">
      <alignment horizontal="center" vertical="center"/>
    </xf>
    <xf numFmtId="167" fontId="12" fillId="3" borderId="22" xfId="0" applyNumberFormat="1" applyFont="1" applyFill="1" applyBorder="1" applyAlignment="1">
      <alignment horizontal="center" vertical="center"/>
    </xf>
    <xf numFmtId="0" fontId="7" fillId="3" borderId="16" xfId="0" applyFont="1" applyFill="1" applyBorder="1" applyAlignment="1">
      <alignment horizontal="left" vertical="center"/>
    </xf>
    <xf numFmtId="0" fontId="7" fillId="3" borderId="21" xfId="0" applyFont="1" applyFill="1" applyBorder="1" applyAlignment="1">
      <alignment horizontal="left" vertical="center"/>
    </xf>
    <xf numFmtId="0" fontId="33" fillId="0" borderId="71" xfId="2" applyFont="1" applyBorder="1" applyAlignment="1">
      <alignment vertical="center" wrapText="1"/>
    </xf>
    <xf numFmtId="0" fontId="7" fillId="0" borderId="71" xfId="0" applyFont="1" applyBorder="1"/>
    <xf numFmtId="0" fontId="7" fillId="0" borderId="49" xfId="0" applyFont="1" applyBorder="1"/>
    <xf numFmtId="0" fontId="7" fillId="0" borderId="71" xfId="0" applyFont="1" applyBorder="1" applyAlignment="1">
      <alignment horizontal="center" vertical="center"/>
    </xf>
    <xf numFmtId="4" fontId="7" fillId="0" borderId="62" xfId="0" quotePrefix="1" applyNumberFormat="1" applyFont="1" applyBorder="1" applyAlignment="1">
      <alignment horizontal="center" vertical="center"/>
    </xf>
    <xf numFmtId="4" fontId="7" fillId="0" borderId="72" xfId="0" applyNumberFormat="1" applyFont="1" applyBorder="1" applyAlignment="1">
      <alignment horizontal="center" vertical="center"/>
    </xf>
    <xf numFmtId="4" fontId="7" fillId="0" borderId="65" xfId="0" applyNumberFormat="1" applyFont="1" applyBorder="1" applyAlignment="1">
      <alignment horizontal="center" vertical="center"/>
    </xf>
    <xf numFmtId="4" fontId="7" fillId="0" borderId="72" xfId="0" quotePrefix="1" applyNumberFormat="1" applyFont="1" applyBorder="1" applyAlignment="1">
      <alignment horizontal="center" vertical="center"/>
    </xf>
    <xf numFmtId="4" fontId="7" fillId="0" borderId="65" xfId="0" quotePrefix="1" applyNumberFormat="1" applyFont="1" applyBorder="1" applyAlignment="1">
      <alignment horizontal="center" vertical="center"/>
    </xf>
    <xf numFmtId="4" fontId="7" fillId="0" borderId="51" xfId="0" applyNumberFormat="1" applyFont="1" applyBorder="1" applyAlignment="1">
      <alignment horizontal="center" vertical="center"/>
    </xf>
    <xf numFmtId="4" fontId="7" fillId="0" borderId="77" xfId="0" applyNumberFormat="1" applyFont="1" applyBorder="1" applyAlignment="1">
      <alignment horizontal="center" vertical="center"/>
    </xf>
    <xf numFmtId="4" fontId="7" fillId="0" borderId="70" xfId="0" quotePrefix="1" applyNumberFormat="1" applyFont="1" applyBorder="1" applyAlignment="1">
      <alignment horizontal="center" vertical="center"/>
    </xf>
    <xf numFmtId="0" fontId="29" fillId="3" borderId="0" xfId="0" applyFont="1" applyFill="1" applyAlignment="1">
      <alignment vertical="center" wrapText="1"/>
    </xf>
    <xf numFmtId="2" fontId="7" fillId="3" borderId="0" xfId="0" quotePrefix="1" applyNumberFormat="1" applyFont="1" applyFill="1" applyAlignment="1">
      <alignment vertical="center"/>
    </xf>
    <xf numFmtId="2" fontId="7" fillId="3" borderId="0" xfId="0" applyNumberFormat="1" applyFont="1" applyFill="1" applyAlignment="1">
      <alignment vertical="center"/>
    </xf>
    <xf numFmtId="0" fontId="12" fillId="3" borderId="0" xfId="0" applyFont="1" applyFill="1" applyAlignment="1">
      <alignment horizontal="center" vertical="center" wrapText="1"/>
    </xf>
    <xf numFmtId="0" fontId="9" fillId="5" borderId="42" xfId="0" applyFont="1" applyFill="1" applyBorder="1" applyAlignment="1">
      <alignment horizontal="center" vertical="center" wrapText="1"/>
    </xf>
    <xf numFmtId="0" fontId="7" fillId="2" borderId="19" xfId="0" applyFont="1" applyFill="1" applyBorder="1" applyAlignment="1">
      <alignment horizontal="center" vertical="center"/>
    </xf>
    <xf numFmtId="165" fontId="2" fillId="3" borderId="28" xfId="0" quotePrefix="1" applyNumberFormat="1" applyFont="1" applyFill="1" applyBorder="1" applyAlignment="1">
      <alignment horizontal="center" vertical="center"/>
    </xf>
    <xf numFmtId="165" fontId="2" fillId="3" borderId="22" xfId="0" quotePrefix="1" applyNumberFormat="1" applyFont="1" applyFill="1" applyBorder="1" applyAlignment="1">
      <alignment horizontal="center" vertical="center"/>
    </xf>
    <xf numFmtId="0" fontId="9" fillId="5" borderId="45" xfId="0" applyFont="1" applyFill="1" applyBorder="1" applyAlignment="1">
      <alignment horizontal="center" vertical="center" wrapText="1"/>
    </xf>
    <xf numFmtId="0" fontId="9" fillId="5" borderId="94" xfId="0" applyFont="1" applyFill="1" applyBorder="1" applyAlignment="1">
      <alignment horizontal="center" vertical="center" wrapText="1"/>
    </xf>
    <xf numFmtId="0" fontId="9" fillId="5" borderId="64" xfId="0" applyFont="1" applyFill="1" applyBorder="1" applyAlignment="1">
      <alignment horizontal="center" vertical="center" wrapText="1"/>
    </xf>
    <xf numFmtId="165" fontId="12" fillId="3" borderId="1" xfId="0" applyNumberFormat="1" applyFont="1" applyFill="1" applyBorder="1" applyAlignment="1">
      <alignment horizontal="center" vertical="center"/>
    </xf>
    <xf numFmtId="165" fontId="12" fillId="3" borderId="18" xfId="0" applyNumberFormat="1" applyFont="1" applyFill="1" applyBorder="1" applyAlignment="1">
      <alignment horizontal="center" vertical="center"/>
    </xf>
    <xf numFmtId="165" fontId="12" fillId="3" borderId="20" xfId="0" applyNumberFormat="1" applyFont="1" applyFill="1" applyBorder="1" applyAlignment="1">
      <alignment horizontal="center" vertical="center"/>
    </xf>
    <xf numFmtId="165" fontId="12" fillId="3" borderId="15" xfId="0" applyNumberFormat="1" applyFont="1" applyFill="1" applyBorder="1" applyAlignment="1">
      <alignment horizontal="center" vertical="center"/>
    </xf>
    <xf numFmtId="165" fontId="12" fillId="3" borderId="22" xfId="0" applyNumberFormat="1" applyFont="1" applyFill="1" applyBorder="1" applyAlignment="1">
      <alignment horizontal="center" vertical="center"/>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9" fillId="5" borderId="33" xfId="0" applyFont="1" applyFill="1" applyBorder="1" applyAlignment="1">
      <alignment horizontal="center" vertical="center" wrapText="1"/>
    </xf>
    <xf numFmtId="0" fontId="8" fillId="5" borderId="25" xfId="0" applyFont="1" applyFill="1" applyBorder="1" applyAlignment="1">
      <alignment horizontal="center" wrapText="1"/>
    </xf>
    <xf numFmtId="0" fontId="8" fillId="5" borderId="27" xfId="0" applyFont="1" applyFill="1" applyBorder="1" applyAlignment="1">
      <alignment horizontal="center" vertical="center"/>
    </xf>
    <xf numFmtId="0" fontId="9" fillId="5" borderId="27" xfId="0" applyFont="1" applyFill="1" applyBorder="1" applyAlignment="1">
      <alignment horizontal="center" vertical="center" wrapText="1"/>
    </xf>
    <xf numFmtId="0" fontId="7" fillId="3" borderId="14" xfId="0" applyFont="1" applyFill="1" applyBorder="1" applyAlignment="1">
      <alignment horizontal="center" vertical="center"/>
    </xf>
    <xf numFmtId="0" fontId="8" fillId="5" borderId="25" xfId="0" applyFont="1" applyFill="1" applyBorder="1" applyAlignment="1">
      <alignment horizontal="center" vertical="center" wrapText="1"/>
    </xf>
    <xf numFmtId="0" fontId="9" fillId="5" borderId="25" xfId="0" applyFont="1" applyFill="1" applyBorder="1" applyAlignment="1">
      <alignment vertical="center"/>
    </xf>
    <xf numFmtId="0" fontId="21" fillId="5" borderId="26" xfId="0" applyFont="1" applyFill="1" applyBorder="1" applyAlignment="1">
      <alignment horizontal="center" vertical="center" wrapText="1"/>
    </xf>
    <xf numFmtId="0" fontId="8" fillId="14" borderId="45" xfId="0" applyFont="1" applyFill="1" applyBorder="1" applyAlignment="1">
      <alignment vertical="center"/>
    </xf>
    <xf numFmtId="0" fontId="8" fillId="14" borderId="55" xfId="0" applyFont="1" applyFill="1" applyBorder="1" applyAlignment="1">
      <alignment vertical="center"/>
    </xf>
    <xf numFmtId="0" fontId="8" fillId="14" borderId="1" xfId="0" applyFont="1" applyFill="1" applyBorder="1" applyAlignment="1">
      <alignment vertical="center"/>
    </xf>
    <xf numFmtId="0" fontId="8" fillId="14" borderId="14" xfId="0" applyFont="1" applyFill="1" applyBorder="1" applyAlignment="1">
      <alignment vertical="center"/>
    </xf>
    <xf numFmtId="0" fontId="8" fillId="14" borderId="15" xfId="0" applyFont="1" applyFill="1" applyBorder="1" applyAlignment="1">
      <alignment vertical="center"/>
    </xf>
    <xf numFmtId="1" fontId="9" fillId="3" borderId="14" xfId="0" applyNumberFormat="1" applyFont="1" applyFill="1" applyBorder="1" applyAlignment="1">
      <alignment horizontal="center" vertical="center" wrapText="1"/>
    </xf>
    <xf numFmtId="0" fontId="21" fillId="5" borderId="95" xfId="0" applyFont="1" applyFill="1" applyBorder="1" applyAlignment="1">
      <alignment horizontal="center" vertical="center" wrapText="1"/>
    </xf>
    <xf numFmtId="1" fontId="8" fillId="3" borderId="14" xfId="0" applyNumberFormat="1" applyFont="1" applyFill="1" applyBorder="1" applyAlignment="1">
      <alignment horizontal="center" vertical="center"/>
    </xf>
    <xf numFmtId="1" fontId="8" fillId="3" borderId="15" xfId="0" applyNumberFormat="1" applyFont="1" applyFill="1" applyBorder="1" applyAlignment="1">
      <alignment horizontal="center" vertical="center"/>
    </xf>
    <xf numFmtId="167" fontId="12" fillId="3" borderId="18" xfId="0" applyNumberFormat="1" applyFont="1" applyFill="1" applyBorder="1" applyAlignment="1">
      <alignment horizontal="center" vertical="center"/>
    </xf>
    <xf numFmtId="166" fontId="12" fillId="0" borderId="15" xfId="0" applyNumberFormat="1" applyFont="1" applyBorder="1" applyAlignment="1">
      <alignment horizontal="center" vertical="center"/>
    </xf>
    <xf numFmtId="11" fontId="12" fillId="0" borderId="15" xfId="0" applyNumberFormat="1" applyFont="1" applyBorder="1" applyAlignment="1">
      <alignment horizontal="center" vertical="center"/>
    </xf>
    <xf numFmtId="11" fontId="12" fillId="0" borderId="22" xfId="0" applyNumberFormat="1" applyFont="1" applyBorder="1" applyAlignment="1">
      <alignment horizontal="center" vertical="center"/>
    </xf>
    <xf numFmtId="0" fontId="7" fillId="3" borderId="16" xfId="0" applyFont="1" applyFill="1" applyBorder="1" applyAlignment="1">
      <alignment horizontal="center" vertical="center"/>
    </xf>
    <xf numFmtId="0" fontId="7" fillId="3" borderId="21" xfId="0" applyFont="1" applyFill="1" applyBorder="1" applyAlignment="1">
      <alignment horizontal="center" vertical="center"/>
    </xf>
    <xf numFmtId="166" fontId="12" fillId="0" borderId="14" xfId="0" applyNumberFormat="1" applyFont="1" applyBorder="1" applyAlignment="1">
      <alignment horizontal="center" vertical="center"/>
    </xf>
    <xf numFmtId="1" fontId="12" fillId="0" borderId="15" xfId="0" applyNumberFormat="1" applyFont="1" applyBorder="1" applyAlignment="1">
      <alignment horizontal="center" vertical="center"/>
    </xf>
    <xf numFmtId="165" fontId="12" fillId="0" borderId="14" xfId="0" applyNumberFormat="1" applyFont="1" applyBorder="1" applyAlignment="1">
      <alignment horizontal="center" vertical="center"/>
    </xf>
    <xf numFmtId="165" fontId="12" fillId="0" borderId="18" xfId="0" applyNumberFormat="1" applyFont="1" applyBorder="1" applyAlignment="1">
      <alignment horizontal="center" vertical="center"/>
    </xf>
    <xf numFmtId="1" fontId="12" fillId="0" borderId="1" xfId="0" applyNumberFormat="1" applyFont="1" applyBorder="1" applyAlignment="1">
      <alignment horizontal="center" vertical="center"/>
    </xf>
    <xf numFmtId="165" fontId="12" fillId="0" borderId="1" xfId="0" applyNumberFormat="1" applyFont="1" applyBorder="1" applyAlignment="1">
      <alignment horizontal="center" vertical="center"/>
    </xf>
    <xf numFmtId="165" fontId="12" fillId="0" borderId="20" xfId="0" applyNumberFormat="1" applyFont="1" applyBorder="1" applyAlignment="1">
      <alignment horizontal="center" vertical="center"/>
    </xf>
    <xf numFmtId="167" fontId="12" fillId="0" borderId="1" xfId="0" applyNumberFormat="1" applyFont="1" applyBorder="1" applyAlignment="1">
      <alignment horizontal="center" vertical="center"/>
    </xf>
    <xf numFmtId="165" fontId="12" fillId="0" borderId="15" xfId="0" applyNumberFormat="1" applyFont="1" applyBorder="1" applyAlignment="1">
      <alignment horizontal="center" vertical="center"/>
    </xf>
    <xf numFmtId="169" fontId="12" fillId="0" borderId="15" xfId="0" applyNumberFormat="1" applyFont="1" applyBorder="1" applyAlignment="1">
      <alignment horizontal="center" vertical="center"/>
    </xf>
    <xf numFmtId="165" fontId="12" fillId="0" borderId="22" xfId="0" applyNumberFormat="1" applyFont="1" applyBorder="1" applyAlignment="1">
      <alignment horizontal="center" vertical="center"/>
    </xf>
    <xf numFmtId="0" fontId="8" fillId="0" borderId="14" xfId="0" applyFont="1" applyBorder="1" applyAlignment="1">
      <alignment horizontal="center" vertical="center"/>
    </xf>
    <xf numFmtId="1" fontId="12" fillId="0" borderId="14" xfId="0" applyNumberFormat="1" applyFont="1" applyBorder="1" applyAlignment="1">
      <alignment horizontal="center" vertical="center"/>
    </xf>
    <xf numFmtId="0" fontId="7" fillId="0" borderId="15" xfId="0" applyFont="1" applyBorder="1" applyAlignment="1">
      <alignment vertical="center"/>
    </xf>
    <xf numFmtId="0" fontId="8" fillId="0" borderId="15" xfId="0" applyFont="1" applyBorder="1" applyAlignment="1">
      <alignment horizontal="center" vertical="center"/>
    </xf>
    <xf numFmtId="3" fontId="9" fillId="0" borderId="14" xfId="0" applyNumberFormat="1" applyFont="1" applyBorder="1" applyAlignment="1">
      <alignment horizontal="center" vertical="center"/>
    </xf>
    <xf numFmtId="164" fontId="12" fillId="0" borderId="14" xfId="0" applyNumberFormat="1" applyFont="1" applyBorder="1" applyAlignment="1">
      <alignment horizontal="center" vertical="center"/>
    </xf>
    <xf numFmtId="164" fontId="12" fillId="0" borderId="18" xfId="0" applyNumberFormat="1" applyFont="1" applyBorder="1" applyAlignment="1">
      <alignment horizontal="center" vertical="center"/>
    </xf>
    <xf numFmtId="3" fontId="9" fillId="0" borderId="15" xfId="0" applyNumberFormat="1" applyFont="1" applyBorder="1" applyAlignment="1">
      <alignment horizontal="center" vertical="center"/>
    </xf>
    <xf numFmtId="164" fontId="12" fillId="0" borderId="15" xfId="0" applyNumberFormat="1" applyFont="1" applyBorder="1" applyAlignment="1">
      <alignment horizontal="center" vertical="center"/>
    </xf>
    <xf numFmtId="164" fontId="12" fillId="0" borderId="22" xfId="0" applyNumberFormat="1" applyFont="1" applyBorder="1" applyAlignment="1">
      <alignment horizontal="center" vertical="center"/>
    </xf>
    <xf numFmtId="3" fontId="12" fillId="0" borderId="14" xfId="0" applyNumberFormat="1" applyFont="1" applyBorder="1" applyAlignment="1">
      <alignment horizontal="center" vertical="center" wrapText="1"/>
    </xf>
    <xf numFmtId="3" fontId="12" fillId="0" borderId="18" xfId="0" applyNumberFormat="1" applyFont="1" applyBorder="1" applyAlignment="1">
      <alignment horizontal="center" vertical="center" wrapText="1"/>
    </xf>
    <xf numFmtId="3" fontId="12" fillId="0" borderId="15" xfId="0" applyNumberFormat="1" applyFont="1" applyBorder="1" applyAlignment="1">
      <alignment horizontal="center" vertical="center" wrapText="1"/>
    </xf>
    <xf numFmtId="3" fontId="12" fillId="0" borderId="22" xfId="0" applyNumberFormat="1" applyFont="1" applyBorder="1" applyAlignment="1">
      <alignment horizontal="center" vertical="center" wrapText="1"/>
    </xf>
    <xf numFmtId="167" fontId="12" fillId="0" borderId="14" xfId="0" applyNumberFormat="1" applyFont="1" applyBorder="1" applyAlignment="1">
      <alignment horizontal="center" vertical="center"/>
    </xf>
    <xf numFmtId="0" fontId="12" fillId="0" borderId="18" xfId="0" applyFont="1" applyBorder="1" applyAlignment="1">
      <alignment horizontal="center" vertical="center" wrapText="1"/>
    </xf>
    <xf numFmtId="2" fontId="12" fillId="0" borderId="1" xfId="0" applyNumberFormat="1" applyFont="1" applyBorder="1" applyAlignment="1">
      <alignment horizontal="center" vertical="center"/>
    </xf>
    <xf numFmtId="0" fontId="12" fillId="0" borderId="20" xfId="0" applyFont="1" applyBorder="1" applyAlignment="1">
      <alignment horizontal="center" vertical="center" wrapText="1"/>
    </xf>
    <xf numFmtId="0" fontId="12" fillId="0" borderId="22" xfId="0" applyFont="1" applyBorder="1" applyAlignment="1">
      <alignment horizontal="center" vertical="center" wrapText="1"/>
    </xf>
    <xf numFmtId="0" fontId="7" fillId="0" borderId="14" xfId="0" applyFont="1" applyBorder="1" applyAlignment="1">
      <alignment horizontal="center" vertical="center"/>
    </xf>
    <xf numFmtId="0" fontId="0" fillId="0" borderId="18" xfId="0" applyBorder="1" applyAlignment="1">
      <alignment horizontal="center" vertical="center"/>
    </xf>
    <xf numFmtId="0" fontId="7" fillId="0" borderId="1" xfId="0" applyFont="1" applyBorder="1" applyAlignment="1">
      <alignment horizontal="center" vertical="center"/>
    </xf>
    <xf numFmtId="0" fontId="0" fillId="0" borderId="20" xfId="0" applyBorder="1" applyAlignment="1">
      <alignment horizontal="center" vertical="center"/>
    </xf>
    <xf numFmtId="0" fontId="7" fillId="0" borderId="15" xfId="0" applyFont="1" applyBorder="1" applyAlignment="1">
      <alignment horizontal="center" vertical="center"/>
    </xf>
    <xf numFmtId="0" fontId="0" fillId="0" borderId="22" xfId="0" applyBorder="1" applyAlignment="1">
      <alignment horizontal="center" vertical="center"/>
    </xf>
    <xf numFmtId="2" fontId="12" fillId="0" borderId="0" xfId="0" applyNumberFormat="1" applyFont="1" applyAlignment="1">
      <alignment horizontal="center" vertical="center"/>
    </xf>
    <xf numFmtId="11" fontId="0" fillId="0" borderId="1" xfId="0" applyNumberFormat="1" applyBorder="1" applyAlignment="1">
      <alignment horizontal="center" vertical="center"/>
    </xf>
    <xf numFmtId="0" fontId="8" fillId="2" borderId="2" xfId="0" applyFont="1" applyFill="1" applyBorder="1" applyAlignment="1">
      <alignment horizontal="center" vertical="center" wrapText="1"/>
    </xf>
    <xf numFmtId="4" fontId="7" fillId="0" borderId="17" xfId="0" applyNumberFormat="1" applyFont="1" applyBorder="1" applyAlignment="1">
      <alignment horizontal="center" vertical="center"/>
    </xf>
    <xf numFmtId="4" fontId="7" fillId="0" borderId="52" xfId="0" applyNumberFormat="1" applyFont="1" applyBorder="1" applyAlignment="1">
      <alignment horizontal="center" vertical="center"/>
    </xf>
    <xf numFmtId="4" fontId="7" fillId="0" borderId="29" xfId="0" applyNumberFormat="1" applyFont="1" applyBorder="1" applyAlignment="1">
      <alignment horizontal="center" vertical="center"/>
    </xf>
    <xf numFmtId="4" fontId="7" fillId="0" borderId="1" xfId="0" applyNumberFormat="1" applyFont="1" applyBorder="1" applyAlignment="1">
      <alignment horizontal="center" vertical="center"/>
    </xf>
    <xf numFmtId="4" fontId="7" fillId="0" borderId="66" xfId="0" applyNumberFormat="1" applyFont="1" applyBorder="1" applyAlignment="1">
      <alignment horizontal="center" vertical="center"/>
    </xf>
    <xf numFmtId="0" fontId="7" fillId="0" borderId="91" xfId="0" applyFont="1" applyBorder="1" applyAlignment="1">
      <alignment horizontal="center" vertical="center"/>
    </xf>
    <xf numFmtId="4" fontId="7" fillId="0" borderId="0" xfId="0" applyNumberFormat="1" applyFont="1" applyAlignment="1">
      <alignment horizontal="center" vertical="center"/>
    </xf>
    <xf numFmtId="165" fontId="2" fillId="0" borderId="34" xfId="0" applyNumberFormat="1" applyFont="1" applyBorder="1" applyAlignment="1">
      <alignment horizontal="center" vertical="center"/>
    </xf>
    <xf numFmtId="165" fontId="2" fillId="0" borderId="24" xfId="0" applyNumberFormat="1" applyFont="1" applyBorder="1" applyAlignment="1">
      <alignment horizontal="center" vertical="center"/>
    </xf>
    <xf numFmtId="165" fontId="2" fillId="0" borderId="28" xfId="0" quotePrefix="1" applyNumberFormat="1" applyFont="1" applyBorder="1" applyAlignment="1">
      <alignment horizontal="center" vertical="center"/>
    </xf>
    <xf numFmtId="0" fontId="12" fillId="0" borderId="48" xfId="2" applyFont="1" applyBorder="1" applyAlignment="1">
      <alignment vertical="center" wrapText="1"/>
    </xf>
    <xf numFmtId="0" fontId="7" fillId="0" borderId="45" xfId="0" applyFont="1" applyBorder="1" applyAlignment="1">
      <alignment horizontal="center" vertical="center"/>
    </xf>
    <xf numFmtId="0" fontId="7" fillId="0" borderId="53" xfId="0" applyFont="1" applyBorder="1"/>
    <xf numFmtId="0" fontId="7" fillId="0" borderId="48" xfId="0" applyFont="1" applyBorder="1"/>
    <xf numFmtId="0" fontId="7" fillId="0" borderId="54" xfId="0" applyFont="1" applyBorder="1"/>
    <xf numFmtId="0" fontId="7" fillId="0" borderId="50" xfId="0" applyFont="1" applyBorder="1" applyAlignment="1">
      <alignment horizontal="center" vertical="center"/>
    </xf>
    <xf numFmtId="0" fontId="9" fillId="5" borderId="32" xfId="0" applyFont="1" applyFill="1" applyBorder="1" applyAlignment="1">
      <alignment horizontal="center" vertical="center" wrapText="1"/>
    </xf>
    <xf numFmtId="0" fontId="2" fillId="3" borderId="0" xfId="0" applyFont="1" applyFill="1" applyAlignment="1">
      <alignment horizontal="center" vertical="center" wrapText="1"/>
    </xf>
    <xf numFmtId="0" fontId="9" fillId="5" borderId="14"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9" fillId="5" borderId="76" xfId="0" applyFont="1" applyFill="1" applyBorder="1" applyAlignment="1">
      <alignment horizontal="center" vertical="center" wrapText="1"/>
    </xf>
    <xf numFmtId="0" fontId="24" fillId="4" borderId="48" xfId="0" applyFont="1" applyFill="1" applyBorder="1" applyAlignment="1">
      <alignment horizontal="center" vertical="center" wrapText="1"/>
    </xf>
    <xf numFmtId="0" fontId="7" fillId="2" borderId="16" xfId="0" applyFont="1" applyFill="1" applyBorder="1" applyAlignment="1">
      <alignment horizontal="center" vertical="center"/>
    </xf>
    <xf numFmtId="0" fontId="7" fillId="2" borderId="21" xfId="0" applyFont="1" applyFill="1" applyBorder="1" applyAlignment="1">
      <alignment horizontal="center" vertical="center"/>
    </xf>
    <xf numFmtId="0" fontId="2" fillId="3" borderId="0" xfId="0" applyFont="1" applyFill="1" applyAlignment="1">
      <alignment horizontal="left" vertical="center" wrapText="1"/>
    </xf>
    <xf numFmtId="49" fontId="8" fillId="0" borderId="15" xfId="0" applyNumberFormat="1" applyFont="1" applyBorder="1" applyAlignment="1">
      <alignment horizontal="center" vertical="center" wrapText="1"/>
    </xf>
    <xf numFmtId="49" fontId="8" fillId="0" borderId="14" xfId="0" applyNumberFormat="1" applyFont="1" applyBorder="1" applyAlignment="1">
      <alignment horizontal="center" vertical="center" wrapText="1"/>
    </xf>
    <xf numFmtId="0" fontId="9" fillId="5" borderId="54" xfId="0" applyFont="1" applyFill="1" applyBorder="1" applyAlignment="1">
      <alignment horizontal="center" vertical="center" wrapText="1"/>
    </xf>
    <xf numFmtId="2" fontId="50" fillId="3" borderId="45" xfId="0" applyNumberFormat="1" applyFont="1" applyFill="1" applyBorder="1" applyAlignment="1">
      <alignment horizontal="center" vertical="center" wrapText="1"/>
    </xf>
    <xf numFmtId="11" fontId="51" fillId="3" borderId="45" xfId="0" applyNumberFormat="1" applyFont="1" applyFill="1" applyBorder="1" applyAlignment="1">
      <alignment horizontal="center" vertical="center" wrapText="1"/>
    </xf>
    <xf numFmtId="0" fontId="54" fillId="3" borderId="55" xfId="0" applyFont="1" applyFill="1" applyBorder="1" applyAlignment="1">
      <alignment horizontal="center" vertical="top" wrapText="1"/>
    </xf>
    <xf numFmtId="0" fontId="54" fillId="3" borderId="50" xfId="0" applyFont="1" applyFill="1" applyBorder="1" applyAlignment="1">
      <alignment horizontal="center" vertical="top" wrapText="1"/>
    </xf>
    <xf numFmtId="0" fontId="50" fillId="3" borderId="87" xfId="0" applyFont="1" applyFill="1" applyBorder="1" applyAlignment="1">
      <alignment horizontal="center" vertical="center" wrapText="1"/>
    </xf>
    <xf numFmtId="0" fontId="50" fillId="3" borderId="37" xfId="0" applyFont="1" applyFill="1" applyBorder="1" applyAlignment="1">
      <alignment horizontal="center" vertical="center" wrapText="1"/>
    </xf>
    <xf numFmtId="0" fontId="50" fillId="3" borderId="67" xfId="0" applyFont="1" applyFill="1" applyBorder="1" applyAlignment="1">
      <alignment horizontal="center" vertical="center" wrapText="1"/>
    </xf>
    <xf numFmtId="0" fontId="50" fillId="3" borderId="55" xfId="0" applyFont="1" applyFill="1" applyBorder="1" applyAlignment="1">
      <alignment horizontal="center" vertical="top" wrapText="1"/>
    </xf>
    <xf numFmtId="0" fontId="44" fillId="3" borderId="60" xfId="0" applyFont="1" applyFill="1" applyBorder="1" applyAlignment="1">
      <alignment horizontal="center"/>
    </xf>
    <xf numFmtId="0" fontId="44" fillId="3" borderId="49" xfId="0" applyFont="1" applyFill="1" applyBorder="1" applyAlignment="1">
      <alignment horizontal="center"/>
    </xf>
    <xf numFmtId="0" fontId="48" fillId="20" borderId="50" xfId="0" applyFont="1" applyFill="1" applyBorder="1" applyAlignment="1">
      <alignment horizontal="center" vertical="center" wrapText="1"/>
    </xf>
    <xf numFmtId="0" fontId="48" fillId="20" borderId="60" xfId="0" applyFont="1" applyFill="1" applyBorder="1" applyAlignment="1">
      <alignment horizontal="center" vertical="center" wrapText="1"/>
    </xf>
    <xf numFmtId="0" fontId="12" fillId="3" borderId="0" xfId="0" applyFont="1" applyFill="1" applyAlignment="1">
      <alignment horizontal="center" vertical="center"/>
    </xf>
    <xf numFmtId="0" fontId="7" fillId="3" borderId="1" xfId="0" applyFont="1" applyFill="1" applyBorder="1" applyAlignment="1">
      <alignment horizontal="center" vertical="center"/>
    </xf>
    <xf numFmtId="0" fontId="7" fillId="3" borderId="15" xfId="0" applyFont="1" applyFill="1" applyBorder="1" applyAlignment="1">
      <alignment horizontal="center" vertical="center"/>
    </xf>
    <xf numFmtId="0" fontId="9" fillId="5" borderId="41" xfId="0" applyFont="1" applyFill="1" applyBorder="1" applyAlignment="1">
      <alignment horizontal="center" vertical="center" wrapText="1"/>
    </xf>
    <xf numFmtId="0" fontId="28" fillId="3" borderId="30" xfId="0" applyFont="1" applyFill="1" applyBorder="1" applyAlignment="1">
      <alignment horizontal="center" vertical="center" wrapText="1"/>
    </xf>
    <xf numFmtId="0" fontId="9" fillId="5" borderId="96" xfId="0" applyFont="1" applyFill="1" applyBorder="1" applyAlignment="1">
      <alignment horizontal="center" vertical="center" wrapText="1"/>
    </xf>
    <xf numFmtId="165" fontId="0" fillId="3" borderId="1" xfId="0" applyNumberFormat="1" applyFill="1" applyBorder="1" applyAlignment="1">
      <alignment horizontal="left" vertical="top"/>
    </xf>
    <xf numFmtId="0" fontId="1" fillId="3" borderId="1" xfId="0" applyFont="1" applyFill="1" applyBorder="1" applyAlignment="1">
      <alignment horizontal="center"/>
    </xf>
    <xf numFmtId="0" fontId="8" fillId="0" borderId="0" xfId="0" applyFont="1" applyAlignment="1">
      <alignment horizontal="center" vertical="center"/>
    </xf>
    <xf numFmtId="0" fontId="8" fillId="0" borderId="0" xfId="0" applyFont="1" applyAlignment="1">
      <alignment horizontal="center" vertical="center" wrapText="1"/>
    </xf>
    <xf numFmtId="0" fontId="0" fillId="3" borderId="0" xfId="0" applyFill="1" applyAlignment="1">
      <alignment horizontal="left" vertical="top" wrapText="1"/>
    </xf>
    <xf numFmtId="11" fontId="51" fillId="3" borderId="50" xfId="0" applyNumberFormat="1" applyFont="1" applyFill="1" applyBorder="1" applyAlignment="1">
      <alignment horizontal="center" vertical="center" wrapText="1"/>
    </xf>
    <xf numFmtId="11" fontId="51" fillId="3" borderId="55" xfId="0" applyNumberFormat="1" applyFont="1" applyFill="1" applyBorder="1" applyAlignment="1">
      <alignment horizontal="center" vertical="center" wrapText="1"/>
    </xf>
    <xf numFmtId="0" fontId="3" fillId="11" borderId="49" xfId="0" applyFont="1" applyFill="1" applyBorder="1" applyAlignment="1">
      <alignment horizontal="center" vertical="center" wrapText="1"/>
    </xf>
    <xf numFmtId="0" fontId="1" fillId="10" borderId="48" xfId="0" applyFont="1" applyFill="1" applyBorder="1" applyAlignment="1">
      <alignment horizontal="center" vertical="center" wrapText="1"/>
    </xf>
    <xf numFmtId="0" fontId="0" fillId="0" borderId="24" xfId="0" applyBorder="1" applyAlignment="1">
      <alignment horizontal="center"/>
    </xf>
    <xf numFmtId="3" fontId="0" fillId="0" borderId="24" xfId="0" applyNumberFormat="1" applyBorder="1" applyAlignment="1">
      <alignment horizontal="center"/>
    </xf>
    <xf numFmtId="165" fontId="0" fillId="0" borderId="6" xfId="0" applyNumberFormat="1" applyBorder="1" applyAlignment="1">
      <alignment horizontal="center"/>
    </xf>
    <xf numFmtId="0" fontId="1" fillId="13" borderId="71" xfId="0" applyFont="1" applyFill="1" applyBorder="1" applyAlignment="1">
      <alignment horizontal="center" vertical="center" wrapText="1"/>
    </xf>
    <xf numFmtId="0" fontId="3" fillId="11" borderId="35" xfId="0" applyFont="1" applyFill="1" applyBorder="1" applyAlignment="1">
      <alignment horizontal="center" vertical="center" wrapText="1"/>
    </xf>
    <xf numFmtId="0" fontId="3" fillId="11" borderId="98" xfId="0" applyFont="1" applyFill="1" applyBorder="1" applyAlignment="1">
      <alignment horizontal="center" vertical="center" wrapText="1"/>
    </xf>
    <xf numFmtId="0" fontId="0" fillId="0" borderId="34" xfId="0" applyBorder="1" applyAlignment="1">
      <alignment horizontal="center" vertical="center"/>
    </xf>
    <xf numFmtId="0" fontId="0" fillId="0" borderId="1" xfId="0" applyBorder="1" applyAlignment="1">
      <alignment vertical="center"/>
    </xf>
    <xf numFmtId="0" fontId="0" fillId="0" borderId="24" xfId="0" applyBorder="1" applyAlignment="1">
      <alignment vertical="center"/>
    </xf>
    <xf numFmtId="0" fontId="0" fillId="0" borderId="19" xfId="0" applyBorder="1" applyAlignment="1">
      <alignment horizontal="center" vertical="center"/>
    </xf>
    <xf numFmtId="0" fontId="0" fillId="0" borderId="66" xfId="0" applyBorder="1" applyAlignment="1">
      <alignment vertical="center"/>
    </xf>
    <xf numFmtId="0" fontId="0" fillId="0" borderId="1" xfId="0" applyBorder="1" applyAlignment="1">
      <alignment horizontal="left"/>
    </xf>
    <xf numFmtId="0" fontId="0" fillId="0" borderId="91" xfId="0" applyBorder="1" applyAlignment="1">
      <alignment horizontal="left"/>
    </xf>
    <xf numFmtId="0" fontId="0" fillId="0" borderId="66" xfId="0" applyBorder="1" applyAlignment="1">
      <alignment horizontal="left"/>
    </xf>
    <xf numFmtId="0" fontId="0" fillId="0" borderId="21" xfId="0" applyBorder="1" applyAlignment="1">
      <alignment horizontal="center" vertical="center"/>
    </xf>
    <xf numFmtId="0" fontId="0" fillId="0" borderId="15" xfId="0" applyBorder="1" applyAlignment="1">
      <alignment horizontal="left"/>
    </xf>
    <xf numFmtId="0" fontId="7" fillId="0" borderId="42" xfId="0" applyFont="1" applyBorder="1" applyAlignment="1">
      <alignment vertical="center"/>
    </xf>
    <xf numFmtId="0" fontId="7" fillId="0" borderId="44" xfId="0" applyFont="1" applyBorder="1" applyAlignment="1">
      <alignment vertical="center"/>
    </xf>
    <xf numFmtId="0" fontId="7" fillId="0" borderId="44" xfId="0" applyFont="1" applyBorder="1" applyAlignment="1">
      <alignment horizontal="left"/>
    </xf>
    <xf numFmtId="0" fontId="7" fillId="0" borderId="43" xfId="0" applyFont="1" applyBorder="1" applyAlignment="1">
      <alignment horizontal="left"/>
    </xf>
    <xf numFmtId="11" fontId="51" fillId="3" borderId="53" xfId="0" applyNumberFormat="1" applyFont="1" applyFill="1" applyBorder="1" applyAlignment="1">
      <alignment horizontal="center" vertical="center" wrapText="1"/>
    </xf>
    <xf numFmtId="11" fontId="51" fillId="3" borderId="48" xfId="0" applyNumberFormat="1" applyFont="1" applyFill="1" applyBorder="1" applyAlignment="1">
      <alignment horizontal="center" vertical="center" wrapText="1"/>
    </xf>
    <xf numFmtId="2" fontId="50" fillId="3" borderId="54" xfId="0" applyNumberFormat="1" applyFont="1" applyFill="1" applyBorder="1" applyAlignment="1">
      <alignment horizontal="center" vertical="center" wrapText="1"/>
    </xf>
    <xf numFmtId="11" fontId="51" fillId="3" borderId="45" xfId="0" applyNumberFormat="1" applyFont="1" applyFill="1" applyBorder="1" applyAlignment="1">
      <alignment vertical="center" wrapText="1"/>
    </xf>
    <xf numFmtId="11" fontId="51" fillId="3" borderId="55" xfId="0" applyNumberFormat="1" applyFont="1" applyFill="1" applyBorder="1" applyAlignment="1">
      <alignment vertical="center" wrapText="1"/>
    </xf>
    <xf numFmtId="11" fontId="51" fillId="3" borderId="50" xfId="0" applyNumberFormat="1" applyFont="1" applyFill="1" applyBorder="1" applyAlignment="1">
      <alignment vertical="center" wrapText="1"/>
    </xf>
    <xf numFmtId="0" fontId="59" fillId="3" borderId="0" xfId="0" applyFont="1" applyFill="1" applyAlignment="1">
      <alignment horizontal="center" wrapText="1"/>
    </xf>
    <xf numFmtId="0" fontId="0" fillId="0" borderId="0" xfId="0" applyAlignment="1">
      <alignment horizontal="center"/>
    </xf>
    <xf numFmtId="0" fontId="62" fillId="0" borderId="0" xfId="0" applyFont="1" applyAlignment="1">
      <alignment horizontal="center"/>
    </xf>
    <xf numFmtId="49" fontId="46" fillId="0" borderId="0" xfId="0" applyNumberFormat="1" applyFont="1" applyAlignment="1">
      <alignment horizontal="left"/>
    </xf>
    <xf numFmtId="0" fontId="1" fillId="0" borderId="0" xfId="0" applyFont="1" applyAlignment="1">
      <alignment horizontal="center"/>
    </xf>
    <xf numFmtId="0" fontId="3" fillId="0" borderId="0" xfId="0" applyFont="1" applyAlignment="1">
      <alignment horizontal="center" vertical="center"/>
    </xf>
    <xf numFmtId="0" fontId="42" fillId="0" borderId="78" xfId="0" applyFont="1" applyBorder="1" applyAlignment="1">
      <alignment horizontal="center" vertical="center" wrapText="1"/>
    </xf>
    <xf numFmtId="0" fontId="42" fillId="0" borderId="79" xfId="0" applyFont="1" applyBorder="1" applyAlignment="1">
      <alignment horizontal="center" vertical="center" wrapText="1"/>
    </xf>
    <xf numFmtId="0" fontId="42" fillId="0" borderId="80" xfId="0" applyFont="1" applyBorder="1" applyAlignment="1">
      <alignment horizontal="center" vertical="center" wrapText="1"/>
    </xf>
    <xf numFmtId="0" fontId="42" fillId="0" borderId="81" xfId="0" applyFont="1" applyBorder="1" applyAlignment="1">
      <alignment horizontal="center" vertical="center" wrapText="1"/>
    </xf>
    <xf numFmtId="0" fontId="8" fillId="22" borderId="0" xfId="0" applyFont="1" applyFill="1" applyAlignment="1">
      <alignment horizontal="left"/>
    </xf>
    <xf numFmtId="0" fontId="7" fillId="0" borderId="0" xfId="0" applyFont="1" applyAlignment="1">
      <alignment horizontal="left" vertical="center"/>
    </xf>
    <xf numFmtId="0" fontId="12" fillId="2" borderId="16"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19" xfId="0" applyFont="1" applyFill="1" applyBorder="1" applyAlignment="1">
      <alignment horizontal="center" vertical="center" wrapText="1"/>
    </xf>
    <xf numFmtId="11" fontId="7" fillId="0" borderId="14" xfId="0" applyNumberFormat="1" applyFont="1" applyBorder="1" applyAlignment="1">
      <alignment horizontal="center" vertical="center"/>
    </xf>
    <xf numFmtId="11" fontId="7" fillId="0" borderId="1" xfId="0" applyNumberFormat="1" applyFont="1" applyBorder="1" applyAlignment="1">
      <alignment horizontal="center" vertical="center"/>
    </xf>
    <xf numFmtId="11" fontId="7" fillId="0" borderId="15" xfId="0" applyNumberFormat="1"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21" fillId="0" borderId="14" xfId="0" applyNumberFormat="1" applyFont="1" applyBorder="1" applyAlignment="1">
      <alignment horizontal="center" vertical="center" wrapText="1"/>
    </xf>
    <xf numFmtId="166" fontId="0" fillId="0" borderId="14" xfId="0" applyNumberFormat="1" applyBorder="1" applyAlignment="1">
      <alignment horizontal="center" vertical="center"/>
    </xf>
    <xf numFmtId="166" fontId="0" fillId="0" borderId="1" xfId="0" applyNumberFormat="1" applyBorder="1" applyAlignment="1">
      <alignment horizontal="center" vertical="center"/>
    </xf>
    <xf numFmtId="166" fontId="0" fillId="0" borderId="15" xfId="0" applyNumberFormat="1" applyBorder="1" applyAlignment="1">
      <alignment horizontal="center" vertical="center"/>
    </xf>
    <xf numFmtId="0" fontId="9" fillId="5" borderId="53" xfId="0" applyFont="1" applyFill="1" applyBorder="1" applyAlignment="1">
      <alignment horizontal="center" vertical="center" wrapText="1"/>
    </xf>
    <xf numFmtId="0" fontId="9" fillId="5" borderId="54" xfId="0" applyFont="1" applyFill="1" applyBorder="1" applyAlignment="1">
      <alignment horizontal="center" vertical="center" wrapText="1"/>
    </xf>
    <xf numFmtId="49" fontId="21" fillId="0" borderId="25"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8" fillId="0" borderId="31" xfId="0" applyNumberFormat="1" applyFont="1" applyBorder="1" applyAlignment="1">
      <alignment horizontal="center" vertical="center" wrapText="1"/>
    </xf>
    <xf numFmtId="49" fontId="8" fillId="0" borderId="36" xfId="0" applyNumberFormat="1" applyFont="1" applyBorder="1" applyAlignment="1">
      <alignment horizontal="center" vertical="center" wrapText="1"/>
    </xf>
    <xf numFmtId="1" fontId="0" fillId="0" borderId="14" xfId="0" applyNumberFormat="1" applyBorder="1" applyAlignment="1">
      <alignment horizontal="center" vertical="center"/>
    </xf>
    <xf numFmtId="1" fontId="0" fillId="0" borderId="15" xfId="0" applyNumberFormat="1" applyBorder="1" applyAlignment="1">
      <alignment horizontal="center" vertical="center"/>
    </xf>
    <xf numFmtId="0" fontId="9" fillId="5" borderId="17"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67" xfId="0" applyFont="1" applyFill="1" applyBorder="1" applyAlignment="1">
      <alignment horizontal="center" vertical="center" wrapText="1"/>
    </xf>
    <xf numFmtId="0" fontId="9" fillId="5" borderId="14" xfId="0" applyFont="1" applyFill="1" applyBorder="1" applyAlignment="1">
      <alignment horizontal="center" vertical="center"/>
    </xf>
    <xf numFmtId="0" fontId="9" fillId="5" borderId="31"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21"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32" xfId="0" applyFont="1" applyFill="1" applyBorder="1" applyAlignment="1">
      <alignment horizontal="center" vertical="center"/>
    </xf>
    <xf numFmtId="0" fontId="2" fillId="3" borderId="0" xfId="0" applyFont="1" applyFill="1" applyAlignment="1">
      <alignment horizontal="left" vertical="center" wrapText="1"/>
    </xf>
    <xf numFmtId="0" fontId="9" fillId="5" borderId="16"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32" xfId="0" applyFont="1" applyFill="1" applyBorder="1" applyAlignment="1">
      <alignment horizontal="center" vertical="center" wrapText="1"/>
    </xf>
    <xf numFmtId="0" fontId="9" fillId="5" borderId="25" xfId="0" applyFont="1" applyFill="1" applyBorder="1" applyAlignment="1">
      <alignment horizontal="center" vertical="center"/>
    </xf>
    <xf numFmtId="0" fontId="9" fillId="5" borderId="26" xfId="0" applyFont="1" applyFill="1" applyBorder="1" applyAlignment="1">
      <alignment horizontal="center" vertical="center"/>
    </xf>
    <xf numFmtId="0" fontId="9" fillId="5" borderId="76"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24" fillId="4" borderId="48" xfId="0" applyFont="1" applyFill="1" applyBorder="1" applyAlignment="1">
      <alignment horizontal="center" vertical="center" wrapText="1"/>
    </xf>
    <xf numFmtId="0" fontId="24" fillId="4" borderId="49"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25" fillId="4" borderId="4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2" fillId="3" borderId="0" xfId="0" applyFont="1" applyFill="1" applyAlignment="1">
      <alignment horizontal="center" vertical="center" wrapText="1"/>
    </xf>
    <xf numFmtId="0" fontId="12" fillId="2" borderId="33" xfId="0" applyFont="1" applyFill="1" applyBorder="1" applyAlignment="1">
      <alignment horizontal="center" vertical="center" wrapText="1"/>
    </xf>
    <xf numFmtId="0" fontId="12" fillId="2" borderId="38" xfId="0" applyFont="1" applyFill="1" applyBorder="1" applyAlignment="1">
      <alignment horizontal="center" vertical="center" wrapText="1"/>
    </xf>
    <xf numFmtId="3" fontId="0" fillId="0" borderId="25" xfId="0" applyNumberFormat="1" applyBorder="1" applyAlignment="1">
      <alignment horizontal="center" vertical="center"/>
    </xf>
    <xf numFmtId="3" fontId="0" fillId="0" borderId="36" xfId="0" applyNumberFormat="1" applyBorder="1" applyAlignment="1">
      <alignment horizontal="center" vertical="center"/>
    </xf>
    <xf numFmtId="0" fontId="54" fillId="3" borderId="45" xfId="0" applyFont="1" applyFill="1" applyBorder="1" applyAlignment="1">
      <alignment horizontal="center" vertical="center" wrapText="1"/>
    </xf>
    <xf numFmtId="0" fontId="54" fillId="3" borderId="55" xfId="0" applyFont="1" applyFill="1" applyBorder="1" applyAlignment="1">
      <alignment horizontal="center" vertical="center" wrapText="1"/>
    </xf>
    <xf numFmtId="0" fontId="54" fillId="3" borderId="50" xfId="0" applyFont="1" applyFill="1" applyBorder="1" applyAlignment="1">
      <alignment horizontal="center" vertical="center" wrapText="1"/>
    </xf>
    <xf numFmtId="0" fontId="50" fillId="3" borderId="45" xfId="0" applyFont="1" applyFill="1" applyBorder="1" applyAlignment="1">
      <alignment horizontal="center" vertical="center" wrapText="1"/>
    </xf>
    <xf numFmtId="0" fontId="50" fillId="3" borderId="55" xfId="0" applyFont="1" applyFill="1" applyBorder="1" applyAlignment="1">
      <alignment horizontal="center" vertical="center" wrapText="1"/>
    </xf>
    <xf numFmtId="0" fontId="50" fillId="3" borderId="86" xfId="0" applyFont="1" applyFill="1" applyBorder="1" applyAlignment="1">
      <alignment horizontal="center" vertical="center" wrapText="1"/>
    </xf>
    <xf numFmtId="0" fontId="50" fillId="3" borderId="54" xfId="0" applyFont="1" applyFill="1" applyBorder="1" applyAlignment="1">
      <alignment horizontal="center" vertical="center" wrapText="1"/>
    </xf>
    <xf numFmtId="0" fontId="50" fillId="3" borderId="67" xfId="0" applyFont="1" applyFill="1" applyBorder="1" applyAlignment="1">
      <alignment horizontal="center" vertical="center" wrapText="1"/>
    </xf>
    <xf numFmtId="0" fontId="50" fillId="3" borderId="87" xfId="0" applyFont="1" applyFill="1" applyBorder="1" applyAlignment="1">
      <alignment horizontal="center" vertical="center" wrapText="1"/>
    </xf>
    <xf numFmtId="2" fontId="50" fillId="3" borderId="45" xfId="0" applyNumberFormat="1" applyFont="1" applyFill="1" applyBorder="1" applyAlignment="1">
      <alignment horizontal="center" vertical="center" wrapText="1"/>
    </xf>
    <xf numFmtId="2" fontId="50" fillId="3" borderId="50" xfId="0" applyNumberFormat="1" applyFont="1" applyFill="1" applyBorder="1" applyAlignment="1">
      <alignment horizontal="center" vertical="center" wrapText="1"/>
    </xf>
    <xf numFmtId="11" fontId="51" fillId="3" borderId="53" xfId="0" applyNumberFormat="1" applyFont="1" applyFill="1" applyBorder="1" applyAlignment="1">
      <alignment horizontal="center" vertical="center" wrapText="1"/>
    </xf>
    <xf numFmtId="11" fontId="51" fillId="3" borderId="73" xfId="0" applyNumberFormat="1" applyFont="1" applyFill="1" applyBorder="1" applyAlignment="1">
      <alignment horizontal="center" vertical="center" wrapText="1"/>
    </xf>
    <xf numFmtId="11" fontId="51" fillId="3" borderId="45" xfId="0" applyNumberFormat="1" applyFont="1" applyFill="1" applyBorder="1" applyAlignment="1">
      <alignment horizontal="center" vertical="center" wrapText="1"/>
    </xf>
    <xf numFmtId="11" fontId="51" fillId="3" borderId="50" xfId="0" applyNumberFormat="1" applyFont="1" applyFill="1" applyBorder="1" applyAlignment="1">
      <alignment horizontal="center" vertical="center" wrapText="1"/>
    </xf>
    <xf numFmtId="11" fontId="51" fillId="0" borderId="45" xfId="0" applyNumberFormat="1" applyFont="1" applyBorder="1" applyAlignment="1">
      <alignment horizontal="center" vertical="center" wrapText="1"/>
    </xf>
    <xf numFmtId="11" fontId="51" fillId="0" borderId="50" xfId="0" applyNumberFormat="1" applyFont="1" applyBorder="1" applyAlignment="1">
      <alignment horizontal="center" vertical="center" wrapText="1"/>
    </xf>
    <xf numFmtId="0" fontId="50" fillId="3" borderId="88" xfId="0" applyFont="1" applyFill="1" applyBorder="1" applyAlignment="1">
      <alignment horizontal="center" vertical="center" wrapText="1"/>
    </xf>
    <xf numFmtId="0" fontId="50" fillId="3" borderId="50" xfId="0" applyFont="1" applyFill="1" applyBorder="1" applyAlignment="1">
      <alignment horizontal="center" vertical="center" wrapText="1"/>
    </xf>
    <xf numFmtId="0" fontId="50" fillId="3" borderId="37" xfId="0" applyFont="1" applyFill="1" applyBorder="1" applyAlignment="1">
      <alignment horizontal="center" vertical="center" wrapText="1"/>
    </xf>
    <xf numFmtId="0" fontId="54" fillId="3" borderId="45" xfId="0" applyFont="1" applyFill="1" applyBorder="1" applyAlignment="1">
      <alignment horizontal="center" vertical="top" wrapText="1"/>
    </xf>
    <xf numFmtId="0" fontId="54" fillId="3" borderId="55" xfId="0" applyFont="1" applyFill="1" applyBorder="1" applyAlignment="1">
      <alignment horizontal="center" vertical="top" wrapText="1"/>
    </xf>
    <xf numFmtId="0" fontId="54" fillId="3" borderId="50" xfId="0" applyFont="1" applyFill="1" applyBorder="1" applyAlignment="1">
      <alignment horizontal="center" vertical="top" wrapText="1"/>
    </xf>
    <xf numFmtId="0" fontId="50" fillId="3" borderId="45" xfId="0" applyFont="1" applyFill="1" applyBorder="1" applyAlignment="1">
      <alignment horizontal="center" vertical="top" wrapText="1"/>
    </xf>
    <xf numFmtId="0" fontId="50" fillId="3" borderId="55" xfId="0" applyFont="1" applyFill="1" applyBorder="1" applyAlignment="1">
      <alignment horizontal="center" vertical="top" wrapText="1"/>
    </xf>
    <xf numFmtId="0" fontId="50" fillId="3" borderId="50" xfId="0" applyFont="1" applyFill="1" applyBorder="1" applyAlignment="1">
      <alignment horizontal="center" vertical="top" wrapText="1"/>
    </xf>
    <xf numFmtId="0" fontId="50" fillId="3" borderId="89" xfId="0" applyFont="1" applyFill="1" applyBorder="1" applyAlignment="1">
      <alignment horizontal="center" vertical="center" wrapText="1"/>
    </xf>
    <xf numFmtId="0" fontId="54" fillId="0" borderId="45" xfId="0" applyFont="1" applyBorder="1" applyAlignment="1">
      <alignment horizontal="center" vertical="center" wrapText="1"/>
    </xf>
    <xf numFmtId="0" fontId="54" fillId="0" borderId="55" xfId="0" applyFont="1" applyBorder="1" applyAlignment="1">
      <alignment horizontal="center" vertical="center" wrapText="1"/>
    </xf>
    <xf numFmtId="11" fontId="51" fillId="23" borderId="45" xfId="0" applyNumberFormat="1" applyFont="1" applyFill="1" applyBorder="1" applyAlignment="1">
      <alignment horizontal="center" vertical="center" wrapText="1"/>
    </xf>
    <xf numFmtId="11" fontId="51" fillId="23" borderId="50" xfId="0" applyNumberFormat="1" applyFont="1" applyFill="1" applyBorder="1" applyAlignment="1">
      <alignment horizontal="center" vertical="center" wrapText="1"/>
    </xf>
    <xf numFmtId="2" fontId="50" fillId="0" borderId="45" xfId="0" applyNumberFormat="1" applyFont="1" applyBorder="1" applyAlignment="1">
      <alignment horizontal="center" vertical="center" wrapText="1"/>
    </xf>
    <xf numFmtId="2" fontId="50" fillId="0" borderId="50" xfId="0" applyNumberFormat="1" applyFont="1" applyBorder="1" applyAlignment="1">
      <alignment horizontal="center" vertical="center" wrapText="1"/>
    </xf>
    <xf numFmtId="2" fontId="54" fillId="3" borderId="45" xfId="0" applyNumberFormat="1" applyFont="1" applyFill="1" applyBorder="1" applyAlignment="1">
      <alignment horizontal="center" vertical="center" wrapText="1"/>
    </xf>
    <xf numFmtId="2" fontId="54" fillId="3" borderId="50" xfId="0" applyNumberFormat="1" applyFont="1" applyFill="1" applyBorder="1" applyAlignment="1">
      <alignment horizontal="center" vertical="center" wrapText="1"/>
    </xf>
    <xf numFmtId="11" fontId="54" fillId="3" borderId="45" xfId="0" applyNumberFormat="1" applyFont="1" applyFill="1" applyBorder="1" applyAlignment="1">
      <alignment horizontal="center" vertical="center" wrapText="1"/>
    </xf>
    <xf numFmtId="11" fontId="54" fillId="3" borderId="50" xfId="0" applyNumberFormat="1" applyFont="1" applyFill="1" applyBorder="1" applyAlignment="1">
      <alignment horizontal="center" vertical="center" wrapText="1"/>
    </xf>
    <xf numFmtId="0" fontId="1" fillId="19" borderId="48" xfId="0" applyFont="1" applyFill="1" applyBorder="1" applyAlignment="1">
      <alignment horizontal="center"/>
    </xf>
    <xf numFmtId="0" fontId="1" fillId="19" borderId="60" xfId="0" applyFont="1" applyFill="1" applyBorder="1" applyAlignment="1">
      <alignment horizontal="center"/>
    </xf>
    <xf numFmtId="0" fontId="1" fillId="19" borderId="49" xfId="0" applyFont="1" applyFill="1" applyBorder="1" applyAlignment="1">
      <alignment horizontal="center"/>
    </xf>
    <xf numFmtId="0" fontId="20" fillId="3" borderId="0" xfId="0" applyFont="1" applyFill="1" applyAlignment="1">
      <alignment horizontal="center"/>
    </xf>
    <xf numFmtId="0" fontId="44" fillId="3" borderId="48" xfId="0" applyFont="1" applyFill="1" applyBorder="1" applyAlignment="1">
      <alignment horizontal="center"/>
    </xf>
    <xf numFmtId="0" fontId="44" fillId="3" borderId="60" xfId="0" applyFont="1" applyFill="1" applyBorder="1" applyAlignment="1">
      <alignment horizontal="center"/>
    </xf>
    <xf numFmtId="0" fontId="44" fillId="3" borderId="49" xfId="0" applyFont="1" applyFill="1" applyBorder="1" applyAlignment="1">
      <alignment horizontal="center"/>
    </xf>
    <xf numFmtId="0" fontId="47" fillId="9" borderId="45" xfId="0" applyFont="1" applyFill="1" applyBorder="1" applyAlignment="1">
      <alignment horizontal="center" vertical="center" wrapText="1"/>
    </xf>
    <xf numFmtId="0" fontId="47" fillId="9" borderId="50" xfId="0" applyFont="1" applyFill="1" applyBorder="1" applyAlignment="1">
      <alignment horizontal="center" vertical="center" wrapText="1"/>
    </xf>
    <xf numFmtId="0" fontId="47" fillId="20" borderId="45" xfId="0" applyFont="1" applyFill="1" applyBorder="1" applyAlignment="1">
      <alignment horizontal="center" vertical="center" wrapText="1"/>
    </xf>
    <xf numFmtId="0" fontId="47" fillId="20" borderId="50" xfId="0" applyFont="1" applyFill="1" applyBorder="1" applyAlignment="1">
      <alignment horizontal="center" vertical="center" wrapText="1"/>
    </xf>
    <xf numFmtId="0" fontId="48" fillId="20" borderId="45" xfId="0" applyFont="1" applyFill="1" applyBorder="1" applyAlignment="1">
      <alignment horizontal="center" vertical="center" wrapText="1"/>
    </xf>
    <xf numFmtId="0" fontId="48" fillId="20" borderId="50" xfId="0" applyFont="1" applyFill="1" applyBorder="1" applyAlignment="1">
      <alignment horizontal="center" vertical="center" wrapText="1"/>
    </xf>
    <xf numFmtId="0" fontId="48" fillId="20" borderId="55" xfId="0" applyFont="1" applyFill="1" applyBorder="1" applyAlignment="1">
      <alignment horizontal="center" vertical="center" wrapText="1"/>
    </xf>
    <xf numFmtId="0" fontId="48" fillId="20" borderId="48" xfId="0" applyFont="1" applyFill="1" applyBorder="1" applyAlignment="1">
      <alignment horizontal="center" vertical="center" wrapText="1"/>
    </xf>
    <xf numFmtId="0" fontId="48" fillId="20" borderId="60" xfId="0" applyFont="1" applyFill="1" applyBorder="1" applyAlignment="1">
      <alignment horizontal="center" vertical="center" wrapText="1"/>
    </xf>
    <xf numFmtId="0" fontId="48" fillId="20" borderId="49" xfId="0" applyFont="1" applyFill="1" applyBorder="1" applyAlignment="1">
      <alignment horizontal="center" vertical="center" wrapText="1"/>
    </xf>
    <xf numFmtId="49" fontId="8" fillId="0" borderId="25" xfId="0" applyNumberFormat="1" applyFont="1" applyBorder="1" applyAlignment="1">
      <alignment horizontal="center" vertical="center" wrapText="1"/>
    </xf>
    <xf numFmtId="11" fontId="7" fillId="3" borderId="27" xfId="0" applyNumberFormat="1" applyFont="1" applyFill="1" applyBorder="1" applyAlignment="1">
      <alignment horizontal="center" vertical="center"/>
    </xf>
    <xf numFmtId="11" fontId="7" fillId="3" borderId="95" xfId="0" applyNumberFormat="1" applyFont="1" applyFill="1" applyBorder="1" applyAlignment="1">
      <alignment horizontal="center" vertical="center"/>
    </xf>
    <xf numFmtId="11" fontId="7" fillId="3" borderId="97" xfId="0" applyNumberFormat="1" applyFont="1" applyFill="1" applyBorder="1" applyAlignment="1">
      <alignment horizontal="center" vertical="center"/>
    </xf>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36"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29" fillId="3" borderId="14"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3" borderId="15"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5" xfId="0" applyFont="1" applyFill="1" applyBorder="1" applyAlignment="1">
      <alignment horizontal="center" vertical="center" wrapText="1"/>
    </xf>
    <xf numFmtId="11" fontId="0" fillId="3" borderId="17" xfId="0" applyNumberFormat="1" applyFill="1" applyBorder="1" applyAlignment="1">
      <alignment horizontal="center" vertical="center"/>
    </xf>
    <xf numFmtId="11" fontId="0" fillId="3" borderId="52" xfId="0" applyNumberFormat="1" applyFill="1" applyBorder="1" applyAlignment="1">
      <alignment horizontal="center" vertical="center"/>
    </xf>
    <xf numFmtId="11" fontId="0" fillId="3" borderId="29" xfId="0" applyNumberFormat="1" applyFill="1" applyBorder="1" applyAlignment="1">
      <alignment horizontal="center" vertical="center"/>
    </xf>
    <xf numFmtId="0" fontId="12" fillId="3" borderId="0" xfId="0" applyFont="1" applyFill="1" applyAlignment="1">
      <alignment horizontal="center" vertical="center"/>
    </xf>
    <xf numFmtId="1" fontId="7" fillId="3" borderId="25" xfId="0" applyNumberFormat="1" applyFont="1" applyFill="1" applyBorder="1" applyAlignment="1">
      <alignment horizontal="center" vertical="center"/>
    </xf>
    <xf numFmtId="1" fontId="7" fillId="3" borderId="36" xfId="0" applyNumberFormat="1" applyFont="1" applyFill="1" applyBorder="1" applyAlignment="1">
      <alignment horizontal="center" vertical="center"/>
    </xf>
    <xf numFmtId="0" fontId="12" fillId="3" borderId="37" xfId="0" applyFont="1" applyFill="1" applyBorder="1" applyAlignment="1">
      <alignment horizontal="center" vertical="center"/>
    </xf>
    <xf numFmtId="2" fontId="7" fillId="3" borderId="57" xfId="0" applyNumberFormat="1" applyFont="1" applyFill="1" applyBorder="1" applyAlignment="1">
      <alignment horizontal="center" vertical="center"/>
    </xf>
    <xf numFmtId="2" fontId="7" fillId="3" borderId="58" xfId="0" applyNumberFormat="1" applyFont="1" applyFill="1" applyBorder="1" applyAlignment="1">
      <alignment horizontal="center" vertical="center"/>
    </xf>
    <xf numFmtId="0" fontId="12" fillId="3" borderId="17"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5" borderId="73" xfId="0" applyFont="1" applyFill="1" applyBorder="1" applyAlignment="1">
      <alignment horizontal="center" vertical="center" wrapText="1"/>
    </xf>
    <xf numFmtId="0" fontId="9" fillId="5" borderId="30" xfId="0" applyFont="1" applyFill="1" applyBorder="1" applyAlignment="1">
      <alignment horizontal="center" vertical="center" wrapText="1"/>
    </xf>
    <xf numFmtId="0" fontId="9" fillId="5" borderId="67"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9" fillId="5" borderId="72"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65" xfId="0" applyFont="1" applyFill="1" applyBorder="1" applyAlignment="1">
      <alignment horizontal="center" vertical="center" wrapText="1"/>
    </xf>
    <xf numFmtId="1" fontId="7" fillId="3" borderId="57" xfId="0" applyNumberFormat="1" applyFont="1" applyFill="1" applyBorder="1" applyAlignment="1">
      <alignment horizontal="center" vertical="center"/>
    </xf>
    <xf numFmtId="1" fontId="7" fillId="3" borderId="58" xfId="0" applyNumberFormat="1" applyFont="1" applyFill="1" applyBorder="1" applyAlignment="1">
      <alignment horizontal="center" vertical="center"/>
    </xf>
    <xf numFmtId="0" fontId="9" fillId="5" borderId="9"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75" xfId="0" applyFont="1" applyFill="1" applyBorder="1" applyAlignment="1">
      <alignment horizontal="center" vertical="center" wrapText="1"/>
    </xf>
    <xf numFmtId="0" fontId="9" fillId="5" borderId="96"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28" fillId="3" borderId="30" xfId="0" applyFont="1" applyFill="1" applyBorder="1" applyAlignment="1">
      <alignment horizontal="center" vertical="center" wrapText="1"/>
    </xf>
    <xf numFmtId="0" fontId="7" fillId="2" borderId="19" xfId="0" applyFont="1" applyFill="1" applyBorder="1" applyAlignment="1">
      <alignment horizontal="center" vertical="center"/>
    </xf>
    <xf numFmtId="168" fontId="7" fillId="2" borderId="19" xfId="0" applyNumberFormat="1" applyFont="1" applyFill="1" applyBorder="1" applyAlignment="1">
      <alignment horizontal="center" vertical="center" wrapText="1"/>
    </xf>
    <xf numFmtId="168" fontId="7" fillId="2" borderId="21" xfId="0" applyNumberFormat="1" applyFont="1" applyFill="1" applyBorder="1" applyAlignment="1">
      <alignment horizontal="center" vertical="center" wrapText="1"/>
    </xf>
    <xf numFmtId="0" fontId="9" fillId="5" borderId="48" xfId="0" applyFont="1" applyFill="1" applyBorder="1" applyAlignment="1">
      <alignment horizontal="center" vertical="center" wrapText="1"/>
    </xf>
    <xf numFmtId="0" fontId="9" fillId="5" borderId="60" xfId="0" applyFont="1" applyFill="1" applyBorder="1" applyAlignment="1">
      <alignment horizontal="center" vertical="center" wrapText="1"/>
    </xf>
    <xf numFmtId="0" fontId="9" fillId="5" borderId="49" xfId="0" applyFont="1" applyFill="1" applyBorder="1" applyAlignment="1">
      <alignment horizontal="center" vertical="center" wrapText="1"/>
    </xf>
    <xf numFmtId="0" fontId="9" fillId="5" borderId="57"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46"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5" borderId="26" xfId="0" applyFont="1" applyFill="1" applyBorder="1" applyAlignment="1">
      <alignment horizontal="center" vertical="center" wrapText="1"/>
    </xf>
    <xf numFmtId="0" fontId="9" fillId="3" borderId="54" xfId="0" applyFont="1" applyFill="1" applyBorder="1" applyAlignment="1">
      <alignment horizontal="center" vertical="center"/>
    </xf>
    <xf numFmtId="0" fontId="9" fillId="3" borderId="37" xfId="0" applyFont="1" applyFill="1" applyBorder="1" applyAlignment="1">
      <alignment horizontal="center" vertical="center"/>
    </xf>
    <xf numFmtId="0" fontId="9" fillId="3" borderId="45" xfId="0" applyFont="1" applyFill="1" applyBorder="1" applyAlignment="1">
      <alignment horizontal="center" vertical="center"/>
    </xf>
    <xf numFmtId="0" fontId="9" fillId="3" borderId="55" xfId="0" applyFont="1" applyFill="1" applyBorder="1" applyAlignment="1">
      <alignment horizontal="center" vertical="center"/>
    </xf>
    <xf numFmtId="0" fontId="8" fillId="3" borderId="16"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8" fillId="3" borderId="63"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15" xfId="0" applyFont="1" applyFill="1" applyBorder="1" applyAlignment="1">
      <alignment horizontal="center" vertical="center"/>
    </xf>
    <xf numFmtId="0" fontId="9" fillId="5" borderId="33" xfId="0" applyFont="1" applyFill="1" applyBorder="1" applyAlignment="1">
      <alignment horizontal="center" vertical="center"/>
    </xf>
    <xf numFmtId="0" fontId="9" fillId="5" borderId="40" xfId="0" applyFont="1" applyFill="1" applyBorder="1" applyAlignment="1">
      <alignment horizontal="center" vertic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1" xfId="0" applyFont="1" applyFill="1" applyBorder="1" applyAlignment="1">
      <alignment horizontal="center"/>
    </xf>
    <xf numFmtId="0" fontId="0" fillId="0" borderId="8" xfId="0" applyBorder="1" applyAlignment="1">
      <alignment horizontal="center" wrapText="1"/>
    </xf>
    <xf numFmtId="0" fontId="1" fillId="3" borderId="52" xfId="0" applyFont="1" applyFill="1" applyBorder="1" applyAlignment="1">
      <alignment horizontal="center" vertical="center"/>
    </xf>
    <xf numFmtId="0" fontId="1" fillId="3" borderId="66" xfId="0" applyFont="1" applyFill="1" applyBorder="1" applyAlignment="1">
      <alignment horizontal="center" vertical="center"/>
    </xf>
    <xf numFmtId="0" fontId="1" fillId="3" borderId="91" xfId="0" applyFont="1" applyFill="1" applyBorder="1" applyAlignment="1">
      <alignment horizontal="center" vertical="center"/>
    </xf>
    <xf numFmtId="0" fontId="1" fillId="3" borderId="52" xfId="0" applyFont="1" applyFill="1" applyBorder="1" applyAlignment="1">
      <alignment horizontal="center"/>
    </xf>
    <xf numFmtId="0" fontId="1" fillId="3" borderId="66" xfId="0" applyFont="1" applyFill="1" applyBorder="1" applyAlignment="1">
      <alignment horizontal="center"/>
    </xf>
    <xf numFmtId="0" fontId="1" fillId="3" borderId="91" xfId="0" applyFont="1" applyFill="1" applyBorder="1" applyAlignment="1">
      <alignment horizontal="center"/>
    </xf>
    <xf numFmtId="0" fontId="2" fillId="3" borderId="1" xfId="0" applyFont="1" applyFill="1" applyBorder="1" applyAlignment="1">
      <alignment horizontal="left" vertical="top"/>
    </xf>
    <xf numFmtId="0" fontId="2" fillId="3" borderId="6"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2" xfId="0" applyFont="1" applyFill="1" applyBorder="1" applyAlignment="1">
      <alignment horizontal="left" vertical="top"/>
    </xf>
    <xf numFmtId="0" fontId="2" fillId="3" borderId="4" xfId="0" applyFont="1" applyFill="1" applyBorder="1" applyAlignment="1">
      <alignment horizontal="left" vertical="top"/>
    </xf>
    <xf numFmtId="165" fontId="0" fillId="3" borderId="1" xfId="0" applyNumberFormat="1" applyFill="1" applyBorder="1" applyAlignment="1">
      <alignment horizontal="left" vertical="top"/>
    </xf>
    <xf numFmtId="0" fontId="3" fillId="11" borderId="48" xfId="0" applyFont="1" applyFill="1" applyBorder="1" applyAlignment="1">
      <alignment horizontal="center" vertical="center" wrapText="1"/>
    </xf>
    <xf numFmtId="0" fontId="3" fillId="11" borderId="60" xfId="0" applyFont="1" applyFill="1" applyBorder="1" applyAlignment="1">
      <alignment horizontal="center" vertical="center" wrapText="1"/>
    </xf>
    <xf numFmtId="0" fontId="3" fillId="11" borderId="49" xfId="0" applyFont="1" applyFill="1" applyBorder="1" applyAlignment="1">
      <alignment horizontal="center" vertical="center" wrapText="1"/>
    </xf>
    <xf numFmtId="0" fontId="3" fillId="11" borderId="10" xfId="0" applyFont="1" applyFill="1" applyBorder="1" applyAlignment="1">
      <alignment horizontal="center" vertical="center" wrapText="1"/>
    </xf>
    <xf numFmtId="0" fontId="3" fillId="11" borderId="46" xfId="0" applyFont="1" applyFill="1" applyBorder="1" applyAlignment="1">
      <alignment horizontal="center" vertical="center" wrapText="1"/>
    </xf>
    <xf numFmtId="0" fontId="3" fillId="11" borderId="41"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9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1"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38" fillId="0" borderId="10" xfId="2" applyFont="1" applyBorder="1" applyAlignment="1">
      <alignment horizontal="left" vertical="center" wrapText="1"/>
    </xf>
    <xf numFmtId="0" fontId="38" fillId="0" borderId="46" xfId="2" applyFont="1" applyBorder="1" applyAlignment="1">
      <alignment horizontal="left" vertical="center" wrapText="1"/>
    </xf>
    <xf numFmtId="0" fontId="38" fillId="0" borderId="41" xfId="2" applyFont="1" applyBorder="1" applyAlignment="1">
      <alignment horizontal="left" vertical="center" wrapText="1"/>
    </xf>
    <xf numFmtId="0" fontId="0" fillId="3" borderId="0" xfId="0" applyFill="1" applyAlignment="1">
      <alignment horizontal="left" wrapText="1"/>
    </xf>
    <xf numFmtId="0" fontId="0" fillId="3" borderId="56" xfId="0" applyFill="1" applyBorder="1" applyAlignment="1">
      <alignment horizontal="left" vertical="top" wrapText="1"/>
    </xf>
    <xf numFmtId="0" fontId="0" fillId="3" borderId="0" xfId="0" applyFill="1" applyAlignment="1">
      <alignment horizontal="left" vertical="top" wrapText="1"/>
    </xf>
  </cellXfs>
  <cellStyles count="4">
    <cellStyle name="Comma" xfId="3" builtinId="3"/>
    <cellStyle name="Normal" xfId="0" builtinId="0"/>
    <cellStyle name="Normal 2" xfId="2" xr:uid="{BC27F4E2-20B8-47A4-9D90-F2F490171813}"/>
    <cellStyle name="Percent" xfId="1" builtinId="5"/>
  </cellStyles>
  <dxfs count="176">
    <dxf>
      <numFmt numFmtId="2" formatCode="0.00"/>
    </dxf>
    <dxf>
      <numFmt numFmtId="4" formatCode="#,##0.00"/>
    </dxf>
    <dxf>
      <numFmt numFmtId="165" formatCode="0.000"/>
    </dxf>
    <dxf>
      <numFmt numFmtId="15" formatCode="0.00E+00"/>
    </dxf>
    <dxf>
      <numFmt numFmtId="166" formatCode="0.0E+00"/>
    </dxf>
    <dxf>
      <numFmt numFmtId="3" formatCode="#,##0"/>
    </dxf>
    <dxf>
      <numFmt numFmtId="164" formatCode="0.0"/>
    </dxf>
    <dxf>
      <numFmt numFmtId="2" formatCode="0.00"/>
    </dxf>
    <dxf>
      <numFmt numFmtId="166" formatCode="0.0E+00"/>
    </dxf>
    <dxf>
      <numFmt numFmtId="166" formatCode="0.0E+00"/>
    </dxf>
    <dxf>
      <numFmt numFmtId="166" formatCode="0.0E+00"/>
    </dxf>
    <dxf>
      <numFmt numFmtId="3" formatCode="#,##0"/>
    </dxf>
    <dxf>
      <numFmt numFmtId="164" formatCode="0.0"/>
    </dxf>
    <dxf>
      <numFmt numFmtId="4" formatCode="#,##0.00"/>
    </dxf>
    <dxf>
      <numFmt numFmtId="165" formatCode="0.000"/>
    </dxf>
    <dxf>
      <numFmt numFmtId="15" formatCode="0.00E+00"/>
    </dxf>
    <dxf>
      <numFmt numFmtId="4" formatCode="#,##0.00"/>
    </dxf>
    <dxf>
      <numFmt numFmtId="165" formatCode="0.000"/>
    </dxf>
    <dxf>
      <numFmt numFmtId="15" formatCode="0.00E+00"/>
    </dxf>
    <dxf>
      <numFmt numFmtId="166" formatCode="0.0E+00"/>
    </dxf>
    <dxf>
      <numFmt numFmtId="3" formatCode="#,##0"/>
    </dxf>
    <dxf>
      <numFmt numFmtId="164" formatCode="0.0"/>
    </dxf>
    <dxf>
      <numFmt numFmtId="2" formatCode="0.00"/>
    </dxf>
    <dxf>
      <numFmt numFmtId="166" formatCode="0.0E+00"/>
    </dxf>
    <dxf>
      <numFmt numFmtId="2" formatCode="0.00"/>
    </dxf>
    <dxf>
      <numFmt numFmtId="166" formatCode="0.0E+00"/>
    </dxf>
    <dxf>
      <numFmt numFmtId="4" formatCode="#,##0.00"/>
    </dxf>
    <dxf>
      <numFmt numFmtId="165" formatCode="0.000"/>
    </dxf>
    <dxf>
      <numFmt numFmtId="15" formatCode="0.00E+00"/>
    </dxf>
    <dxf>
      <numFmt numFmtId="166" formatCode="0.0E+00"/>
    </dxf>
    <dxf>
      <numFmt numFmtId="3" formatCode="#,##0"/>
    </dxf>
    <dxf>
      <numFmt numFmtId="164" formatCode="0.0"/>
    </dxf>
    <dxf>
      <font>
        <color theme="0"/>
      </font>
    </dxf>
    <dxf>
      <fill>
        <patternFill>
          <bgColor theme="0"/>
        </patternFill>
      </fill>
    </dxf>
    <dxf>
      <numFmt numFmtId="166" formatCode="0.0E+00"/>
    </dxf>
    <dxf>
      <numFmt numFmtId="4" formatCode="#,##0.00"/>
    </dxf>
    <dxf>
      <numFmt numFmtId="170" formatCode="#,##0.0"/>
    </dxf>
    <dxf>
      <numFmt numFmtId="3" formatCode="#,##0"/>
    </dxf>
    <dxf>
      <numFmt numFmtId="166" formatCode="0.0E+00"/>
    </dxf>
    <dxf>
      <numFmt numFmtId="171" formatCode="\-"/>
    </dxf>
    <dxf>
      <fill>
        <patternFill>
          <bgColor theme="5"/>
        </patternFill>
      </fill>
    </dxf>
    <dxf>
      <numFmt numFmtId="0" formatCode="General"/>
      <fill>
        <patternFill>
          <bgColor rgb="FF00B050"/>
        </patternFill>
      </fill>
    </dxf>
    <dxf>
      <fill>
        <patternFill>
          <bgColor theme="5"/>
        </patternFill>
      </fill>
    </dxf>
    <dxf>
      <fill>
        <patternFill>
          <bgColor rgb="FF00B050"/>
        </patternFill>
      </fill>
    </dxf>
    <dxf>
      <fill>
        <patternFill>
          <bgColor theme="0"/>
        </patternFill>
      </fill>
    </dxf>
    <dxf>
      <numFmt numFmtId="4" formatCode="#,##0.00"/>
    </dxf>
    <dxf>
      <numFmt numFmtId="170" formatCode="#,##0.0"/>
    </dxf>
    <dxf>
      <numFmt numFmtId="166" formatCode="0.0E+00"/>
    </dxf>
    <dxf>
      <numFmt numFmtId="3" formatCode="#,##0"/>
    </dxf>
    <dxf>
      <numFmt numFmtId="166" formatCode="0.0E+00"/>
    </dxf>
    <dxf>
      <fill>
        <patternFill>
          <bgColor theme="5"/>
        </patternFill>
      </fill>
    </dxf>
    <dxf>
      <numFmt numFmtId="0" formatCode="General"/>
      <fill>
        <patternFill>
          <bgColor rgb="FF00B050"/>
        </patternFill>
      </fill>
    </dxf>
    <dxf>
      <numFmt numFmtId="166" formatCode="0.0E+00"/>
    </dxf>
    <dxf>
      <fill>
        <patternFill>
          <bgColor theme="0"/>
        </patternFill>
      </fill>
    </dxf>
    <dxf>
      <numFmt numFmtId="4" formatCode="#,##0.00"/>
    </dxf>
    <dxf>
      <numFmt numFmtId="166" formatCode="0.0E+00"/>
    </dxf>
    <dxf>
      <numFmt numFmtId="1" formatCode="0"/>
    </dxf>
    <dxf>
      <numFmt numFmtId="170" formatCode="#,##0.0"/>
    </dxf>
    <dxf>
      <numFmt numFmtId="166" formatCode="0.0E+00"/>
    </dxf>
    <dxf>
      <font>
        <color theme="0"/>
      </font>
    </dxf>
    <dxf>
      <numFmt numFmtId="15" formatCode="0.00E+00"/>
    </dxf>
    <dxf>
      <numFmt numFmtId="2" formatCode="0.00"/>
    </dxf>
    <dxf>
      <numFmt numFmtId="164" formatCode="0.0"/>
    </dxf>
    <dxf>
      <numFmt numFmtId="170" formatCode="#,##0.0"/>
    </dxf>
    <dxf>
      <numFmt numFmtId="166" formatCode="0.0E+00"/>
    </dxf>
    <dxf>
      <numFmt numFmtId="4" formatCode="#,##0.00"/>
    </dxf>
    <dxf>
      <numFmt numFmtId="170" formatCode="#,##0.0"/>
    </dxf>
    <dxf>
      <numFmt numFmtId="3" formatCode="#,##0"/>
    </dxf>
    <dxf>
      <numFmt numFmtId="166" formatCode="0.0E+00"/>
    </dxf>
    <dxf>
      <fill>
        <patternFill>
          <bgColor theme="0"/>
        </patternFill>
      </fill>
    </dxf>
    <dxf>
      <fill>
        <patternFill>
          <bgColor theme="5"/>
        </patternFill>
      </fill>
    </dxf>
    <dxf>
      <fill>
        <patternFill>
          <bgColor rgb="FF00B050"/>
        </patternFill>
      </fill>
    </dxf>
    <dxf>
      <fill>
        <patternFill>
          <bgColor theme="5"/>
        </patternFill>
      </fill>
    </dxf>
    <dxf>
      <fill>
        <patternFill>
          <bgColor theme="0"/>
        </patternFill>
      </fill>
    </dxf>
    <dxf>
      <numFmt numFmtId="4" formatCode="#,##0.00"/>
    </dxf>
    <dxf>
      <numFmt numFmtId="170" formatCode="#,##0.0"/>
    </dxf>
    <dxf>
      <numFmt numFmtId="166" formatCode="0.0E+00"/>
    </dxf>
    <dxf>
      <numFmt numFmtId="4" formatCode="#,##0.00"/>
    </dxf>
    <dxf>
      <numFmt numFmtId="170" formatCode="#,##0.0"/>
    </dxf>
    <dxf>
      <fill>
        <patternFill>
          <bgColor theme="5"/>
        </patternFill>
      </fill>
    </dxf>
    <dxf>
      <fill>
        <patternFill>
          <bgColor theme="0"/>
        </patternFill>
      </fill>
    </dxf>
    <dxf>
      <fill>
        <patternFill>
          <bgColor theme="5"/>
        </patternFill>
      </fill>
    </dxf>
    <dxf>
      <numFmt numFmtId="4" formatCode="#,##0.00"/>
    </dxf>
    <dxf>
      <numFmt numFmtId="166" formatCode="0.0E+00"/>
    </dxf>
    <dxf>
      <fill>
        <patternFill>
          <bgColor theme="0"/>
        </patternFill>
      </fill>
    </dxf>
    <dxf>
      <fill>
        <patternFill>
          <bgColor rgb="FF00B050"/>
        </patternFill>
      </fill>
    </dxf>
    <dxf>
      <fill>
        <patternFill>
          <bgColor theme="5"/>
        </patternFill>
      </fill>
    </dxf>
    <dxf>
      <numFmt numFmtId="3" formatCode="#,##0"/>
    </dxf>
    <dxf>
      <numFmt numFmtId="170" formatCode="#,##0.0"/>
    </dxf>
    <dxf>
      <fill>
        <patternFill>
          <bgColor theme="5"/>
        </patternFill>
      </fill>
    </dxf>
    <dxf>
      <fill>
        <patternFill>
          <bgColor theme="0"/>
        </patternFill>
      </fill>
    </dxf>
    <dxf>
      <numFmt numFmtId="4" formatCode="#,##0.00"/>
    </dxf>
    <dxf>
      <numFmt numFmtId="170" formatCode="#,##0.0"/>
    </dxf>
    <dxf>
      <numFmt numFmtId="170" formatCode="#,##0.0"/>
    </dxf>
    <dxf>
      <numFmt numFmtId="164" formatCode="0.0"/>
    </dxf>
    <dxf>
      <numFmt numFmtId="2" formatCode="0.00"/>
    </dxf>
    <dxf>
      <numFmt numFmtId="166" formatCode="0.0E+00"/>
    </dxf>
    <dxf>
      <font>
        <color theme="0"/>
      </font>
    </dxf>
    <dxf>
      <numFmt numFmtId="166" formatCode="0.0E+00"/>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numFmt numFmtId="166" formatCode="0.0E+00"/>
    </dxf>
    <dxf>
      <numFmt numFmtId="3" formatCode="#,##0"/>
    </dxf>
    <dxf>
      <numFmt numFmtId="170" formatCode="#,##0.0"/>
    </dxf>
    <dxf>
      <numFmt numFmtId="4" formatCode="#,##0.00"/>
    </dxf>
    <dxf>
      <numFmt numFmtId="166" formatCode="0.0E+00"/>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numFmt numFmtId="15" formatCode="0.00E+00"/>
    </dxf>
    <dxf>
      <numFmt numFmtId="4" formatCode="#,##0.00"/>
    </dxf>
    <dxf>
      <fill>
        <patternFill>
          <bgColor theme="0"/>
        </patternFill>
      </fill>
    </dxf>
    <dxf>
      <font>
        <color theme="5"/>
      </font>
      <fill>
        <patternFill>
          <bgColor theme="5" tint="0.79998168889431442"/>
        </patternFill>
      </fill>
    </dxf>
    <dxf>
      <font>
        <color theme="5"/>
      </font>
      <fill>
        <patternFill>
          <bgColor theme="5" tint="0.79998168889431442"/>
        </patternFill>
      </fill>
    </dxf>
    <dxf>
      <numFmt numFmtId="166" formatCode="0.0E+00"/>
    </dxf>
    <dxf>
      <fill>
        <patternFill>
          <bgColor theme="0"/>
        </patternFill>
      </fill>
    </dxf>
    <dxf>
      <numFmt numFmtId="3" formatCode="#,##0"/>
    </dxf>
    <dxf>
      <numFmt numFmtId="170" formatCode="#,##0.0"/>
    </dxf>
    <dxf>
      <numFmt numFmtId="4" formatCode="#,##0.00"/>
    </dxf>
    <dxf>
      <fill>
        <patternFill>
          <bgColor theme="0"/>
        </patternFill>
      </fill>
    </dxf>
    <dxf>
      <font>
        <color theme="5"/>
      </font>
      <fill>
        <patternFill>
          <bgColor theme="5" tint="0.79998168889431442"/>
        </patternFill>
      </fill>
    </dxf>
    <dxf>
      <numFmt numFmtId="4" formatCode="#,##0.00"/>
    </dxf>
    <dxf>
      <numFmt numFmtId="15" formatCode="0.00E+00"/>
    </dxf>
    <dxf>
      <font>
        <color theme="5"/>
      </font>
      <fill>
        <patternFill>
          <bgColor theme="5" tint="0.79998168889431442"/>
        </patternFill>
      </fill>
    </dxf>
    <dxf>
      <fill>
        <patternFill>
          <bgColor theme="0"/>
        </patternFill>
      </fill>
    </dxf>
    <dxf>
      <font>
        <color theme="5"/>
      </font>
      <fill>
        <patternFill>
          <bgColor theme="5" tint="0.79998168889431442"/>
        </patternFill>
      </fill>
    </dxf>
    <dxf>
      <font>
        <color theme="5"/>
      </font>
      <fill>
        <patternFill>
          <bgColor theme="5" tint="0.79998168889431442"/>
        </patternFill>
      </fill>
    </dxf>
    <dxf>
      <font>
        <color theme="5"/>
      </font>
      <fill>
        <patternFill>
          <bgColor theme="5" tint="0.59996337778862885"/>
        </patternFill>
      </fill>
    </dxf>
    <dxf>
      <numFmt numFmtId="166" formatCode="0.0E+00"/>
    </dxf>
    <dxf>
      <numFmt numFmtId="15" formatCode="0.00E+00"/>
    </dxf>
    <dxf>
      <fill>
        <patternFill>
          <bgColor theme="0"/>
        </patternFill>
      </fill>
    </dxf>
    <dxf>
      <font>
        <color theme="5"/>
      </font>
      <fill>
        <patternFill>
          <bgColor theme="5" tint="0.79998168889431442"/>
        </patternFill>
      </fill>
    </dxf>
    <dxf>
      <numFmt numFmtId="4" formatCode="#,##0.00"/>
    </dxf>
    <dxf>
      <font>
        <color theme="5"/>
      </font>
      <fill>
        <patternFill>
          <bgColor theme="5" tint="0.79998168889431442"/>
        </patternFill>
      </fill>
    </dxf>
    <dxf>
      <numFmt numFmtId="4" formatCode="#,##0.00"/>
    </dxf>
    <dxf>
      <numFmt numFmtId="15" formatCode="0.00E+00"/>
    </dxf>
    <dxf>
      <font>
        <color theme="0"/>
      </font>
    </dxf>
    <dxf>
      <fill>
        <patternFill>
          <bgColor theme="0"/>
        </patternFill>
      </fill>
    </dxf>
    <dxf>
      <numFmt numFmtId="4" formatCode="#,##0.00"/>
    </dxf>
    <dxf>
      <numFmt numFmtId="15" formatCode="0.00E+00"/>
    </dxf>
    <dxf>
      <numFmt numFmtId="170" formatCode="#,##0.0"/>
    </dxf>
    <dxf>
      <numFmt numFmtId="3" formatCode="#,##0"/>
    </dxf>
    <dxf>
      <font>
        <color theme="0"/>
      </font>
    </dxf>
  </dxfs>
  <tableStyles count="0" defaultTableStyle="TableStyleMedium2" defaultPivotStyle="PivotStyleLight16"/>
  <colors>
    <mruColors>
      <color rgb="FFF15A2B"/>
      <color rgb="FFF04B18"/>
      <color rgb="FFD43D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"Dermal Cancer Risk Estimates"</c:f>
          <c:strCache>
            <c:ptCount val="1"/>
            <c:pt idx="0">
              <c:v>Dermal Cancer Risk Estimates</c:v>
            </c:pt>
          </c:strCache>
        </c:strRef>
      </c:tx>
      <c:layout>
        <c:manualLayout>
          <c:xMode val="edge"/>
          <c:yMode val="edge"/>
          <c:x val="0.36062458254174651"/>
          <c:y val="3.741425313188975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9150842647774607"/>
          <c:y val="0.21054931230848406"/>
          <c:w val="0.59536328249985193"/>
          <c:h val="0.47132178068272318"/>
        </c:manualLayout>
      </c:layout>
      <c:barChart>
        <c:barDir val="bar"/>
        <c:grouping val="stacked"/>
        <c:varyColors val="0"/>
        <c:ser>
          <c:idx val="4"/>
          <c:order val="0"/>
          <c:tx>
            <c:strRef>
              <c:f>Dashboard!$N$94</c:f>
              <c:strCache>
                <c:ptCount val="1"/>
                <c:pt idx="0">
                  <c:v>Central Tendency</c:v>
                </c:pt>
              </c:strCache>
            </c:strRef>
          </c:tx>
          <c:spPr>
            <a:solidFill>
              <a:schemeClr val="accent5"/>
            </a:solidFill>
          </c:spPr>
          <c:invertIfNegative val="0"/>
          <c:cat>
            <c:strRef>
              <c:f>Dashboard!$M$95:$M$95</c:f>
              <c:strCache>
                <c:ptCount val="1"/>
                <c:pt idx="0">
                  <c:v>Worker, No Gloves</c:v>
                </c:pt>
              </c:strCache>
            </c:strRef>
          </c:cat>
          <c:val>
            <c:numRef>
              <c:f>Dashboard!$N$95:$N$95</c:f>
              <c:numCache>
                <c:formatCode>0.00E+00</c:formatCode>
                <c:ptCount val="1"/>
                <c:pt idx="0">
                  <c:v>4.0016403597710763E-4</c:v>
                </c:pt>
              </c:numCache>
            </c:numRef>
          </c:val>
          <c:extLst>
            <c:ext xmlns:c16="http://schemas.microsoft.com/office/drawing/2014/chart" uri="{C3380CC4-5D6E-409C-BE32-E72D297353CC}">
              <c16:uniqueId val="{0000001F-DE9C-4C75-A1B7-3A3F3DAD2639}"/>
            </c:ext>
          </c:extLst>
        </c:ser>
        <c:dLbls>
          <c:showLegendKey val="0"/>
          <c:showVal val="0"/>
          <c:showCatName val="0"/>
          <c:showSerName val="0"/>
          <c:showPercent val="0"/>
          <c:showBubbleSize val="0"/>
        </c:dLbls>
        <c:gapWidth val="182"/>
        <c:overlap val="100"/>
        <c:axId val="580062808"/>
        <c:axId val="580066744"/>
        <c:extLst>
          <c:ext xmlns:c15="http://schemas.microsoft.com/office/drawing/2012/chart" uri="{02D57815-91ED-43cb-92C2-25804820EDAC}">
            <c15:filteredBarSeries>
              <c15:ser>
                <c:idx val="5"/>
                <c:order val="1"/>
                <c:tx>
                  <c:strRef>
                    <c:extLst>
                      <c:ext uri="{02D57815-91ED-43cb-92C2-25804820EDAC}">
                        <c15:formulaRef>
                          <c15:sqref>Dashboard!$O$94</c15:sqref>
                        </c15:formulaRef>
                      </c:ext>
                    </c:extLst>
                    <c:strCache>
                      <c:ptCount val="1"/>
                      <c:pt idx="0">
                        <c:v>High End</c:v>
                      </c:pt>
                    </c:strCache>
                  </c:strRef>
                </c:tx>
                <c:spPr>
                  <a:solidFill>
                    <a:schemeClr val="accent5">
                      <a:lumMod val="75000"/>
                    </a:schemeClr>
                  </a:solidFill>
                </c:spPr>
                <c:invertIfNegative val="0"/>
                <c:cat>
                  <c:strRef>
                    <c:extLst>
                      <c:ext uri="{02D57815-91ED-43cb-92C2-25804820EDAC}">
                        <c15:formulaRef>
                          <c15:sqref>Dashboard!$M$95:$M$95</c15:sqref>
                        </c15:formulaRef>
                      </c:ext>
                    </c:extLst>
                    <c:strCache>
                      <c:ptCount val="1"/>
                      <c:pt idx="0">
                        <c:v>Worker, No Gloves</c:v>
                      </c:pt>
                    </c:strCache>
                  </c:strRef>
                </c:cat>
                <c:val>
                  <c:numRef>
                    <c:extLst>
                      <c:ext uri="{02D57815-91ED-43cb-92C2-25804820EDAC}">
                        <c15:formulaRef>
                          <c15:sqref>Dashboard!$O$95:$O$95</c15:sqref>
                        </c15:formulaRef>
                      </c:ext>
                    </c:extLst>
                    <c:numCache>
                      <c:formatCode>0.00E+00</c:formatCode>
                      <c:ptCount val="1"/>
                      <c:pt idx="0">
                        <c:v>7.8168056984073394E-4</c:v>
                      </c:pt>
                    </c:numCache>
                  </c:numRef>
                </c:val>
                <c:extLst>
                  <c:ext xmlns:c16="http://schemas.microsoft.com/office/drawing/2014/chart" uri="{C3380CC4-5D6E-409C-BE32-E72D297353CC}">
                    <c16:uniqueId val="{00000020-DE9C-4C75-A1B7-3A3F3DAD2639}"/>
                  </c:ext>
                </c:extLst>
              </c15:ser>
            </c15:filteredBarSeries>
          </c:ext>
        </c:extLst>
      </c:barChart>
      <c:scatterChart>
        <c:scatterStyle val="lineMarker"/>
        <c:varyColors val="0"/>
        <c:ser>
          <c:idx val="3"/>
          <c:order val="4"/>
          <c:tx>
            <c:v>1.00E-04</c:v>
          </c:tx>
          <c:spPr>
            <a:ln w="28575" cap="rnd">
              <a:solidFill>
                <a:srgbClr val="FF0000"/>
              </a:solidFill>
              <a:round/>
            </a:ln>
            <a:effectLst/>
          </c:spPr>
          <c:marker>
            <c:symbol val="none"/>
          </c:marker>
          <c:xVal>
            <c:numLit>
              <c:formatCode>General</c:formatCode>
              <c:ptCount val="6"/>
              <c:pt idx="0">
                <c:v>1E-4</c:v>
              </c:pt>
              <c:pt idx="1">
                <c:v>1E-4</c:v>
              </c:pt>
              <c:pt idx="2">
                <c:v>1E-4</c:v>
              </c:pt>
              <c:pt idx="3">
                <c:v>1E-4</c:v>
              </c:pt>
              <c:pt idx="4">
                <c:v>1E-4</c:v>
              </c:pt>
              <c:pt idx="5">
                <c:v>1E-4</c:v>
              </c:pt>
            </c:numLit>
          </c:xVal>
          <c:yVal>
            <c:numLit>
              <c:formatCode>General</c:formatCode>
              <c:ptCount val="6"/>
              <c:pt idx="0">
                <c:v>7</c:v>
              </c:pt>
              <c:pt idx="1">
                <c:v>5</c:v>
              </c:pt>
              <c:pt idx="2">
                <c:v>4</c:v>
              </c:pt>
              <c:pt idx="3">
                <c:v>3</c:v>
              </c:pt>
              <c:pt idx="4">
                <c:v>2</c:v>
              </c:pt>
              <c:pt idx="5">
                <c:v>0</c:v>
              </c:pt>
            </c:numLit>
          </c:yVal>
          <c:smooth val="0"/>
          <c:extLst>
            <c:ext xmlns:c16="http://schemas.microsoft.com/office/drawing/2014/chart" uri="{C3380CC4-5D6E-409C-BE32-E72D297353CC}">
              <c16:uniqueId val="{0000001E-DE9C-4C75-A1B7-3A3F3DAD2639}"/>
            </c:ext>
          </c:extLst>
        </c:ser>
        <c:dLbls>
          <c:showLegendKey val="0"/>
          <c:showVal val="0"/>
          <c:showCatName val="0"/>
          <c:showSerName val="0"/>
          <c:showPercent val="0"/>
          <c:showBubbleSize val="0"/>
        </c:dLbls>
        <c:axId val="599810312"/>
        <c:axId val="599814248"/>
        <c:extLst>
          <c:ext xmlns:c15="http://schemas.microsoft.com/office/drawing/2012/chart" uri="{02D57815-91ED-43cb-92C2-25804820EDAC}">
            <c15:filteredScatterSeries>
              <c15:ser>
                <c:idx val="1"/>
                <c:order val="2"/>
                <c:tx>
                  <c:v>1.00E-06</c:v>
                </c:tx>
                <c:spPr>
                  <a:ln w="28575" cap="rnd">
                    <a:solidFill>
                      <a:srgbClr val="FF0000"/>
                    </a:solidFill>
                    <a:round/>
                  </a:ln>
                  <a:effectLst/>
                </c:spPr>
                <c:marker>
                  <c:symbol val="none"/>
                </c:marker>
                <c:xVal>
                  <c:numLit>
                    <c:formatCode>General</c:formatCode>
                    <c:ptCount val="6"/>
                    <c:pt idx="0">
                      <c:v>9.9999999999999995E-7</c:v>
                    </c:pt>
                    <c:pt idx="1">
                      <c:v>9.9999999999999995E-7</c:v>
                    </c:pt>
                    <c:pt idx="2">
                      <c:v>9.9999999999999995E-7</c:v>
                    </c:pt>
                    <c:pt idx="3">
                      <c:v>9.9999999999999995E-7</c:v>
                    </c:pt>
                    <c:pt idx="4">
                      <c:v>9.9999999999999995E-7</c:v>
                    </c:pt>
                    <c:pt idx="5">
                      <c:v>9.9999999999999995E-7</c:v>
                    </c:pt>
                  </c:numLit>
                </c:xVal>
                <c:yVal>
                  <c:numLit>
                    <c:formatCode>General</c:formatCode>
                    <c:ptCount val="6"/>
                    <c:pt idx="0">
                      <c:v>7</c:v>
                    </c:pt>
                    <c:pt idx="1">
                      <c:v>5</c:v>
                    </c:pt>
                    <c:pt idx="2">
                      <c:v>4</c:v>
                    </c:pt>
                    <c:pt idx="3">
                      <c:v>3</c:v>
                    </c:pt>
                    <c:pt idx="4">
                      <c:v>2</c:v>
                    </c:pt>
                    <c:pt idx="5">
                      <c:v>0</c:v>
                    </c:pt>
                  </c:numLit>
                </c:yVal>
                <c:smooth val="0"/>
                <c:extLst>
                  <c:ext xmlns:c16="http://schemas.microsoft.com/office/drawing/2014/chart" uri="{C3380CC4-5D6E-409C-BE32-E72D297353CC}">
                    <c16:uniqueId val="{0000001A-DE9C-4C75-A1B7-3A3F3DAD2639}"/>
                  </c:ext>
                </c:extLst>
              </c15:ser>
            </c15:filteredScatterSeries>
            <c15:filteredScatterSeries>
              <c15:ser>
                <c:idx val="2"/>
                <c:order val="3"/>
                <c:tx>
                  <c:v>1.00E-05</c:v>
                </c:tx>
                <c:spPr>
                  <a:ln w="28575" cap="rnd">
                    <a:solidFill>
                      <a:srgbClr val="FF0000"/>
                    </a:solidFill>
                    <a:round/>
                  </a:ln>
                  <a:effectLst/>
                </c:spPr>
                <c:marker>
                  <c:symbol val="none"/>
                </c:marker>
                <c:xVal>
                  <c:numLit>
                    <c:formatCode>General</c:formatCode>
                    <c:ptCount val="6"/>
                    <c:pt idx="0">
                      <c:v>1.0000000000000001E-5</c:v>
                    </c:pt>
                    <c:pt idx="1">
                      <c:v>1.0000000000000001E-5</c:v>
                    </c:pt>
                    <c:pt idx="2">
                      <c:v>1.0000000000000001E-5</c:v>
                    </c:pt>
                    <c:pt idx="3">
                      <c:v>1.0000000000000001E-5</c:v>
                    </c:pt>
                    <c:pt idx="4">
                      <c:v>1.0000000000000001E-5</c:v>
                    </c:pt>
                    <c:pt idx="5">
                      <c:v>1.0000000000000001E-5</c:v>
                    </c:pt>
                  </c:numLit>
                </c:xVal>
                <c:yVal>
                  <c:numLit>
                    <c:formatCode>General</c:formatCode>
                    <c:ptCount val="6"/>
                    <c:pt idx="0">
                      <c:v>7</c:v>
                    </c:pt>
                    <c:pt idx="1">
                      <c:v>5</c:v>
                    </c:pt>
                    <c:pt idx="2">
                      <c:v>4</c:v>
                    </c:pt>
                    <c:pt idx="3">
                      <c:v>3</c:v>
                    </c:pt>
                    <c:pt idx="4">
                      <c:v>2</c:v>
                    </c:pt>
                    <c:pt idx="5">
                      <c:v>0</c:v>
                    </c:pt>
                  </c:numLit>
                </c:yVal>
                <c:smooth val="0"/>
                <c:extLst xmlns:c15="http://schemas.microsoft.com/office/drawing/2012/chart">
                  <c:ext xmlns:c16="http://schemas.microsoft.com/office/drawing/2014/chart" uri="{C3380CC4-5D6E-409C-BE32-E72D297353CC}">
                    <c16:uniqueId val="{0000001C-DE9C-4C75-A1B7-3A3F3DAD2639}"/>
                  </c:ext>
                </c:extLst>
              </c15:ser>
            </c15:filteredScatterSeries>
          </c:ext>
        </c:extLst>
      </c:scatterChart>
      <c:catAx>
        <c:axId val="58006280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0066744"/>
        <c:crosses val="autoZero"/>
        <c:auto val="1"/>
        <c:lblAlgn val="ctr"/>
        <c:lblOffset val="100"/>
        <c:noMultiLvlLbl val="0"/>
      </c:catAx>
      <c:valAx>
        <c:axId val="580066744"/>
        <c:scaling>
          <c:logBase val="10"/>
          <c:orientation val="minMax"/>
          <c:min val="1.0000000000000005E-7"/>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excess risk per million</a:t>
                </a:r>
              </a:p>
            </c:rich>
          </c:tx>
          <c:layout>
            <c:manualLayout>
              <c:xMode val="edge"/>
              <c:yMode val="edge"/>
              <c:x val="0.36584643797039879"/>
              <c:y val="0.91033093796437237"/>
            </c:manualLayout>
          </c:layout>
          <c:overlay val="0"/>
          <c:spPr>
            <a:noFill/>
            <a:ln>
              <a:noFill/>
            </a:ln>
            <a:effectLst/>
          </c:spPr>
        </c:title>
        <c:numFmt formatCode="0.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0062808"/>
        <c:crosses val="autoZero"/>
        <c:crossBetween val="between"/>
      </c:valAx>
      <c:valAx>
        <c:axId val="599814248"/>
        <c:scaling>
          <c:orientation val="minMax"/>
          <c:max val="7"/>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599810312"/>
        <c:crosses val="autoZero"/>
        <c:crossBetween val="midCat"/>
      </c:valAx>
      <c:valAx>
        <c:axId val="599810312"/>
        <c:scaling>
          <c:logBase val="10"/>
          <c:orientation val="minMax"/>
          <c:max val="1"/>
          <c:min val="1.0000000000000005E-7"/>
        </c:scaling>
        <c:delete val="0"/>
        <c:axPos val="t"/>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599814248"/>
        <c:crosses val="max"/>
        <c:crossBetween val="midCat"/>
      </c:valAx>
      <c:spPr>
        <a:noFill/>
        <a:ln>
          <a:solidFill>
            <a:schemeClr val="bg1">
              <a:lumMod val="85000"/>
            </a:schemeClr>
          </a:solidFill>
        </a:ln>
        <a:effectLst/>
      </c:spPr>
    </c:plotArea>
    <c:legend>
      <c:legendPos val="r"/>
      <c:layout>
        <c:manualLayout>
          <c:xMode val="edge"/>
          <c:yMode val="edge"/>
          <c:x val="0.80461981541828131"/>
          <c:y val="0.35022486721558838"/>
          <c:w val="0.18443302702841707"/>
          <c:h val="7.1571289795557907E-2"/>
        </c:manualLayout>
      </c:layout>
      <c:overlay val="0"/>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Inhalation Cancer Risk Estimates</a:t>
            </a:r>
          </a:p>
        </c:rich>
      </c:tx>
      <c:layout>
        <c:manualLayout>
          <c:xMode val="edge"/>
          <c:yMode val="edge"/>
          <c:x val="0.35379421156466734"/>
          <c:y val="5.11888663077683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9150842647774607"/>
          <c:y val="0.21054931230848406"/>
          <c:w val="0.68905621866876288"/>
          <c:h val="0.66282889702806647"/>
        </c:manualLayout>
      </c:layout>
      <c:barChart>
        <c:barDir val="bar"/>
        <c:grouping val="stacked"/>
        <c:varyColors val="0"/>
        <c:ser>
          <c:idx val="0"/>
          <c:order val="0"/>
          <c:tx>
            <c:strRef>
              <c:f>Dashboard!$D$94</c:f>
              <c:strCache>
                <c:ptCount val="1"/>
                <c:pt idx="0">
                  <c:v>Cancer Risk</c:v>
                </c:pt>
              </c:strCache>
            </c:strRef>
          </c:tx>
          <c:spPr>
            <a:solidFill>
              <a:schemeClr val="accent5">
                <a:lumMod val="75000"/>
              </a:schemeClr>
            </a:solidFill>
            <a:ln>
              <a:noFill/>
            </a:ln>
            <a:effectLst/>
          </c:spPr>
          <c:invertIfNegative val="0"/>
          <c:dPt>
            <c:idx val="0"/>
            <c:invertIfNegative val="0"/>
            <c:bubble3D val="0"/>
            <c:spPr>
              <a:solidFill>
                <a:schemeClr val="accent5">
                  <a:lumMod val="75000"/>
                </a:schemeClr>
              </a:solidFill>
              <a:ln>
                <a:noFill/>
              </a:ln>
              <a:effectLst/>
            </c:spPr>
            <c:extLst>
              <c:ext xmlns:c16="http://schemas.microsoft.com/office/drawing/2014/chart" uri="{C3380CC4-5D6E-409C-BE32-E72D297353CC}">
                <c16:uniqueId val="{00000002-BA70-4215-AC58-731F271DC5B6}"/>
              </c:ext>
            </c:extLst>
          </c:dPt>
          <c:dPt>
            <c:idx val="1"/>
            <c:invertIfNegative val="0"/>
            <c:bubble3D val="0"/>
            <c:spPr>
              <a:solidFill>
                <a:schemeClr val="accent5">
                  <a:lumMod val="75000"/>
                </a:schemeClr>
              </a:solidFill>
              <a:ln>
                <a:noFill/>
              </a:ln>
              <a:effectLst/>
            </c:spPr>
            <c:extLst>
              <c:ext xmlns:c16="http://schemas.microsoft.com/office/drawing/2014/chart" uri="{C3380CC4-5D6E-409C-BE32-E72D297353CC}">
                <c16:uniqueId val="{00000004-BA70-4215-AC58-731F271DC5B6}"/>
              </c:ext>
            </c:extLst>
          </c:dPt>
          <c:dPt>
            <c:idx val="2"/>
            <c:invertIfNegative val="0"/>
            <c:bubble3D val="0"/>
            <c:spPr>
              <a:solidFill>
                <a:schemeClr val="accent5">
                  <a:lumMod val="75000"/>
                </a:schemeClr>
              </a:solidFill>
              <a:ln>
                <a:noFill/>
              </a:ln>
              <a:effectLst/>
            </c:spPr>
            <c:extLst>
              <c:ext xmlns:c16="http://schemas.microsoft.com/office/drawing/2014/chart" uri="{C3380CC4-5D6E-409C-BE32-E72D297353CC}">
                <c16:uniqueId val="{00000006-BA70-4215-AC58-731F271DC5B6}"/>
              </c:ext>
            </c:extLst>
          </c:dPt>
          <c:dPt>
            <c:idx val="3"/>
            <c:invertIfNegative val="0"/>
            <c:bubble3D val="0"/>
            <c:spPr>
              <a:solidFill>
                <a:schemeClr val="accent5">
                  <a:lumMod val="75000"/>
                </a:schemeClr>
              </a:solidFill>
              <a:ln>
                <a:noFill/>
              </a:ln>
              <a:effectLst/>
            </c:spPr>
            <c:extLst>
              <c:ext xmlns:c16="http://schemas.microsoft.com/office/drawing/2014/chart" uri="{C3380CC4-5D6E-409C-BE32-E72D297353CC}">
                <c16:uniqueId val="{00000008-BA70-4215-AC58-731F271DC5B6}"/>
              </c:ext>
            </c:extLst>
          </c:dPt>
          <c:cat>
            <c:strLit>
              <c:ptCount val="4"/>
              <c:pt idx="0">
                <c:v>ONU: 95th Percentile</c:v>
              </c:pt>
              <c:pt idx="1">
                <c:v>ONU: 50th Percentile</c:v>
              </c:pt>
              <c:pt idx="2">
                <c:v>Worker: 95th Percentile</c:v>
              </c:pt>
              <c:pt idx="3">
                <c:v>Worker: 50th Percentile</c:v>
              </c:pt>
            </c:strLit>
          </c:cat>
          <c:val>
            <c:numRef>
              <c:f>(Dashboard!$D$96,Dashboard!$D$95,Dashboard!$D$98,Dashboard!$D$97)</c:f>
              <c:numCache>
                <c:formatCode>0.00E+00</c:formatCode>
                <c:ptCount val="4"/>
                <c:pt idx="0">
                  <c:v>1.1086977818876059E-2</c:v>
                </c:pt>
                <c:pt idx="1">
                  <c:v>7.5183568334253264E-5</c:v>
                </c:pt>
                <c:pt idx="2">
                  <c:v>5.0584336298622017E-2</c:v>
                </c:pt>
                <c:pt idx="3">
                  <c:v>2.5777223428886838E-3</c:v>
                </c:pt>
              </c:numCache>
            </c:numRef>
          </c:val>
          <c:extLst>
            <c:ext xmlns:c16="http://schemas.microsoft.com/office/drawing/2014/chart" uri="{C3380CC4-5D6E-409C-BE32-E72D297353CC}">
              <c16:uniqueId val="{00000009-BA70-4215-AC58-731F271DC5B6}"/>
            </c:ext>
          </c:extLst>
        </c:ser>
        <c:dLbls>
          <c:showLegendKey val="0"/>
          <c:showVal val="0"/>
          <c:showCatName val="0"/>
          <c:showSerName val="0"/>
          <c:showPercent val="0"/>
          <c:showBubbleSize val="0"/>
        </c:dLbls>
        <c:gapWidth val="150"/>
        <c:overlap val="100"/>
        <c:axId val="580062808"/>
        <c:axId val="580066744"/>
      </c:barChart>
      <c:scatterChart>
        <c:scatterStyle val="lineMarker"/>
        <c:varyColors val="0"/>
        <c:ser>
          <c:idx val="3"/>
          <c:order val="3"/>
          <c:tx>
            <c:v>1.00E-04</c:v>
          </c:tx>
          <c:spPr>
            <a:ln w="28575" cap="rnd">
              <a:solidFill>
                <a:srgbClr val="FF0000"/>
              </a:solidFill>
              <a:round/>
            </a:ln>
            <a:effectLst/>
          </c:spPr>
          <c:marker>
            <c:symbol val="none"/>
          </c:marker>
          <c:xVal>
            <c:numLit>
              <c:formatCode>General</c:formatCode>
              <c:ptCount val="6"/>
              <c:pt idx="0">
                <c:v>1E-4</c:v>
              </c:pt>
              <c:pt idx="1">
                <c:v>1E-4</c:v>
              </c:pt>
              <c:pt idx="2">
                <c:v>1E-4</c:v>
              </c:pt>
              <c:pt idx="3">
                <c:v>1E-4</c:v>
              </c:pt>
              <c:pt idx="4">
                <c:v>1E-4</c:v>
              </c:pt>
              <c:pt idx="5">
                <c:v>1E-4</c:v>
              </c:pt>
            </c:numLit>
          </c:xVal>
          <c:yVal>
            <c:numLit>
              <c:formatCode>General</c:formatCode>
              <c:ptCount val="6"/>
              <c:pt idx="0">
                <c:v>7</c:v>
              </c:pt>
              <c:pt idx="1">
                <c:v>5</c:v>
              </c:pt>
              <c:pt idx="2">
                <c:v>4</c:v>
              </c:pt>
              <c:pt idx="3">
                <c:v>3</c:v>
              </c:pt>
              <c:pt idx="4">
                <c:v>2</c:v>
              </c:pt>
              <c:pt idx="5">
                <c:v>0</c:v>
              </c:pt>
            </c:numLit>
          </c:yVal>
          <c:smooth val="0"/>
          <c:extLst>
            <c:ext xmlns:c16="http://schemas.microsoft.com/office/drawing/2014/chart" uri="{C3380CC4-5D6E-409C-BE32-E72D297353CC}">
              <c16:uniqueId val="{0000000C-BA70-4215-AC58-731F271DC5B6}"/>
            </c:ext>
          </c:extLst>
        </c:ser>
        <c:dLbls>
          <c:showLegendKey val="0"/>
          <c:showVal val="0"/>
          <c:showCatName val="0"/>
          <c:showSerName val="0"/>
          <c:showPercent val="0"/>
          <c:showBubbleSize val="0"/>
        </c:dLbls>
        <c:axId val="599810312"/>
        <c:axId val="599814248"/>
        <c:extLst>
          <c:ext xmlns:c15="http://schemas.microsoft.com/office/drawing/2012/chart" uri="{02D57815-91ED-43cb-92C2-25804820EDAC}">
            <c15:filteredScatterSeries>
              <c15:ser>
                <c:idx val="1"/>
                <c:order val="1"/>
                <c:tx>
                  <c:v>1.00E-06</c:v>
                </c:tx>
                <c:spPr>
                  <a:ln w="28575" cap="rnd">
                    <a:solidFill>
                      <a:srgbClr val="FF0000"/>
                    </a:solidFill>
                    <a:round/>
                  </a:ln>
                  <a:effectLst/>
                </c:spPr>
                <c:marker>
                  <c:symbol val="none"/>
                </c:marker>
                <c:xVal>
                  <c:numLit>
                    <c:formatCode>General</c:formatCode>
                    <c:ptCount val="6"/>
                    <c:pt idx="0">
                      <c:v>9.9999999999999995E-7</c:v>
                    </c:pt>
                    <c:pt idx="1">
                      <c:v>9.9999999999999995E-7</c:v>
                    </c:pt>
                    <c:pt idx="2">
                      <c:v>9.9999999999999995E-7</c:v>
                    </c:pt>
                    <c:pt idx="3">
                      <c:v>9.9999999999999995E-7</c:v>
                    </c:pt>
                    <c:pt idx="4">
                      <c:v>9.9999999999999995E-7</c:v>
                    </c:pt>
                    <c:pt idx="5">
                      <c:v>9.9999999999999995E-7</c:v>
                    </c:pt>
                  </c:numLit>
                </c:xVal>
                <c:yVal>
                  <c:numLit>
                    <c:formatCode>General</c:formatCode>
                    <c:ptCount val="6"/>
                    <c:pt idx="0">
                      <c:v>7</c:v>
                    </c:pt>
                    <c:pt idx="1">
                      <c:v>5</c:v>
                    </c:pt>
                    <c:pt idx="2">
                      <c:v>4</c:v>
                    </c:pt>
                    <c:pt idx="3">
                      <c:v>3</c:v>
                    </c:pt>
                    <c:pt idx="4">
                      <c:v>2</c:v>
                    </c:pt>
                    <c:pt idx="5">
                      <c:v>0</c:v>
                    </c:pt>
                  </c:numLit>
                </c:yVal>
                <c:smooth val="0"/>
                <c:extLst>
                  <c:ext xmlns:c16="http://schemas.microsoft.com/office/drawing/2014/chart" uri="{C3380CC4-5D6E-409C-BE32-E72D297353CC}">
                    <c16:uniqueId val="{0000000A-BA70-4215-AC58-731F271DC5B6}"/>
                  </c:ext>
                </c:extLst>
              </c15:ser>
            </c15:filteredScatterSeries>
            <c15:filteredScatterSeries>
              <c15:ser>
                <c:idx val="2"/>
                <c:order val="2"/>
                <c:tx>
                  <c:v>1.00E-05</c:v>
                </c:tx>
                <c:spPr>
                  <a:ln w="28575" cap="rnd">
                    <a:solidFill>
                      <a:srgbClr val="FF0000"/>
                    </a:solidFill>
                    <a:round/>
                  </a:ln>
                  <a:effectLst/>
                </c:spPr>
                <c:marker>
                  <c:symbol val="none"/>
                </c:marker>
                <c:xVal>
                  <c:numLit>
                    <c:formatCode>General</c:formatCode>
                    <c:ptCount val="6"/>
                    <c:pt idx="0">
                      <c:v>1.0000000000000001E-5</c:v>
                    </c:pt>
                    <c:pt idx="1">
                      <c:v>1.0000000000000001E-5</c:v>
                    </c:pt>
                    <c:pt idx="2">
                      <c:v>1.0000000000000001E-5</c:v>
                    </c:pt>
                    <c:pt idx="3">
                      <c:v>1.0000000000000001E-5</c:v>
                    </c:pt>
                    <c:pt idx="4">
                      <c:v>1.0000000000000001E-5</c:v>
                    </c:pt>
                    <c:pt idx="5">
                      <c:v>1.0000000000000001E-5</c:v>
                    </c:pt>
                  </c:numLit>
                </c:xVal>
                <c:yVal>
                  <c:numLit>
                    <c:formatCode>General</c:formatCode>
                    <c:ptCount val="6"/>
                    <c:pt idx="0">
                      <c:v>7</c:v>
                    </c:pt>
                    <c:pt idx="1">
                      <c:v>5</c:v>
                    </c:pt>
                    <c:pt idx="2">
                      <c:v>4</c:v>
                    </c:pt>
                    <c:pt idx="3">
                      <c:v>3</c:v>
                    </c:pt>
                    <c:pt idx="4">
                      <c:v>2</c:v>
                    </c:pt>
                    <c:pt idx="5">
                      <c:v>0</c:v>
                    </c:pt>
                  </c:numLit>
                </c:yVal>
                <c:smooth val="0"/>
                <c:extLst xmlns:c15="http://schemas.microsoft.com/office/drawing/2012/chart">
                  <c:ext xmlns:c16="http://schemas.microsoft.com/office/drawing/2014/chart" uri="{C3380CC4-5D6E-409C-BE32-E72D297353CC}">
                    <c16:uniqueId val="{0000000B-BA70-4215-AC58-731F271DC5B6}"/>
                  </c:ext>
                </c:extLst>
              </c15:ser>
            </c15:filteredScatterSeries>
          </c:ext>
        </c:extLst>
      </c:scatterChart>
      <c:catAx>
        <c:axId val="58006280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0066744"/>
        <c:crosses val="autoZero"/>
        <c:auto val="1"/>
        <c:lblAlgn val="ctr"/>
        <c:lblOffset val="100"/>
        <c:noMultiLvlLbl val="0"/>
      </c:catAx>
      <c:valAx>
        <c:axId val="580066744"/>
        <c:scaling>
          <c:logBase val="10"/>
          <c:orientation val="minMax"/>
          <c:min val="1.0000000000000005E-7"/>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excess risk per million</a:t>
                </a:r>
              </a:p>
            </c:rich>
          </c:tx>
          <c:layout>
            <c:manualLayout>
              <c:xMode val="edge"/>
              <c:yMode val="edge"/>
              <c:x val="0.36584643797039879"/>
              <c:y val="0.9103309379643723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0062808"/>
        <c:crosses val="autoZero"/>
        <c:crossBetween val="between"/>
      </c:valAx>
      <c:valAx>
        <c:axId val="599814248"/>
        <c:scaling>
          <c:orientation val="minMax"/>
          <c:max val="7"/>
        </c:scaling>
        <c:delete val="1"/>
        <c:axPos val="l"/>
        <c:numFmt formatCode="General" sourceLinked="1"/>
        <c:majorTickMark val="out"/>
        <c:minorTickMark val="none"/>
        <c:tickLblPos val="nextTo"/>
        <c:crossAx val="599810312"/>
        <c:crosses val="autoZero"/>
        <c:crossBetween val="midCat"/>
      </c:valAx>
      <c:valAx>
        <c:axId val="599810312"/>
        <c:scaling>
          <c:logBase val="10"/>
          <c:orientation val="minMax"/>
          <c:max val="1"/>
          <c:min val="1.0000000000000005E-7"/>
        </c:scaling>
        <c:delete val="0"/>
        <c:axPos val="t"/>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599814248"/>
        <c:crosses val="max"/>
        <c:crossBetween val="midCat"/>
      </c:valAx>
      <c:spPr>
        <a:noFill/>
        <a:ln>
          <a:solidFill>
            <a:schemeClr val="bg1">
              <a:lumMod val="85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"Dermal Cancer Risk Estimates"</c:f>
          <c:strCache>
            <c:ptCount val="1"/>
            <c:pt idx="0">
              <c:v>Dermal Cancer Risk Estimates</c:v>
            </c:pt>
          </c:strCache>
        </c:strRef>
      </c:tx>
      <c:layout>
        <c:manualLayout>
          <c:xMode val="edge"/>
          <c:yMode val="edge"/>
          <c:x val="0.36062458254174651"/>
          <c:y val="3.741425313188975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9150842647774607"/>
          <c:y val="0.21054931230848406"/>
          <c:w val="0.59536328249985193"/>
          <c:h val="0.47132178068272318"/>
        </c:manualLayout>
      </c:layout>
      <c:barChart>
        <c:barDir val="bar"/>
        <c:grouping val="stacked"/>
        <c:varyColors val="0"/>
        <c:ser>
          <c:idx val="5"/>
          <c:order val="1"/>
          <c:tx>
            <c:strRef>
              <c:f>Dashboard!$O$94</c:f>
              <c:strCache>
                <c:ptCount val="1"/>
                <c:pt idx="0">
                  <c:v>High End</c:v>
                </c:pt>
              </c:strCache>
            </c:strRef>
          </c:tx>
          <c:spPr>
            <a:solidFill>
              <a:schemeClr val="accent5">
                <a:lumMod val="75000"/>
              </a:schemeClr>
            </a:solidFill>
          </c:spPr>
          <c:invertIfNegative val="0"/>
          <c:cat>
            <c:strRef>
              <c:f>Dashboard!$M$95:$M$95</c:f>
              <c:strCache>
                <c:ptCount val="1"/>
                <c:pt idx="0">
                  <c:v>Worker, No Gloves</c:v>
                </c:pt>
              </c:strCache>
            </c:strRef>
          </c:cat>
          <c:val>
            <c:numRef>
              <c:f>Dashboard!$O$95:$O$95</c:f>
              <c:numCache>
                <c:formatCode>0.00E+00</c:formatCode>
                <c:ptCount val="1"/>
                <c:pt idx="0">
                  <c:v>7.8168056984073394E-4</c:v>
                </c:pt>
              </c:numCache>
            </c:numRef>
          </c:val>
          <c:extLst>
            <c:ext xmlns:c16="http://schemas.microsoft.com/office/drawing/2014/chart" uri="{C3380CC4-5D6E-409C-BE32-E72D297353CC}">
              <c16:uniqueId val="{00000001-6415-4C2F-B1BC-46D883723E2C}"/>
            </c:ext>
          </c:extLst>
        </c:ser>
        <c:dLbls>
          <c:showLegendKey val="0"/>
          <c:showVal val="0"/>
          <c:showCatName val="0"/>
          <c:showSerName val="0"/>
          <c:showPercent val="0"/>
          <c:showBubbleSize val="0"/>
        </c:dLbls>
        <c:gapWidth val="182"/>
        <c:overlap val="100"/>
        <c:axId val="580062808"/>
        <c:axId val="580066744"/>
        <c:extLst>
          <c:ext xmlns:c15="http://schemas.microsoft.com/office/drawing/2012/chart" uri="{02D57815-91ED-43cb-92C2-25804820EDAC}">
            <c15:filteredBarSeries>
              <c15:ser>
                <c:idx val="4"/>
                <c:order val="0"/>
                <c:tx>
                  <c:strRef>
                    <c:extLst>
                      <c:ext uri="{02D57815-91ED-43cb-92C2-25804820EDAC}">
                        <c15:formulaRef>
                          <c15:sqref>Dashboard!$N$94</c15:sqref>
                        </c15:formulaRef>
                      </c:ext>
                    </c:extLst>
                    <c:strCache>
                      <c:ptCount val="1"/>
                      <c:pt idx="0">
                        <c:v>Central Tendency</c:v>
                      </c:pt>
                    </c:strCache>
                  </c:strRef>
                </c:tx>
                <c:spPr>
                  <a:solidFill>
                    <a:schemeClr val="accent5"/>
                  </a:solidFill>
                </c:spPr>
                <c:invertIfNegative val="0"/>
                <c:cat>
                  <c:strRef>
                    <c:extLst>
                      <c:ext uri="{02D57815-91ED-43cb-92C2-25804820EDAC}">
                        <c15:formulaRef>
                          <c15:sqref>Dashboard!$M$95:$M$95</c15:sqref>
                        </c15:formulaRef>
                      </c:ext>
                    </c:extLst>
                    <c:strCache>
                      <c:ptCount val="1"/>
                      <c:pt idx="0">
                        <c:v>Worker, No Gloves</c:v>
                      </c:pt>
                    </c:strCache>
                  </c:strRef>
                </c:cat>
                <c:val>
                  <c:numRef>
                    <c:extLst>
                      <c:ext uri="{02D57815-91ED-43cb-92C2-25804820EDAC}">
                        <c15:formulaRef>
                          <c15:sqref>Dashboard!$N$95:$N$95</c15:sqref>
                        </c15:formulaRef>
                      </c:ext>
                    </c:extLst>
                    <c:numCache>
                      <c:formatCode>0.00E+00</c:formatCode>
                      <c:ptCount val="1"/>
                      <c:pt idx="0">
                        <c:v>4.0016403597710763E-4</c:v>
                      </c:pt>
                    </c:numCache>
                  </c:numRef>
                </c:val>
                <c:extLst>
                  <c:ext xmlns:c16="http://schemas.microsoft.com/office/drawing/2014/chart" uri="{C3380CC4-5D6E-409C-BE32-E72D297353CC}">
                    <c16:uniqueId val="{00000000-6415-4C2F-B1BC-46D883723E2C}"/>
                  </c:ext>
                </c:extLst>
              </c15:ser>
            </c15:filteredBarSeries>
          </c:ext>
        </c:extLst>
      </c:barChart>
      <c:scatterChart>
        <c:scatterStyle val="lineMarker"/>
        <c:varyColors val="0"/>
        <c:ser>
          <c:idx val="3"/>
          <c:order val="4"/>
          <c:tx>
            <c:v>1.00E-04</c:v>
          </c:tx>
          <c:spPr>
            <a:ln w="28575" cap="rnd">
              <a:solidFill>
                <a:srgbClr val="FF0000"/>
              </a:solidFill>
              <a:round/>
            </a:ln>
            <a:effectLst/>
          </c:spPr>
          <c:marker>
            <c:symbol val="none"/>
          </c:marker>
          <c:xVal>
            <c:numLit>
              <c:formatCode>General</c:formatCode>
              <c:ptCount val="6"/>
              <c:pt idx="0">
                <c:v>1E-4</c:v>
              </c:pt>
              <c:pt idx="1">
                <c:v>1E-4</c:v>
              </c:pt>
              <c:pt idx="2">
                <c:v>1E-4</c:v>
              </c:pt>
              <c:pt idx="3">
                <c:v>1E-4</c:v>
              </c:pt>
              <c:pt idx="4">
                <c:v>1E-4</c:v>
              </c:pt>
              <c:pt idx="5">
                <c:v>1E-4</c:v>
              </c:pt>
            </c:numLit>
          </c:xVal>
          <c:yVal>
            <c:numLit>
              <c:formatCode>General</c:formatCode>
              <c:ptCount val="6"/>
              <c:pt idx="0">
                <c:v>7</c:v>
              </c:pt>
              <c:pt idx="1">
                <c:v>5</c:v>
              </c:pt>
              <c:pt idx="2">
                <c:v>4</c:v>
              </c:pt>
              <c:pt idx="3">
                <c:v>3</c:v>
              </c:pt>
              <c:pt idx="4">
                <c:v>2</c:v>
              </c:pt>
              <c:pt idx="5">
                <c:v>0</c:v>
              </c:pt>
            </c:numLit>
          </c:yVal>
          <c:smooth val="0"/>
          <c:extLst>
            <c:ext xmlns:c16="http://schemas.microsoft.com/office/drawing/2014/chart" uri="{C3380CC4-5D6E-409C-BE32-E72D297353CC}">
              <c16:uniqueId val="{00000004-6415-4C2F-B1BC-46D883723E2C}"/>
            </c:ext>
          </c:extLst>
        </c:ser>
        <c:dLbls>
          <c:showLegendKey val="0"/>
          <c:showVal val="0"/>
          <c:showCatName val="0"/>
          <c:showSerName val="0"/>
          <c:showPercent val="0"/>
          <c:showBubbleSize val="0"/>
        </c:dLbls>
        <c:axId val="599810312"/>
        <c:axId val="599814248"/>
        <c:extLst>
          <c:ext xmlns:c15="http://schemas.microsoft.com/office/drawing/2012/chart" uri="{02D57815-91ED-43cb-92C2-25804820EDAC}">
            <c15:filteredScatterSeries>
              <c15:ser>
                <c:idx val="1"/>
                <c:order val="2"/>
                <c:tx>
                  <c:v>1.00E-06</c:v>
                </c:tx>
                <c:spPr>
                  <a:ln w="28575" cap="rnd">
                    <a:solidFill>
                      <a:srgbClr val="FF0000"/>
                    </a:solidFill>
                    <a:round/>
                  </a:ln>
                  <a:effectLst/>
                </c:spPr>
                <c:marker>
                  <c:symbol val="none"/>
                </c:marker>
                <c:xVal>
                  <c:numLit>
                    <c:formatCode>General</c:formatCode>
                    <c:ptCount val="6"/>
                    <c:pt idx="0">
                      <c:v>9.9999999999999995E-7</c:v>
                    </c:pt>
                    <c:pt idx="1">
                      <c:v>9.9999999999999995E-7</c:v>
                    </c:pt>
                    <c:pt idx="2">
                      <c:v>9.9999999999999995E-7</c:v>
                    </c:pt>
                    <c:pt idx="3">
                      <c:v>9.9999999999999995E-7</c:v>
                    </c:pt>
                    <c:pt idx="4">
                      <c:v>9.9999999999999995E-7</c:v>
                    </c:pt>
                    <c:pt idx="5">
                      <c:v>9.9999999999999995E-7</c:v>
                    </c:pt>
                  </c:numLit>
                </c:xVal>
                <c:yVal>
                  <c:numLit>
                    <c:formatCode>General</c:formatCode>
                    <c:ptCount val="6"/>
                    <c:pt idx="0">
                      <c:v>7</c:v>
                    </c:pt>
                    <c:pt idx="1">
                      <c:v>5</c:v>
                    </c:pt>
                    <c:pt idx="2">
                      <c:v>4</c:v>
                    </c:pt>
                    <c:pt idx="3">
                      <c:v>3</c:v>
                    </c:pt>
                    <c:pt idx="4">
                      <c:v>2</c:v>
                    </c:pt>
                    <c:pt idx="5">
                      <c:v>0</c:v>
                    </c:pt>
                  </c:numLit>
                </c:yVal>
                <c:smooth val="0"/>
                <c:extLst>
                  <c:ext xmlns:c16="http://schemas.microsoft.com/office/drawing/2014/chart" uri="{C3380CC4-5D6E-409C-BE32-E72D297353CC}">
                    <c16:uniqueId val="{00000002-6415-4C2F-B1BC-46D883723E2C}"/>
                  </c:ext>
                </c:extLst>
              </c15:ser>
            </c15:filteredScatterSeries>
            <c15:filteredScatterSeries>
              <c15:ser>
                <c:idx val="2"/>
                <c:order val="3"/>
                <c:tx>
                  <c:v>1.00E-05</c:v>
                </c:tx>
                <c:spPr>
                  <a:ln w="28575" cap="rnd">
                    <a:solidFill>
                      <a:srgbClr val="FF0000"/>
                    </a:solidFill>
                    <a:round/>
                  </a:ln>
                  <a:effectLst/>
                </c:spPr>
                <c:marker>
                  <c:symbol val="none"/>
                </c:marker>
                <c:xVal>
                  <c:numLit>
                    <c:formatCode>General</c:formatCode>
                    <c:ptCount val="6"/>
                    <c:pt idx="0">
                      <c:v>1.0000000000000001E-5</c:v>
                    </c:pt>
                    <c:pt idx="1">
                      <c:v>1.0000000000000001E-5</c:v>
                    </c:pt>
                    <c:pt idx="2">
                      <c:v>1.0000000000000001E-5</c:v>
                    </c:pt>
                    <c:pt idx="3">
                      <c:v>1.0000000000000001E-5</c:v>
                    </c:pt>
                    <c:pt idx="4">
                      <c:v>1.0000000000000001E-5</c:v>
                    </c:pt>
                    <c:pt idx="5">
                      <c:v>1.0000000000000001E-5</c:v>
                    </c:pt>
                  </c:numLit>
                </c:xVal>
                <c:yVal>
                  <c:numLit>
                    <c:formatCode>General</c:formatCode>
                    <c:ptCount val="6"/>
                    <c:pt idx="0">
                      <c:v>7</c:v>
                    </c:pt>
                    <c:pt idx="1">
                      <c:v>5</c:v>
                    </c:pt>
                    <c:pt idx="2">
                      <c:v>4</c:v>
                    </c:pt>
                    <c:pt idx="3">
                      <c:v>3</c:v>
                    </c:pt>
                    <c:pt idx="4">
                      <c:v>2</c:v>
                    </c:pt>
                    <c:pt idx="5">
                      <c:v>0</c:v>
                    </c:pt>
                  </c:numLit>
                </c:yVal>
                <c:smooth val="0"/>
                <c:extLst xmlns:c15="http://schemas.microsoft.com/office/drawing/2012/chart">
                  <c:ext xmlns:c16="http://schemas.microsoft.com/office/drawing/2014/chart" uri="{C3380CC4-5D6E-409C-BE32-E72D297353CC}">
                    <c16:uniqueId val="{00000003-6415-4C2F-B1BC-46D883723E2C}"/>
                  </c:ext>
                </c:extLst>
              </c15:ser>
            </c15:filteredScatterSeries>
          </c:ext>
        </c:extLst>
      </c:scatterChart>
      <c:catAx>
        <c:axId val="58006280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0066744"/>
        <c:crosses val="autoZero"/>
        <c:auto val="1"/>
        <c:lblAlgn val="ctr"/>
        <c:lblOffset val="100"/>
        <c:noMultiLvlLbl val="0"/>
      </c:catAx>
      <c:valAx>
        <c:axId val="580066744"/>
        <c:scaling>
          <c:logBase val="10"/>
          <c:orientation val="minMax"/>
          <c:min val="1.0000000000000005E-7"/>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excess risk per million</a:t>
                </a:r>
              </a:p>
            </c:rich>
          </c:tx>
          <c:layout>
            <c:manualLayout>
              <c:xMode val="edge"/>
              <c:yMode val="edge"/>
              <c:x val="0.36584643797039879"/>
              <c:y val="0.91033093796437237"/>
            </c:manualLayout>
          </c:layout>
          <c:overlay val="0"/>
          <c:spPr>
            <a:noFill/>
            <a:ln>
              <a:noFill/>
            </a:ln>
            <a:effectLst/>
          </c:spPr>
        </c:title>
        <c:numFmt formatCode="0.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0062808"/>
        <c:crosses val="autoZero"/>
        <c:crossBetween val="between"/>
      </c:valAx>
      <c:valAx>
        <c:axId val="599814248"/>
        <c:scaling>
          <c:orientation val="minMax"/>
          <c:max val="7"/>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599810312"/>
        <c:crosses val="autoZero"/>
        <c:crossBetween val="midCat"/>
      </c:valAx>
      <c:valAx>
        <c:axId val="599810312"/>
        <c:scaling>
          <c:logBase val="10"/>
          <c:orientation val="minMax"/>
          <c:max val="1"/>
          <c:min val="1.0000000000000005E-7"/>
        </c:scaling>
        <c:delete val="0"/>
        <c:axPos val="t"/>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599814248"/>
        <c:crosses val="max"/>
        <c:crossBetween val="midCat"/>
      </c:valAx>
      <c:spPr>
        <a:noFill/>
        <a:ln>
          <a:solidFill>
            <a:schemeClr val="bg1">
              <a:lumMod val="85000"/>
            </a:schemeClr>
          </a:solidFill>
        </a:ln>
        <a:effectLst/>
      </c:spPr>
    </c:plotArea>
    <c:legend>
      <c:legendPos val="r"/>
      <c:layout>
        <c:manualLayout>
          <c:xMode val="edge"/>
          <c:yMode val="edge"/>
          <c:x val="0.80461981541828131"/>
          <c:y val="0.35022486721558838"/>
          <c:w val="0.18443302702841707"/>
          <c:h val="6.8627051543487166E-2"/>
        </c:manualLayout>
      </c:layout>
      <c:overlay val="0"/>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"Inhalation Cancer Risk Estimates"</c:f>
          <c:strCache>
            <c:ptCount val="1"/>
            <c:pt idx="0">
              <c:v>Inhalation Cancer Risk Estimates</c:v>
            </c:pt>
          </c:strCache>
        </c:strRef>
      </c:tx>
      <c:layout>
        <c:manualLayout>
          <c:xMode val="edge"/>
          <c:yMode val="edge"/>
          <c:x val="0.35379421156466734"/>
          <c:y val="5.11888663077683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9150842647774607"/>
          <c:y val="0.21054931230848406"/>
          <c:w val="0.63729288181961663"/>
          <c:h val="0.60596785221581506"/>
        </c:manualLayout>
      </c:layout>
      <c:barChart>
        <c:barDir val="bar"/>
        <c:grouping val="stacked"/>
        <c:varyColors val="0"/>
        <c:ser>
          <c:idx val="5"/>
          <c:order val="0"/>
          <c:tx>
            <c:strRef>
              <c:f>'Risk Reduction'!$I$63</c:f>
              <c:strCache>
                <c:ptCount val="1"/>
                <c:pt idx="0">
                  <c:v>Central Tendency</c:v>
                </c:pt>
              </c:strCache>
            </c:strRef>
          </c:tx>
          <c:spPr>
            <a:solidFill>
              <a:schemeClr val="accent5"/>
            </a:solidFill>
            <a:ln w="25400">
              <a:noFill/>
            </a:ln>
            <a:effectLst/>
          </c:spPr>
          <c:invertIfNegative val="0"/>
          <c:cat>
            <c:strRef>
              <c:f>'Risk Reduction'!$H$64:$H$69</c:f>
              <c:strCache>
                <c:ptCount val="6"/>
                <c:pt idx="0">
                  <c:v>No Respirator</c:v>
                </c:pt>
                <c:pt idx="1">
                  <c:v>APF = 10</c:v>
                </c:pt>
                <c:pt idx="2">
                  <c:v>APF = 25</c:v>
                </c:pt>
                <c:pt idx="3">
                  <c:v>APF = 50</c:v>
                </c:pt>
                <c:pt idx="4">
                  <c:v>APF = 1,000</c:v>
                </c:pt>
                <c:pt idx="5">
                  <c:v>APF = 10,000</c:v>
                </c:pt>
              </c:strCache>
            </c:strRef>
          </c:cat>
          <c:val>
            <c:numRef>
              <c:f>'Risk Reduction'!$I$64:$I$69</c:f>
              <c:numCache>
                <c:formatCode>0.00E+00</c:formatCode>
                <c:ptCount val="6"/>
                <c:pt idx="0">
                  <c:v>1.4697539674365302E-6</c:v>
                </c:pt>
                <c:pt idx="1">
                  <c:v>1.4697539674365301E-7</c:v>
                </c:pt>
                <c:pt idx="2">
                  <c:v>5.8790158697461206E-8</c:v>
                </c:pt>
                <c:pt idx="3">
                  <c:v>2.9395079348730603E-8</c:v>
                </c:pt>
                <c:pt idx="4">
                  <c:v>1.4697539674365302E-9</c:v>
                </c:pt>
                <c:pt idx="5">
                  <c:v>1.4697539674365302E-10</c:v>
                </c:pt>
              </c:numCache>
            </c:numRef>
          </c:val>
          <c:extLst>
            <c:ext xmlns:c16="http://schemas.microsoft.com/office/drawing/2014/chart" uri="{C3380CC4-5D6E-409C-BE32-E72D297353CC}">
              <c16:uniqueId val="{00000013-2530-4F3A-BEDF-BB24B328CDF4}"/>
            </c:ext>
          </c:extLst>
        </c:ser>
        <c:dLbls>
          <c:showLegendKey val="0"/>
          <c:showVal val="0"/>
          <c:showCatName val="0"/>
          <c:showSerName val="0"/>
          <c:showPercent val="0"/>
          <c:showBubbleSize val="0"/>
        </c:dLbls>
        <c:gapWidth val="150"/>
        <c:overlap val="100"/>
        <c:axId val="580062808"/>
        <c:axId val="580066744"/>
        <c:extLst>
          <c:ext xmlns:c15="http://schemas.microsoft.com/office/drawing/2012/chart" uri="{02D57815-91ED-43cb-92C2-25804820EDAC}">
            <c15:filteredBarSeries>
              <c15:ser>
                <c:idx val="6"/>
                <c:order val="1"/>
                <c:tx>
                  <c:strRef>
                    <c:extLst>
                      <c:ext uri="{02D57815-91ED-43cb-92C2-25804820EDAC}">
                        <c15:formulaRef>
                          <c15:sqref>'Risk Reduction'!$J$63</c15:sqref>
                        </c15:formulaRef>
                      </c:ext>
                    </c:extLst>
                    <c:strCache>
                      <c:ptCount val="1"/>
                      <c:pt idx="0">
                        <c:v>High End</c:v>
                      </c:pt>
                    </c:strCache>
                  </c:strRef>
                </c:tx>
                <c:spPr>
                  <a:solidFill>
                    <a:schemeClr val="accent5">
                      <a:lumMod val="75000"/>
                    </a:schemeClr>
                  </a:solidFill>
                  <a:ln>
                    <a:noFill/>
                  </a:ln>
                  <a:effectLst/>
                </c:spPr>
                <c:invertIfNegative val="0"/>
                <c:cat>
                  <c:strRef>
                    <c:extLst>
                      <c:ext uri="{02D57815-91ED-43cb-92C2-25804820EDAC}">
                        <c15:formulaRef>
                          <c15:sqref>'Risk Reduction'!$H$64:$H$69</c15:sqref>
                        </c15:formulaRef>
                      </c:ext>
                    </c:extLst>
                    <c:strCache>
                      <c:ptCount val="6"/>
                      <c:pt idx="0">
                        <c:v>No Respirator</c:v>
                      </c:pt>
                      <c:pt idx="1">
                        <c:v>APF = 10</c:v>
                      </c:pt>
                      <c:pt idx="2">
                        <c:v>APF = 25</c:v>
                      </c:pt>
                      <c:pt idx="3">
                        <c:v>APF = 50</c:v>
                      </c:pt>
                      <c:pt idx="4">
                        <c:v>APF = 1,000</c:v>
                      </c:pt>
                      <c:pt idx="5">
                        <c:v>APF = 10,000</c:v>
                      </c:pt>
                    </c:strCache>
                  </c:strRef>
                </c:cat>
                <c:val>
                  <c:numRef>
                    <c:extLst>
                      <c:ext uri="{02D57815-91ED-43cb-92C2-25804820EDAC}">
                        <c15:formulaRef>
                          <c15:sqref>'Risk Reduction'!$J$64:$J$69</c15:sqref>
                        </c15:formulaRef>
                      </c:ext>
                    </c:extLst>
                    <c:numCache>
                      <c:formatCode>0.00E+00</c:formatCode>
                      <c:ptCount val="6"/>
                      <c:pt idx="0">
                        <c:v>5.5434889094380294E-6</c:v>
                      </c:pt>
                      <c:pt idx="1">
                        <c:v>5.543488909438029E-7</c:v>
                      </c:pt>
                      <c:pt idx="2">
                        <c:v>2.2173955637752118E-7</c:v>
                      </c:pt>
                      <c:pt idx="3">
                        <c:v>1.1086977818876059E-7</c:v>
                      </c:pt>
                      <c:pt idx="4">
                        <c:v>5.5434889094380298E-9</c:v>
                      </c:pt>
                      <c:pt idx="5">
                        <c:v>5.5434889094380292E-10</c:v>
                      </c:pt>
                    </c:numCache>
                  </c:numRef>
                </c:val>
                <c:extLst>
                  <c:ext xmlns:c16="http://schemas.microsoft.com/office/drawing/2014/chart" uri="{C3380CC4-5D6E-409C-BE32-E72D297353CC}">
                    <c16:uniqueId val="{00000014-2530-4F3A-BEDF-BB24B328CDF4}"/>
                  </c:ext>
                </c:extLst>
              </c15:ser>
            </c15:filteredBarSeries>
          </c:ext>
        </c:extLst>
      </c:barChart>
      <c:scatterChart>
        <c:scatterStyle val="lineMarker"/>
        <c:varyColors val="0"/>
        <c:ser>
          <c:idx val="1"/>
          <c:order val="2"/>
          <c:tx>
            <c:v>1.00E-06</c:v>
          </c:tx>
          <c:spPr>
            <a:ln w="28575" cap="rnd">
              <a:solidFill>
                <a:srgbClr val="FF0000"/>
              </a:solidFill>
              <a:round/>
            </a:ln>
            <a:effectLst/>
          </c:spPr>
          <c:marker>
            <c:symbol val="none"/>
          </c:marker>
          <c:xVal>
            <c:numLit>
              <c:formatCode>General</c:formatCode>
              <c:ptCount val="6"/>
              <c:pt idx="0">
                <c:v>9.9999999999999995E-7</c:v>
              </c:pt>
              <c:pt idx="1">
                <c:v>9.9999999999999995E-7</c:v>
              </c:pt>
              <c:pt idx="2">
                <c:v>9.9999999999999995E-7</c:v>
              </c:pt>
              <c:pt idx="3">
                <c:v>9.9999999999999995E-7</c:v>
              </c:pt>
              <c:pt idx="4">
                <c:v>9.9999999999999995E-7</c:v>
              </c:pt>
              <c:pt idx="5">
                <c:v>9.9999999999999995E-7</c:v>
              </c:pt>
            </c:numLit>
          </c:xVal>
          <c:yVal>
            <c:numLit>
              <c:formatCode>General</c:formatCode>
              <c:ptCount val="6"/>
              <c:pt idx="0">
                <c:v>7</c:v>
              </c:pt>
              <c:pt idx="1">
                <c:v>5</c:v>
              </c:pt>
              <c:pt idx="2">
                <c:v>4</c:v>
              </c:pt>
              <c:pt idx="3">
                <c:v>3</c:v>
              </c:pt>
              <c:pt idx="4">
                <c:v>2</c:v>
              </c:pt>
              <c:pt idx="5">
                <c:v>0</c:v>
              </c:pt>
            </c:numLit>
          </c:yVal>
          <c:smooth val="0"/>
          <c:extLst>
            <c:ext xmlns:c16="http://schemas.microsoft.com/office/drawing/2014/chart" uri="{C3380CC4-5D6E-409C-BE32-E72D297353CC}">
              <c16:uniqueId val="{0000000E-2530-4F3A-BEDF-BB24B328CDF4}"/>
            </c:ext>
          </c:extLst>
        </c:ser>
        <c:ser>
          <c:idx val="2"/>
          <c:order val="3"/>
          <c:tx>
            <c:v>1.00E-05</c:v>
          </c:tx>
          <c:spPr>
            <a:ln w="28575" cap="rnd">
              <a:solidFill>
                <a:srgbClr val="FF0000"/>
              </a:solidFill>
              <a:round/>
            </a:ln>
            <a:effectLst/>
          </c:spPr>
          <c:marker>
            <c:symbol val="none"/>
          </c:marker>
          <c:xVal>
            <c:numLit>
              <c:formatCode>General</c:formatCode>
              <c:ptCount val="6"/>
              <c:pt idx="0">
                <c:v>1.0000000000000001E-5</c:v>
              </c:pt>
              <c:pt idx="1">
                <c:v>1.0000000000000001E-5</c:v>
              </c:pt>
              <c:pt idx="2">
                <c:v>1.0000000000000001E-5</c:v>
              </c:pt>
              <c:pt idx="3">
                <c:v>1.0000000000000001E-5</c:v>
              </c:pt>
              <c:pt idx="4">
                <c:v>1.0000000000000001E-5</c:v>
              </c:pt>
              <c:pt idx="5">
                <c:v>1.0000000000000001E-5</c:v>
              </c:pt>
            </c:numLit>
          </c:xVal>
          <c:yVal>
            <c:numLit>
              <c:formatCode>General</c:formatCode>
              <c:ptCount val="6"/>
              <c:pt idx="0">
                <c:v>7</c:v>
              </c:pt>
              <c:pt idx="1">
                <c:v>5</c:v>
              </c:pt>
              <c:pt idx="2">
                <c:v>4</c:v>
              </c:pt>
              <c:pt idx="3">
                <c:v>3</c:v>
              </c:pt>
              <c:pt idx="4">
                <c:v>2</c:v>
              </c:pt>
              <c:pt idx="5">
                <c:v>0</c:v>
              </c:pt>
            </c:numLit>
          </c:yVal>
          <c:smooth val="0"/>
          <c:extLst>
            <c:ext xmlns:c16="http://schemas.microsoft.com/office/drawing/2014/chart" uri="{C3380CC4-5D6E-409C-BE32-E72D297353CC}">
              <c16:uniqueId val="{00000010-2530-4F3A-BEDF-BB24B328CDF4}"/>
            </c:ext>
          </c:extLst>
        </c:ser>
        <c:ser>
          <c:idx val="3"/>
          <c:order val="4"/>
          <c:tx>
            <c:v>1.00E-04</c:v>
          </c:tx>
          <c:spPr>
            <a:ln w="28575" cap="rnd">
              <a:solidFill>
                <a:srgbClr val="FF0000"/>
              </a:solidFill>
              <a:round/>
            </a:ln>
            <a:effectLst/>
          </c:spPr>
          <c:marker>
            <c:symbol val="none"/>
          </c:marker>
          <c:xVal>
            <c:numLit>
              <c:formatCode>General</c:formatCode>
              <c:ptCount val="6"/>
              <c:pt idx="0">
                <c:v>1E-4</c:v>
              </c:pt>
              <c:pt idx="1">
                <c:v>1E-4</c:v>
              </c:pt>
              <c:pt idx="2">
                <c:v>1E-4</c:v>
              </c:pt>
              <c:pt idx="3">
                <c:v>1E-4</c:v>
              </c:pt>
              <c:pt idx="4">
                <c:v>1E-4</c:v>
              </c:pt>
              <c:pt idx="5">
                <c:v>1E-4</c:v>
              </c:pt>
            </c:numLit>
          </c:xVal>
          <c:yVal>
            <c:numLit>
              <c:formatCode>General</c:formatCode>
              <c:ptCount val="6"/>
              <c:pt idx="0">
                <c:v>7</c:v>
              </c:pt>
              <c:pt idx="1">
                <c:v>5</c:v>
              </c:pt>
              <c:pt idx="2">
                <c:v>4</c:v>
              </c:pt>
              <c:pt idx="3">
                <c:v>3</c:v>
              </c:pt>
              <c:pt idx="4">
                <c:v>2</c:v>
              </c:pt>
              <c:pt idx="5">
                <c:v>0</c:v>
              </c:pt>
            </c:numLit>
          </c:yVal>
          <c:smooth val="0"/>
          <c:extLst>
            <c:ext xmlns:c16="http://schemas.microsoft.com/office/drawing/2014/chart" uri="{C3380CC4-5D6E-409C-BE32-E72D297353CC}">
              <c16:uniqueId val="{00000012-2530-4F3A-BEDF-BB24B328CDF4}"/>
            </c:ext>
          </c:extLst>
        </c:ser>
        <c:dLbls>
          <c:showLegendKey val="0"/>
          <c:showVal val="0"/>
          <c:showCatName val="0"/>
          <c:showSerName val="0"/>
          <c:showPercent val="0"/>
          <c:showBubbleSize val="0"/>
        </c:dLbls>
        <c:axId val="599810312"/>
        <c:axId val="599814248"/>
      </c:scatterChart>
      <c:catAx>
        <c:axId val="58006280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0066744"/>
        <c:crosses val="autoZero"/>
        <c:auto val="1"/>
        <c:lblAlgn val="ctr"/>
        <c:lblOffset val="100"/>
        <c:noMultiLvlLbl val="0"/>
      </c:catAx>
      <c:valAx>
        <c:axId val="580066744"/>
        <c:scaling>
          <c:logBase val="10"/>
          <c:orientation val="minMax"/>
          <c:min val="1.0000000000000005E-7"/>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excess risk per million</a:t>
                </a:r>
              </a:p>
            </c:rich>
          </c:tx>
          <c:layout>
            <c:manualLayout>
              <c:xMode val="edge"/>
              <c:yMode val="edge"/>
              <c:x val="0.36584643797039879"/>
              <c:y val="0.9103309379643723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0062808"/>
        <c:crosses val="autoZero"/>
        <c:crossBetween val="between"/>
      </c:valAx>
      <c:valAx>
        <c:axId val="599814248"/>
        <c:scaling>
          <c:orientation val="minMax"/>
          <c:max val="7"/>
        </c:scaling>
        <c:delete val="1"/>
        <c:axPos val="l"/>
        <c:numFmt formatCode="General" sourceLinked="1"/>
        <c:majorTickMark val="out"/>
        <c:minorTickMark val="none"/>
        <c:tickLblPos val="nextTo"/>
        <c:crossAx val="599810312"/>
        <c:crosses val="autoZero"/>
        <c:crossBetween val="midCat"/>
      </c:valAx>
      <c:valAx>
        <c:axId val="599810312"/>
        <c:scaling>
          <c:logBase val="10"/>
          <c:orientation val="minMax"/>
          <c:max val="1"/>
          <c:min val="1.0000000000000005E-7"/>
        </c:scaling>
        <c:delete val="0"/>
        <c:axPos val="t"/>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599814248"/>
        <c:crosses val="max"/>
        <c:crossBetween val="midCat"/>
      </c:valAx>
      <c:spPr>
        <a:noFill/>
        <a:ln>
          <a:solidFill>
            <a:schemeClr val="bg1">
              <a:lumMod val="85000"/>
            </a:schemeClr>
          </a:solidFill>
        </a:ln>
        <a:effectLst/>
      </c:spPr>
    </c:plotArea>
    <c:legend>
      <c:legendPos val="r"/>
      <c:legendEntry>
        <c:idx val="1"/>
        <c:delete val="1"/>
      </c:legendEntry>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"Dermal Cancer Risk Estimates"</c:f>
          <c:strCache>
            <c:ptCount val="1"/>
            <c:pt idx="0">
              <c:v>Dermal Cancer Risk Estimates</c:v>
            </c:pt>
          </c:strCache>
        </c:strRef>
      </c:tx>
      <c:layout>
        <c:manualLayout>
          <c:xMode val="edge"/>
          <c:yMode val="edge"/>
          <c:x val="0.36062458254174651"/>
          <c:y val="3.741425313188975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9150842647774607"/>
          <c:y val="0.21054931230848406"/>
          <c:w val="0.6036262753605407"/>
          <c:h val="0.62363785011424611"/>
        </c:manualLayout>
      </c:layout>
      <c:barChart>
        <c:barDir val="bar"/>
        <c:grouping val="stacked"/>
        <c:varyColors val="0"/>
        <c:ser>
          <c:idx val="4"/>
          <c:order val="0"/>
          <c:tx>
            <c:strRef>
              <c:f>'Risk Reduction'!$S$63</c:f>
              <c:strCache>
                <c:ptCount val="1"/>
                <c:pt idx="0">
                  <c:v>Central Tendency</c:v>
                </c:pt>
              </c:strCache>
            </c:strRef>
          </c:tx>
          <c:spPr>
            <a:solidFill>
              <a:schemeClr val="accent5"/>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46-C949-4D86-B295-E8CC3C4B6855}"/>
              </c:ext>
            </c:extLst>
          </c:dPt>
          <c:dPt>
            <c:idx val="1"/>
            <c:invertIfNegative val="0"/>
            <c:bubble3D val="0"/>
            <c:spPr>
              <a:solidFill>
                <a:schemeClr val="accent5"/>
              </a:solidFill>
              <a:ln>
                <a:noFill/>
              </a:ln>
              <a:effectLst/>
            </c:spPr>
            <c:extLst>
              <c:ext xmlns:c16="http://schemas.microsoft.com/office/drawing/2014/chart" uri="{C3380CC4-5D6E-409C-BE32-E72D297353CC}">
                <c16:uniqueId val="{00000047-C949-4D86-B295-E8CC3C4B6855}"/>
              </c:ext>
            </c:extLst>
          </c:dPt>
          <c:dPt>
            <c:idx val="2"/>
            <c:invertIfNegative val="0"/>
            <c:bubble3D val="0"/>
            <c:spPr>
              <a:solidFill>
                <a:schemeClr val="accent5"/>
              </a:solidFill>
              <a:ln>
                <a:noFill/>
              </a:ln>
              <a:effectLst/>
            </c:spPr>
            <c:extLst>
              <c:ext xmlns:c16="http://schemas.microsoft.com/office/drawing/2014/chart" uri="{C3380CC4-5D6E-409C-BE32-E72D297353CC}">
                <c16:uniqueId val="{00000048-C949-4D86-B295-E8CC3C4B6855}"/>
              </c:ext>
            </c:extLst>
          </c:dPt>
          <c:dPt>
            <c:idx val="3"/>
            <c:invertIfNegative val="0"/>
            <c:bubble3D val="0"/>
            <c:spPr>
              <a:solidFill>
                <a:schemeClr val="accent5"/>
              </a:solidFill>
              <a:ln>
                <a:noFill/>
              </a:ln>
              <a:effectLst/>
            </c:spPr>
            <c:extLst>
              <c:ext xmlns:c16="http://schemas.microsoft.com/office/drawing/2014/chart" uri="{C3380CC4-5D6E-409C-BE32-E72D297353CC}">
                <c16:uniqueId val="{00000049-C949-4D86-B295-E8CC3C4B6855}"/>
              </c:ext>
            </c:extLst>
          </c:dPt>
          <c:cat>
            <c:strRef>
              <c:f>'Risk Reduction'!$R$64:$R$67</c:f>
              <c:strCache>
                <c:ptCount val="4"/>
                <c:pt idx="0">
                  <c:v>No Gloves 
(PF = 1)</c:v>
                </c:pt>
                <c:pt idx="1">
                  <c:v>Protective Gloves 
(PF = 5)</c:v>
                </c:pt>
                <c:pt idx="2">
                  <c:v>Protective Gloves 
(Commercial uses, PF = 10)</c:v>
                </c:pt>
                <c:pt idx="3">
                  <c:v>Protective Gloves 
(Industrial uses, PF = 20)</c:v>
                </c:pt>
              </c:strCache>
            </c:strRef>
          </c:cat>
          <c:val>
            <c:numRef>
              <c:f>'Risk Reduction'!$S$64:$S$67</c:f>
              <c:numCache>
                <c:formatCode>0.00E+00</c:formatCode>
                <c:ptCount val="4"/>
                <c:pt idx="0">
                  <c:v>4.0072361988967171E-6</c:v>
                </c:pt>
                <c:pt idx="1">
                  <c:v>8.0144723977934338E-7</c:v>
                </c:pt>
                <c:pt idx="2">
                  <c:v>4.0072361988967169E-7</c:v>
                </c:pt>
                <c:pt idx="3">
                  <c:v>2.0036180994483584E-7</c:v>
                </c:pt>
              </c:numCache>
            </c:numRef>
          </c:val>
          <c:extLst>
            <c:ext xmlns:c16="http://schemas.microsoft.com/office/drawing/2014/chart" uri="{C3380CC4-5D6E-409C-BE32-E72D297353CC}">
              <c16:uniqueId val="{00000045-C949-4D86-B295-E8CC3C4B6855}"/>
            </c:ext>
          </c:extLst>
        </c:ser>
        <c:dLbls>
          <c:showLegendKey val="0"/>
          <c:showVal val="0"/>
          <c:showCatName val="0"/>
          <c:showSerName val="0"/>
          <c:showPercent val="0"/>
          <c:showBubbleSize val="0"/>
        </c:dLbls>
        <c:gapWidth val="182"/>
        <c:overlap val="100"/>
        <c:axId val="580062808"/>
        <c:axId val="580066744"/>
        <c:extLst>
          <c:ext xmlns:c15="http://schemas.microsoft.com/office/drawing/2012/chart" uri="{02D57815-91ED-43cb-92C2-25804820EDAC}">
            <c15:filteredBarSeries>
              <c15:ser>
                <c:idx val="5"/>
                <c:order val="1"/>
                <c:tx>
                  <c:strRef>
                    <c:extLst>
                      <c:ext uri="{02D57815-91ED-43cb-92C2-25804820EDAC}">
                        <c15:formulaRef>
                          <c15:sqref>'Risk Reduction'!$T$63</c15:sqref>
                        </c15:formulaRef>
                      </c:ext>
                    </c:extLst>
                    <c:strCache>
                      <c:ptCount val="1"/>
                      <c:pt idx="0">
                        <c:v>High End</c:v>
                      </c:pt>
                    </c:strCache>
                  </c:strRef>
                </c:tx>
                <c:spPr>
                  <a:solidFill>
                    <a:schemeClr val="accent5">
                      <a:lumMod val="75000"/>
                    </a:schemeClr>
                  </a:solidFill>
                  <a:ln>
                    <a:noFill/>
                  </a:ln>
                  <a:effectLst/>
                </c:spPr>
                <c:invertIfNegative val="0"/>
                <c:cat>
                  <c:strRef>
                    <c:extLst>
                      <c:ext uri="{02D57815-91ED-43cb-92C2-25804820EDAC}">
                        <c15:formulaRef>
                          <c15:sqref>'Risk Reduction'!$R$64:$R$67</c15:sqref>
                        </c15:formulaRef>
                      </c:ext>
                    </c:extLst>
                    <c:strCache>
                      <c:ptCount val="4"/>
                      <c:pt idx="0">
                        <c:v>No Gloves 
(PF = 1)</c:v>
                      </c:pt>
                      <c:pt idx="1">
                        <c:v>Protective Gloves 
(PF = 5)</c:v>
                      </c:pt>
                      <c:pt idx="2">
                        <c:v>Protective Gloves 
(Commercial uses, PF = 10)</c:v>
                      </c:pt>
                      <c:pt idx="3">
                        <c:v>Protective Gloves 
(Industrial uses, PF = 20)</c:v>
                      </c:pt>
                    </c:strCache>
                  </c:strRef>
                </c:cat>
                <c:val>
                  <c:numRef>
                    <c:extLst>
                      <c:ext uri="{02D57815-91ED-43cb-92C2-25804820EDAC}">
                        <c15:formulaRef>
                          <c15:sqref>'Risk Reduction'!$T$64:$T$67</c15:sqref>
                        </c15:formulaRef>
                      </c:ext>
                    </c:extLst>
                    <c:numCache>
                      <c:formatCode>0.00E+00</c:formatCode>
                      <c:ptCount val="4"/>
                      <c:pt idx="0">
                        <c:v>7.8221160084853961E-6</c:v>
                      </c:pt>
                      <c:pt idx="1">
                        <c:v>1.5644232016970793E-6</c:v>
                      </c:pt>
                      <c:pt idx="2">
                        <c:v>7.8221160084853965E-7</c:v>
                      </c:pt>
                      <c:pt idx="3">
                        <c:v>3.9110580042426983E-7</c:v>
                      </c:pt>
                    </c:numCache>
                  </c:numRef>
                </c:val>
                <c:extLst>
                  <c:ext xmlns:c16="http://schemas.microsoft.com/office/drawing/2014/chart" uri="{C3380CC4-5D6E-409C-BE32-E72D297353CC}">
                    <c16:uniqueId val="{0000004A-C949-4D86-B295-E8CC3C4B6855}"/>
                  </c:ext>
                </c:extLst>
              </c15:ser>
            </c15:filteredBarSeries>
          </c:ext>
        </c:extLst>
      </c:barChart>
      <c:scatterChart>
        <c:scatterStyle val="lineMarker"/>
        <c:varyColors val="0"/>
        <c:ser>
          <c:idx val="1"/>
          <c:order val="2"/>
          <c:tx>
            <c:v>1.00E-06</c:v>
          </c:tx>
          <c:spPr>
            <a:ln w="28575" cap="rnd">
              <a:solidFill>
                <a:srgbClr val="FF0000"/>
              </a:solidFill>
              <a:round/>
            </a:ln>
            <a:effectLst/>
          </c:spPr>
          <c:marker>
            <c:symbol val="none"/>
          </c:marker>
          <c:xVal>
            <c:numLit>
              <c:formatCode>General</c:formatCode>
              <c:ptCount val="6"/>
              <c:pt idx="0">
                <c:v>9.9999999999999995E-7</c:v>
              </c:pt>
              <c:pt idx="1">
                <c:v>9.9999999999999995E-7</c:v>
              </c:pt>
              <c:pt idx="2">
                <c:v>9.9999999999999995E-7</c:v>
              </c:pt>
              <c:pt idx="3">
                <c:v>9.9999999999999995E-7</c:v>
              </c:pt>
              <c:pt idx="4">
                <c:v>9.9999999999999995E-7</c:v>
              </c:pt>
              <c:pt idx="5">
                <c:v>9.9999999999999995E-7</c:v>
              </c:pt>
            </c:numLit>
          </c:xVal>
          <c:yVal>
            <c:numLit>
              <c:formatCode>General</c:formatCode>
              <c:ptCount val="6"/>
              <c:pt idx="0">
                <c:v>7</c:v>
              </c:pt>
              <c:pt idx="1">
                <c:v>5</c:v>
              </c:pt>
              <c:pt idx="2">
                <c:v>4</c:v>
              </c:pt>
              <c:pt idx="3">
                <c:v>3</c:v>
              </c:pt>
              <c:pt idx="4">
                <c:v>2</c:v>
              </c:pt>
              <c:pt idx="5">
                <c:v>0</c:v>
              </c:pt>
            </c:numLit>
          </c:yVal>
          <c:smooth val="0"/>
          <c:extLst>
            <c:ext xmlns:c16="http://schemas.microsoft.com/office/drawing/2014/chart" uri="{C3380CC4-5D6E-409C-BE32-E72D297353CC}">
              <c16:uniqueId val="{00000040-C949-4D86-B295-E8CC3C4B6855}"/>
            </c:ext>
          </c:extLst>
        </c:ser>
        <c:ser>
          <c:idx val="2"/>
          <c:order val="3"/>
          <c:tx>
            <c:v>1.00E-05</c:v>
          </c:tx>
          <c:spPr>
            <a:ln w="28575" cap="rnd">
              <a:solidFill>
                <a:srgbClr val="FF0000"/>
              </a:solidFill>
              <a:round/>
            </a:ln>
            <a:effectLst/>
          </c:spPr>
          <c:marker>
            <c:symbol val="none"/>
          </c:marker>
          <c:xVal>
            <c:numLit>
              <c:formatCode>General</c:formatCode>
              <c:ptCount val="6"/>
              <c:pt idx="0">
                <c:v>1.0000000000000001E-5</c:v>
              </c:pt>
              <c:pt idx="1">
                <c:v>1.0000000000000001E-5</c:v>
              </c:pt>
              <c:pt idx="2">
                <c:v>1.0000000000000001E-5</c:v>
              </c:pt>
              <c:pt idx="3">
                <c:v>1.0000000000000001E-5</c:v>
              </c:pt>
              <c:pt idx="4">
                <c:v>1.0000000000000001E-5</c:v>
              </c:pt>
              <c:pt idx="5">
                <c:v>1.0000000000000001E-5</c:v>
              </c:pt>
            </c:numLit>
          </c:xVal>
          <c:yVal>
            <c:numLit>
              <c:formatCode>General</c:formatCode>
              <c:ptCount val="6"/>
              <c:pt idx="0">
                <c:v>7</c:v>
              </c:pt>
              <c:pt idx="1">
                <c:v>5</c:v>
              </c:pt>
              <c:pt idx="2">
                <c:v>4</c:v>
              </c:pt>
              <c:pt idx="3">
                <c:v>3</c:v>
              </c:pt>
              <c:pt idx="4">
                <c:v>2</c:v>
              </c:pt>
              <c:pt idx="5">
                <c:v>0</c:v>
              </c:pt>
            </c:numLit>
          </c:yVal>
          <c:smooth val="0"/>
          <c:extLst>
            <c:ext xmlns:c16="http://schemas.microsoft.com/office/drawing/2014/chart" uri="{C3380CC4-5D6E-409C-BE32-E72D297353CC}">
              <c16:uniqueId val="{00000042-C949-4D86-B295-E8CC3C4B6855}"/>
            </c:ext>
          </c:extLst>
        </c:ser>
        <c:ser>
          <c:idx val="3"/>
          <c:order val="4"/>
          <c:tx>
            <c:v>1.00E-04</c:v>
          </c:tx>
          <c:spPr>
            <a:ln w="28575" cap="rnd">
              <a:solidFill>
                <a:srgbClr val="FF0000"/>
              </a:solidFill>
              <a:round/>
            </a:ln>
            <a:effectLst/>
          </c:spPr>
          <c:marker>
            <c:symbol val="none"/>
          </c:marker>
          <c:xVal>
            <c:numLit>
              <c:formatCode>General</c:formatCode>
              <c:ptCount val="6"/>
              <c:pt idx="0">
                <c:v>1E-4</c:v>
              </c:pt>
              <c:pt idx="1">
                <c:v>1E-4</c:v>
              </c:pt>
              <c:pt idx="2">
                <c:v>1E-4</c:v>
              </c:pt>
              <c:pt idx="3">
                <c:v>1E-4</c:v>
              </c:pt>
              <c:pt idx="4">
                <c:v>1E-4</c:v>
              </c:pt>
              <c:pt idx="5">
                <c:v>1E-4</c:v>
              </c:pt>
            </c:numLit>
          </c:xVal>
          <c:yVal>
            <c:numLit>
              <c:formatCode>General</c:formatCode>
              <c:ptCount val="6"/>
              <c:pt idx="0">
                <c:v>7</c:v>
              </c:pt>
              <c:pt idx="1">
                <c:v>5</c:v>
              </c:pt>
              <c:pt idx="2">
                <c:v>4</c:v>
              </c:pt>
              <c:pt idx="3">
                <c:v>3</c:v>
              </c:pt>
              <c:pt idx="4">
                <c:v>2</c:v>
              </c:pt>
              <c:pt idx="5">
                <c:v>0</c:v>
              </c:pt>
            </c:numLit>
          </c:yVal>
          <c:smooth val="0"/>
          <c:extLst>
            <c:ext xmlns:c16="http://schemas.microsoft.com/office/drawing/2014/chart" uri="{C3380CC4-5D6E-409C-BE32-E72D297353CC}">
              <c16:uniqueId val="{00000044-C949-4D86-B295-E8CC3C4B6855}"/>
            </c:ext>
          </c:extLst>
        </c:ser>
        <c:dLbls>
          <c:showLegendKey val="0"/>
          <c:showVal val="0"/>
          <c:showCatName val="0"/>
          <c:showSerName val="0"/>
          <c:showPercent val="0"/>
          <c:showBubbleSize val="0"/>
        </c:dLbls>
        <c:axId val="599810312"/>
        <c:axId val="599814248"/>
      </c:scatterChart>
      <c:catAx>
        <c:axId val="58006280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80066744"/>
        <c:crosses val="autoZero"/>
        <c:auto val="1"/>
        <c:lblAlgn val="ctr"/>
        <c:lblOffset val="100"/>
        <c:noMultiLvlLbl val="0"/>
      </c:catAx>
      <c:valAx>
        <c:axId val="580066744"/>
        <c:scaling>
          <c:logBase val="10"/>
          <c:orientation val="minMax"/>
          <c:min val="1.0000000000000005E-7"/>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excess risk per million</a:t>
                </a:r>
              </a:p>
            </c:rich>
          </c:tx>
          <c:layout>
            <c:manualLayout>
              <c:xMode val="edge"/>
              <c:yMode val="edge"/>
              <c:x val="0.36584643797039879"/>
              <c:y val="0.9103309379643723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E+0" sourceLinked="0"/>
        <c:majorTickMark val="none"/>
        <c:minorTickMark val="none"/>
        <c:tickLblPos val="high"/>
        <c:spPr>
          <a:noFill/>
          <a:ln w="12700">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0062808"/>
        <c:crosses val="autoZero"/>
        <c:crossBetween val="between"/>
      </c:valAx>
      <c:valAx>
        <c:axId val="599814248"/>
        <c:scaling>
          <c:orientation val="minMax"/>
          <c:max val="7"/>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599810312"/>
        <c:crosses val="autoZero"/>
        <c:crossBetween val="midCat"/>
      </c:valAx>
      <c:valAx>
        <c:axId val="599810312"/>
        <c:scaling>
          <c:logBase val="10"/>
          <c:orientation val="minMax"/>
          <c:max val="1"/>
          <c:min val="1.0000000000000005E-7"/>
        </c:scaling>
        <c:delete val="0"/>
        <c:axPos val="t"/>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599814248"/>
        <c:crosses val="max"/>
        <c:crossBetween val="midCat"/>
      </c:valAx>
      <c:spPr>
        <a:noFill/>
        <a:ln>
          <a:solidFill>
            <a:schemeClr val="bg1">
              <a:lumMod val="85000"/>
            </a:schemeClr>
          </a:solidFill>
        </a:ln>
        <a:effectLst/>
      </c:spPr>
    </c:plotArea>
    <c:legend>
      <c:legendPos val="r"/>
      <c:layout>
        <c:manualLayout>
          <c:xMode val="edge"/>
          <c:yMode val="edge"/>
          <c:x val="0.81905865978623471"/>
          <c:y val="0.39102409333473093"/>
          <c:w val="0.17008379969462098"/>
          <c:h val="4.764300024302816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"Inhalation Cancer Risk Estimates"</c:f>
          <c:strCache>
            <c:ptCount val="1"/>
            <c:pt idx="0">
              <c:v>Inhalation Cancer Risk Estimates</c:v>
            </c:pt>
          </c:strCache>
        </c:strRef>
      </c:tx>
      <c:layout>
        <c:manualLayout>
          <c:xMode val="edge"/>
          <c:yMode val="edge"/>
          <c:x val="0.35379421156466734"/>
          <c:y val="5.11888663077683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9150842647774607"/>
          <c:y val="0.21054931230848406"/>
          <c:w val="0.63729288181961663"/>
          <c:h val="0.60596785221581506"/>
        </c:manualLayout>
      </c:layout>
      <c:barChart>
        <c:barDir val="bar"/>
        <c:grouping val="stacked"/>
        <c:varyColors val="0"/>
        <c:ser>
          <c:idx val="6"/>
          <c:order val="1"/>
          <c:tx>
            <c:strRef>
              <c:f>'Risk Reduction'!$J$63</c:f>
              <c:strCache>
                <c:ptCount val="1"/>
                <c:pt idx="0">
                  <c:v>High End</c:v>
                </c:pt>
              </c:strCache>
            </c:strRef>
          </c:tx>
          <c:spPr>
            <a:solidFill>
              <a:schemeClr val="accent5">
                <a:lumMod val="75000"/>
              </a:schemeClr>
            </a:solidFill>
            <a:ln>
              <a:noFill/>
            </a:ln>
            <a:effectLst/>
          </c:spPr>
          <c:invertIfNegative val="0"/>
          <c:cat>
            <c:strRef>
              <c:f>'Risk Reduction'!$H$64:$H$69</c:f>
              <c:strCache>
                <c:ptCount val="6"/>
                <c:pt idx="0">
                  <c:v>No Respirator</c:v>
                </c:pt>
                <c:pt idx="1">
                  <c:v>APF = 10</c:v>
                </c:pt>
                <c:pt idx="2">
                  <c:v>APF = 25</c:v>
                </c:pt>
                <c:pt idx="3">
                  <c:v>APF = 50</c:v>
                </c:pt>
                <c:pt idx="4">
                  <c:v>APF = 1,000</c:v>
                </c:pt>
                <c:pt idx="5">
                  <c:v>APF = 10,000</c:v>
                </c:pt>
              </c:strCache>
            </c:strRef>
          </c:cat>
          <c:val>
            <c:numRef>
              <c:f>'Risk Reduction'!$J$64:$J$69</c:f>
              <c:numCache>
                <c:formatCode>0.00E+00</c:formatCode>
                <c:ptCount val="6"/>
                <c:pt idx="0">
                  <c:v>5.5434889094380294E-6</c:v>
                </c:pt>
                <c:pt idx="1">
                  <c:v>5.543488909438029E-7</c:v>
                </c:pt>
                <c:pt idx="2">
                  <c:v>2.2173955637752118E-7</c:v>
                </c:pt>
                <c:pt idx="3">
                  <c:v>1.1086977818876059E-7</c:v>
                </c:pt>
                <c:pt idx="4">
                  <c:v>5.5434889094380298E-9</c:v>
                </c:pt>
                <c:pt idx="5">
                  <c:v>5.5434889094380292E-10</c:v>
                </c:pt>
              </c:numCache>
            </c:numRef>
          </c:val>
          <c:extLst>
            <c:ext xmlns:c16="http://schemas.microsoft.com/office/drawing/2014/chart" uri="{C3380CC4-5D6E-409C-BE32-E72D297353CC}">
              <c16:uniqueId val="{00000001-D738-4D29-9A1B-A262CDDF2104}"/>
            </c:ext>
          </c:extLst>
        </c:ser>
        <c:dLbls>
          <c:showLegendKey val="0"/>
          <c:showVal val="0"/>
          <c:showCatName val="0"/>
          <c:showSerName val="0"/>
          <c:showPercent val="0"/>
          <c:showBubbleSize val="0"/>
        </c:dLbls>
        <c:gapWidth val="150"/>
        <c:overlap val="100"/>
        <c:axId val="580062808"/>
        <c:axId val="580066744"/>
        <c:extLst>
          <c:ext xmlns:c15="http://schemas.microsoft.com/office/drawing/2012/chart" uri="{02D57815-91ED-43cb-92C2-25804820EDAC}">
            <c15:filteredBarSeries>
              <c15:ser>
                <c:idx val="5"/>
                <c:order val="0"/>
                <c:tx>
                  <c:strRef>
                    <c:extLst>
                      <c:ext uri="{02D57815-91ED-43cb-92C2-25804820EDAC}">
                        <c15:formulaRef>
                          <c15:sqref>'Risk Reduction'!$I$63</c15:sqref>
                        </c15:formulaRef>
                      </c:ext>
                    </c:extLst>
                    <c:strCache>
                      <c:ptCount val="1"/>
                      <c:pt idx="0">
                        <c:v>Central Tendency</c:v>
                      </c:pt>
                    </c:strCache>
                  </c:strRef>
                </c:tx>
                <c:spPr>
                  <a:solidFill>
                    <a:schemeClr val="accent5"/>
                  </a:solidFill>
                  <a:ln w="25400">
                    <a:noFill/>
                  </a:ln>
                  <a:effectLst/>
                </c:spPr>
                <c:invertIfNegative val="0"/>
                <c:cat>
                  <c:strRef>
                    <c:extLst>
                      <c:ext uri="{02D57815-91ED-43cb-92C2-25804820EDAC}">
                        <c15:formulaRef>
                          <c15:sqref>'Risk Reduction'!$H$64:$H$69</c15:sqref>
                        </c15:formulaRef>
                      </c:ext>
                    </c:extLst>
                    <c:strCache>
                      <c:ptCount val="6"/>
                      <c:pt idx="0">
                        <c:v>No Respirator</c:v>
                      </c:pt>
                      <c:pt idx="1">
                        <c:v>APF = 10</c:v>
                      </c:pt>
                      <c:pt idx="2">
                        <c:v>APF = 25</c:v>
                      </c:pt>
                      <c:pt idx="3">
                        <c:v>APF = 50</c:v>
                      </c:pt>
                      <c:pt idx="4">
                        <c:v>APF = 1,000</c:v>
                      </c:pt>
                      <c:pt idx="5">
                        <c:v>APF = 10,000</c:v>
                      </c:pt>
                    </c:strCache>
                  </c:strRef>
                </c:cat>
                <c:val>
                  <c:numRef>
                    <c:extLst>
                      <c:ext uri="{02D57815-91ED-43cb-92C2-25804820EDAC}">
                        <c15:formulaRef>
                          <c15:sqref>'Risk Reduction'!$I$64:$I$69</c15:sqref>
                        </c15:formulaRef>
                      </c:ext>
                    </c:extLst>
                    <c:numCache>
                      <c:formatCode>0.00E+00</c:formatCode>
                      <c:ptCount val="6"/>
                      <c:pt idx="0">
                        <c:v>1.4697539674365302E-6</c:v>
                      </c:pt>
                      <c:pt idx="1">
                        <c:v>1.4697539674365301E-7</c:v>
                      </c:pt>
                      <c:pt idx="2">
                        <c:v>5.8790158697461206E-8</c:v>
                      </c:pt>
                      <c:pt idx="3">
                        <c:v>2.9395079348730603E-8</c:v>
                      </c:pt>
                      <c:pt idx="4">
                        <c:v>1.4697539674365302E-9</c:v>
                      </c:pt>
                      <c:pt idx="5">
                        <c:v>1.4697539674365302E-10</c:v>
                      </c:pt>
                    </c:numCache>
                  </c:numRef>
                </c:val>
                <c:extLst>
                  <c:ext xmlns:c16="http://schemas.microsoft.com/office/drawing/2014/chart" uri="{C3380CC4-5D6E-409C-BE32-E72D297353CC}">
                    <c16:uniqueId val="{00000000-D738-4D29-9A1B-A262CDDF2104}"/>
                  </c:ext>
                </c:extLst>
              </c15:ser>
            </c15:filteredBarSeries>
          </c:ext>
        </c:extLst>
      </c:barChart>
      <c:scatterChart>
        <c:scatterStyle val="lineMarker"/>
        <c:varyColors val="0"/>
        <c:ser>
          <c:idx val="1"/>
          <c:order val="2"/>
          <c:tx>
            <c:v>1.00E-06</c:v>
          </c:tx>
          <c:spPr>
            <a:ln w="28575" cap="rnd">
              <a:solidFill>
                <a:srgbClr val="FF0000"/>
              </a:solidFill>
              <a:round/>
            </a:ln>
            <a:effectLst/>
          </c:spPr>
          <c:marker>
            <c:symbol val="none"/>
          </c:marker>
          <c:xVal>
            <c:numLit>
              <c:formatCode>General</c:formatCode>
              <c:ptCount val="6"/>
              <c:pt idx="0">
                <c:v>9.9999999999999995E-7</c:v>
              </c:pt>
              <c:pt idx="1">
                <c:v>9.9999999999999995E-7</c:v>
              </c:pt>
              <c:pt idx="2">
                <c:v>9.9999999999999995E-7</c:v>
              </c:pt>
              <c:pt idx="3">
                <c:v>9.9999999999999995E-7</c:v>
              </c:pt>
              <c:pt idx="4">
                <c:v>9.9999999999999995E-7</c:v>
              </c:pt>
              <c:pt idx="5">
                <c:v>9.9999999999999995E-7</c:v>
              </c:pt>
            </c:numLit>
          </c:xVal>
          <c:yVal>
            <c:numLit>
              <c:formatCode>General</c:formatCode>
              <c:ptCount val="6"/>
              <c:pt idx="0">
                <c:v>7</c:v>
              </c:pt>
              <c:pt idx="1">
                <c:v>5</c:v>
              </c:pt>
              <c:pt idx="2">
                <c:v>4</c:v>
              </c:pt>
              <c:pt idx="3">
                <c:v>3</c:v>
              </c:pt>
              <c:pt idx="4">
                <c:v>2</c:v>
              </c:pt>
              <c:pt idx="5">
                <c:v>0</c:v>
              </c:pt>
            </c:numLit>
          </c:yVal>
          <c:smooth val="0"/>
          <c:extLst>
            <c:ext xmlns:c16="http://schemas.microsoft.com/office/drawing/2014/chart" uri="{C3380CC4-5D6E-409C-BE32-E72D297353CC}">
              <c16:uniqueId val="{00000002-D738-4D29-9A1B-A262CDDF2104}"/>
            </c:ext>
          </c:extLst>
        </c:ser>
        <c:ser>
          <c:idx val="2"/>
          <c:order val="3"/>
          <c:tx>
            <c:v>1.00E-05</c:v>
          </c:tx>
          <c:spPr>
            <a:ln w="28575" cap="rnd">
              <a:solidFill>
                <a:srgbClr val="FF0000"/>
              </a:solidFill>
              <a:round/>
            </a:ln>
            <a:effectLst/>
          </c:spPr>
          <c:marker>
            <c:symbol val="none"/>
          </c:marker>
          <c:xVal>
            <c:numLit>
              <c:formatCode>General</c:formatCode>
              <c:ptCount val="6"/>
              <c:pt idx="0">
                <c:v>1.0000000000000001E-5</c:v>
              </c:pt>
              <c:pt idx="1">
                <c:v>1.0000000000000001E-5</c:v>
              </c:pt>
              <c:pt idx="2">
                <c:v>1.0000000000000001E-5</c:v>
              </c:pt>
              <c:pt idx="3">
                <c:v>1.0000000000000001E-5</c:v>
              </c:pt>
              <c:pt idx="4">
                <c:v>1.0000000000000001E-5</c:v>
              </c:pt>
              <c:pt idx="5">
                <c:v>1.0000000000000001E-5</c:v>
              </c:pt>
            </c:numLit>
          </c:xVal>
          <c:yVal>
            <c:numLit>
              <c:formatCode>General</c:formatCode>
              <c:ptCount val="6"/>
              <c:pt idx="0">
                <c:v>7</c:v>
              </c:pt>
              <c:pt idx="1">
                <c:v>5</c:v>
              </c:pt>
              <c:pt idx="2">
                <c:v>4</c:v>
              </c:pt>
              <c:pt idx="3">
                <c:v>3</c:v>
              </c:pt>
              <c:pt idx="4">
                <c:v>2</c:v>
              </c:pt>
              <c:pt idx="5">
                <c:v>0</c:v>
              </c:pt>
            </c:numLit>
          </c:yVal>
          <c:smooth val="0"/>
          <c:extLst>
            <c:ext xmlns:c16="http://schemas.microsoft.com/office/drawing/2014/chart" uri="{C3380CC4-5D6E-409C-BE32-E72D297353CC}">
              <c16:uniqueId val="{00000003-D738-4D29-9A1B-A262CDDF2104}"/>
            </c:ext>
          </c:extLst>
        </c:ser>
        <c:ser>
          <c:idx val="3"/>
          <c:order val="4"/>
          <c:tx>
            <c:v>1.00E-04</c:v>
          </c:tx>
          <c:spPr>
            <a:ln w="28575" cap="rnd">
              <a:solidFill>
                <a:srgbClr val="FF0000"/>
              </a:solidFill>
              <a:round/>
            </a:ln>
            <a:effectLst/>
          </c:spPr>
          <c:marker>
            <c:symbol val="none"/>
          </c:marker>
          <c:xVal>
            <c:numLit>
              <c:formatCode>General</c:formatCode>
              <c:ptCount val="6"/>
              <c:pt idx="0">
                <c:v>1E-4</c:v>
              </c:pt>
              <c:pt idx="1">
                <c:v>1E-4</c:v>
              </c:pt>
              <c:pt idx="2">
                <c:v>1E-4</c:v>
              </c:pt>
              <c:pt idx="3">
                <c:v>1E-4</c:v>
              </c:pt>
              <c:pt idx="4">
                <c:v>1E-4</c:v>
              </c:pt>
              <c:pt idx="5">
                <c:v>1E-4</c:v>
              </c:pt>
            </c:numLit>
          </c:xVal>
          <c:yVal>
            <c:numLit>
              <c:formatCode>General</c:formatCode>
              <c:ptCount val="6"/>
              <c:pt idx="0">
                <c:v>7</c:v>
              </c:pt>
              <c:pt idx="1">
                <c:v>5</c:v>
              </c:pt>
              <c:pt idx="2">
                <c:v>4</c:v>
              </c:pt>
              <c:pt idx="3">
                <c:v>3</c:v>
              </c:pt>
              <c:pt idx="4">
                <c:v>2</c:v>
              </c:pt>
              <c:pt idx="5">
                <c:v>0</c:v>
              </c:pt>
            </c:numLit>
          </c:yVal>
          <c:smooth val="0"/>
          <c:extLst>
            <c:ext xmlns:c16="http://schemas.microsoft.com/office/drawing/2014/chart" uri="{C3380CC4-5D6E-409C-BE32-E72D297353CC}">
              <c16:uniqueId val="{00000004-D738-4D29-9A1B-A262CDDF2104}"/>
            </c:ext>
          </c:extLst>
        </c:ser>
        <c:dLbls>
          <c:showLegendKey val="0"/>
          <c:showVal val="0"/>
          <c:showCatName val="0"/>
          <c:showSerName val="0"/>
          <c:showPercent val="0"/>
          <c:showBubbleSize val="0"/>
        </c:dLbls>
        <c:axId val="599810312"/>
        <c:axId val="599814248"/>
      </c:scatterChart>
      <c:catAx>
        <c:axId val="58006280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0066744"/>
        <c:crosses val="autoZero"/>
        <c:auto val="1"/>
        <c:lblAlgn val="ctr"/>
        <c:lblOffset val="100"/>
        <c:noMultiLvlLbl val="0"/>
      </c:catAx>
      <c:valAx>
        <c:axId val="580066744"/>
        <c:scaling>
          <c:logBase val="10"/>
          <c:orientation val="minMax"/>
          <c:min val="1.0000000000000005E-7"/>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excess risk per million</a:t>
                </a:r>
              </a:p>
            </c:rich>
          </c:tx>
          <c:layout>
            <c:manualLayout>
              <c:xMode val="edge"/>
              <c:yMode val="edge"/>
              <c:x val="0.36584643797039879"/>
              <c:y val="0.9103309379643723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0062808"/>
        <c:crosses val="autoZero"/>
        <c:crossBetween val="between"/>
      </c:valAx>
      <c:valAx>
        <c:axId val="599814248"/>
        <c:scaling>
          <c:orientation val="minMax"/>
          <c:max val="7"/>
        </c:scaling>
        <c:delete val="1"/>
        <c:axPos val="l"/>
        <c:numFmt formatCode="General" sourceLinked="1"/>
        <c:majorTickMark val="out"/>
        <c:minorTickMark val="none"/>
        <c:tickLblPos val="nextTo"/>
        <c:crossAx val="599810312"/>
        <c:crosses val="autoZero"/>
        <c:crossBetween val="midCat"/>
      </c:valAx>
      <c:valAx>
        <c:axId val="599810312"/>
        <c:scaling>
          <c:logBase val="10"/>
          <c:orientation val="minMax"/>
          <c:max val="1"/>
          <c:min val="1.0000000000000005E-7"/>
        </c:scaling>
        <c:delete val="0"/>
        <c:axPos val="t"/>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599814248"/>
        <c:crosses val="max"/>
        <c:crossBetween val="midCat"/>
      </c:valAx>
      <c:spPr>
        <a:noFill/>
        <a:ln>
          <a:solidFill>
            <a:schemeClr val="bg1">
              <a:lumMod val="85000"/>
            </a:schemeClr>
          </a:solidFill>
        </a:ln>
        <a:effectLst/>
      </c:spPr>
    </c:plotArea>
    <c:legend>
      <c:legendPos val="r"/>
      <c:legendEntry>
        <c:idx val="1"/>
        <c:delete val="1"/>
      </c:legendEntry>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"Dermal Cancer Risk Estimates"</c:f>
          <c:strCache>
            <c:ptCount val="1"/>
            <c:pt idx="0">
              <c:v>Dermal Cancer Risk Estimates</c:v>
            </c:pt>
          </c:strCache>
        </c:strRef>
      </c:tx>
      <c:layout>
        <c:manualLayout>
          <c:xMode val="edge"/>
          <c:yMode val="edge"/>
          <c:x val="0.36062458254174651"/>
          <c:y val="3.741425313188975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9150842647774607"/>
          <c:y val="0.21054931230848406"/>
          <c:w val="0.6036262753605407"/>
          <c:h val="0.62363785011424611"/>
        </c:manualLayout>
      </c:layout>
      <c:barChart>
        <c:barDir val="bar"/>
        <c:grouping val="stacked"/>
        <c:varyColors val="0"/>
        <c:ser>
          <c:idx val="5"/>
          <c:order val="1"/>
          <c:tx>
            <c:strRef>
              <c:f>'Risk Reduction'!$T$63</c:f>
              <c:strCache>
                <c:ptCount val="1"/>
                <c:pt idx="0">
                  <c:v>High End</c:v>
                </c:pt>
              </c:strCache>
            </c:strRef>
          </c:tx>
          <c:spPr>
            <a:solidFill>
              <a:schemeClr val="accent5">
                <a:lumMod val="75000"/>
              </a:schemeClr>
            </a:solidFill>
            <a:ln>
              <a:noFill/>
            </a:ln>
            <a:effectLst/>
          </c:spPr>
          <c:invertIfNegative val="0"/>
          <c:cat>
            <c:strRef>
              <c:f>'Risk Reduction'!$R$64:$R$67</c:f>
              <c:strCache>
                <c:ptCount val="4"/>
                <c:pt idx="0">
                  <c:v>No Gloves 
(PF = 1)</c:v>
                </c:pt>
                <c:pt idx="1">
                  <c:v>Protective Gloves 
(PF = 5)</c:v>
                </c:pt>
                <c:pt idx="2">
                  <c:v>Protective Gloves 
(Commercial uses, PF = 10)</c:v>
                </c:pt>
                <c:pt idx="3">
                  <c:v>Protective Gloves 
(Industrial uses, PF = 20)</c:v>
                </c:pt>
              </c:strCache>
            </c:strRef>
          </c:cat>
          <c:val>
            <c:numRef>
              <c:f>'Risk Reduction'!$T$64:$T$67</c:f>
              <c:numCache>
                <c:formatCode>0.00E+00</c:formatCode>
                <c:ptCount val="4"/>
                <c:pt idx="0">
                  <c:v>7.8221160084853961E-6</c:v>
                </c:pt>
                <c:pt idx="1">
                  <c:v>1.5644232016970793E-6</c:v>
                </c:pt>
                <c:pt idx="2">
                  <c:v>7.8221160084853965E-7</c:v>
                </c:pt>
                <c:pt idx="3">
                  <c:v>3.9110580042426983E-7</c:v>
                </c:pt>
              </c:numCache>
            </c:numRef>
          </c:val>
          <c:extLst>
            <c:ext xmlns:c16="http://schemas.microsoft.com/office/drawing/2014/chart" uri="{C3380CC4-5D6E-409C-BE32-E72D297353CC}">
              <c16:uniqueId val="{00000009-5572-4624-928D-8F8739D5F477}"/>
            </c:ext>
          </c:extLst>
        </c:ser>
        <c:dLbls>
          <c:showLegendKey val="0"/>
          <c:showVal val="0"/>
          <c:showCatName val="0"/>
          <c:showSerName val="0"/>
          <c:showPercent val="0"/>
          <c:showBubbleSize val="0"/>
        </c:dLbls>
        <c:gapWidth val="182"/>
        <c:overlap val="100"/>
        <c:axId val="580062808"/>
        <c:axId val="580066744"/>
        <c:extLst>
          <c:ext xmlns:c15="http://schemas.microsoft.com/office/drawing/2012/chart" uri="{02D57815-91ED-43cb-92C2-25804820EDAC}">
            <c15:filteredBarSeries>
              <c15:ser>
                <c:idx val="4"/>
                <c:order val="0"/>
                <c:tx>
                  <c:strRef>
                    <c:extLst>
                      <c:ext uri="{02D57815-91ED-43cb-92C2-25804820EDAC}">
                        <c15:formulaRef>
                          <c15:sqref>'Risk Reduction'!$S$63</c15:sqref>
                        </c15:formulaRef>
                      </c:ext>
                    </c:extLst>
                    <c:strCache>
                      <c:ptCount val="1"/>
                      <c:pt idx="0">
                        <c:v>Central Tendency</c:v>
                      </c:pt>
                    </c:strCache>
                  </c:strRef>
                </c:tx>
                <c:spPr>
                  <a:solidFill>
                    <a:schemeClr val="accent5"/>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5572-4624-928D-8F8739D5F477}"/>
                    </c:ext>
                  </c:extLst>
                </c:dPt>
                <c:dPt>
                  <c:idx val="1"/>
                  <c:invertIfNegative val="0"/>
                  <c:bubble3D val="0"/>
                  <c:spPr>
                    <a:solidFill>
                      <a:schemeClr val="accent5"/>
                    </a:solidFill>
                    <a:ln>
                      <a:noFill/>
                    </a:ln>
                    <a:effectLst/>
                  </c:spPr>
                  <c:extLst>
                    <c:ext xmlns:c16="http://schemas.microsoft.com/office/drawing/2014/chart" uri="{C3380CC4-5D6E-409C-BE32-E72D297353CC}">
                      <c16:uniqueId val="{00000003-5572-4624-928D-8F8739D5F477}"/>
                    </c:ext>
                  </c:extLst>
                </c:dPt>
                <c:dPt>
                  <c:idx val="2"/>
                  <c:invertIfNegative val="0"/>
                  <c:bubble3D val="0"/>
                  <c:spPr>
                    <a:solidFill>
                      <a:schemeClr val="accent5"/>
                    </a:solidFill>
                    <a:ln>
                      <a:noFill/>
                    </a:ln>
                    <a:effectLst/>
                  </c:spPr>
                  <c:extLst>
                    <c:ext xmlns:c16="http://schemas.microsoft.com/office/drawing/2014/chart" uri="{C3380CC4-5D6E-409C-BE32-E72D297353CC}">
                      <c16:uniqueId val="{00000005-5572-4624-928D-8F8739D5F477}"/>
                    </c:ext>
                  </c:extLst>
                </c:dPt>
                <c:dPt>
                  <c:idx val="3"/>
                  <c:invertIfNegative val="0"/>
                  <c:bubble3D val="0"/>
                  <c:spPr>
                    <a:solidFill>
                      <a:schemeClr val="accent5"/>
                    </a:solidFill>
                    <a:ln>
                      <a:noFill/>
                    </a:ln>
                    <a:effectLst/>
                  </c:spPr>
                  <c:extLst>
                    <c:ext xmlns:c16="http://schemas.microsoft.com/office/drawing/2014/chart" uri="{C3380CC4-5D6E-409C-BE32-E72D297353CC}">
                      <c16:uniqueId val="{00000007-5572-4624-928D-8F8739D5F477}"/>
                    </c:ext>
                  </c:extLst>
                </c:dPt>
                <c:cat>
                  <c:strRef>
                    <c:extLst>
                      <c:ext uri="{02D57815-91ED-43cb-92C2-25804820EDAC}">
                        <c15:formulaRef>
                          <c15:sqref>'Risk Reduction'!$R$64:$R$67</c15:sqref>
                        </c15:formulaRef>
                      </c:ext>
                    </c:extLst>
                    <c:strCache>
                      <c:ptCount val="4"/>
                      <c:pt idx="0">
                        <c:v>No Gloves 
(PF = 1)</c:v>
                      </c:pt>
                      <c:pt idx="1">
                        <c:v>Protective Gloves 
(PF = 5)</c:v>
                      </c:pt>
                      <c:pt idx="2">
                        <c:v>Protective Gloves 
(Commercial uses, PF = 10)</c:v>
                      </c:pt>
                      <c:pt idx="3">
                        <c:v>Protective Gloves 
(Industrial uses, PF = 20)</c:v>
                      </c:pt>
                    </c:strCache>
                  </c:strRef>
                </c:cat>
                <c:val>
                  <c:numRef>
                    <c:extLst>
                      <c:ext uri="{02D57815-91ED-43cb-92C2-25804820EDAC}">
                        <c15:formulaRef>
                          <c15:sqref>'Risk Reduction'!$S$64:$S$67</c15:sqref>
                        </c15:formulaRef>
                      </c:ext>
                    </c:extLst>
                    <c:numCache>
                      <c:formatCode>0.00E+00</c:formatCode>
                      <c:ptCount val="4"/>
                      <c:pt idx="0">
                        <c:v>4.0072361988967171E-6</c:v>
                      </c:pt>
                      <c:pt idx="1">
                        <c:v>8.0144723977934338E-7</c:v>
                      </c:pt>
                      <c:pt idx="2">
                        <c:v>4.0072361988967169E-7</c:v>
                      </c:pt>
                      <c:pt idx="3">
                        <c:v>2.0036180994483584E-7</c:v>
                      </c:pt>
                    </c:numCache>
                  </c:numRef>
                </c:val>
                <c:extLst>
                  <c:ext xmlns:c16="http://schemas.microsoft.com/office/drawing/2014/chart" uri="{C3380CC4-5D6E-409C-BE32-E72D297353CC}">
                    <c16:uniqueId val="{00000008-5572-4624-928D-8F8739D5F477}"/>
                  </c:ext>
                </c:extLst>
              </c15:ser>
            </c15:filteredBarSeries>
          </c:ext>
        </c:extLst>
      </c:barChart>
      <c:scatterChart>
        <c:scatterStyle val="lineMarker"/>
        <c:varyColors val="0"/>
        <c:ser>
          <c:idx val="1"/>
          <c:order val="2"/>
          <c:tx>
            <c:v>1.00E-06</c:v>
          </c:tx>
          <c:spPr>
            <a:ln w="28575" cap="rnd">
              <a:solidFill>
                <a:srgbClr val="FF0000"/>
              </a:solidFill>
              <a:round/>
            </a:ln>
            <a:effectLst/>
          </c:spPr>
          <c:marker>
            <c:symbol val="none"/>
          </c:marker>
          <c:xVal>
            <c:numLit>
              <c:formatCode>General</c:formatCode>
              <c:ptCount val="6"/>
              <c:pt idx="0">
                <c:v>9.9999999999999995E-7</c:v>
              </c:pt>
              <c:pt idx="1">
                <c:v>9.9999999999999995E-7</c:v>
              </c:pt>
              <c:pt idx="2">
                <c:v>9.9999999999999995E-7</c:v>
              </c:pt>
              <c:pt idx="3">
                <c:v>9.9999999999999995E-7</c:v>
              </c:pt>
              <c:pt idx="4">
                <c:v>9.9999999999999995E-7</c:v>
              </c:pt>
              <c:pt idx="5">
                <c:v>9.9999999999999995E-7</c:v>
              </c:pt>
            </c:numLit>
          </c:xVal>
          <c:yVal>
            <c:numLit>
              <c:formatCode>General</c:formatCode>
              <c:ptCount val="6"/>
              <c:pt idx="0">
                <c:v>7</c:v>
              </c:pt>
              <c:pt idx="1">
                <c:v>5</c:v>
              </c:pt>
              <c:pt idx="2">
                <c:v>4</c:v>
              </c:pt>
              <c:pt idx="3">
                <c:v>3</c:v>
              </c:pt>
              <c:pt idx="4">
                <c:v>2</c:v>
              </c:pt>
              <c:pt idx="5">
                <c:v>0</c:v>
              </c:pt>
            </c:numLit>
          </c:yVal>
          <c:smooth val="0"/>
          <c:extLst>
            <c:ext xmlns:c16="http://schemas.microsoft.com/office/drawing/2014/chart" uri="{C3380CC4-5D6E-409C-BE32-E72D297353CC}">
              <c16:uniqueId val="{0000000A-5572-4624-928D-8F8739D5F477}"/>
            </c:ext>
          </c:extLst>
        </c:ser>
        <c:ser>
          <c:idx val="2"/>
          <c:order val="3"/>
          <c:tx>
            <c:v>1.00E-05</c:v>
          </c:tx>
          <c:spPr>
            <a:ln w="28575" cap="rnd">
              <a:solidFill>
                <a:srgbClr val="FF0000"/>
              </a:solidFill>
              <a:round/>
            </a:ln>
            <a:effectLst/>
          </c:spPr>
          <c:marker>
            <c:symbol val="none"/>
          </c:marker>
          <c:xVal>
            <c:numLit>
              <c:formatCode>General</c:formatCode>
              <c:ptCount val="6"/>
              <c:pt idx="0">
                <c:v>1.0000000000000001E-5</c:v>
              </c:pt>
              <c:pt idx="1">
                <c:v>1.0000000000000001E-5</c:v>
              </c:pt>
              <c:pt idx="2">
                <c:v>1.0000000000000001E-5</c:v>
              </c:pt>
              <c:pt idx="3">
                <c:v>1.0000000000000001E-5</c:v>
              </c:pt>
              <c:pt idx="4">
                <c:v>1.0000000000000001E-5</c:v>
              </c:pt>
              <c:pt idx="5">
                <c:v>1.0000000000000001E-5</c:v>
              </c:pt>
            </c:numLit>
          </c:xVal>
          <c:yVal>
            <c:numLit>
              <c:formatCode>General</c:formatCode>
              <c:ptCount val="6"/>
              <c:pt idx="0">
                <c:v>7</c:v>
              </c:pt>
              <c:pt idx="1">
                <c:v>5</c:v>
              </c:pt>
              <c:pt idx="2">
                <c:v>4</c:v>
              </c:pt>
              <c:pt idx="3">
                <c:v>3</c:v>
              </c:pt>
              <c:pt idx="4">
                <c:v>2</c:v>
              </c:pt>
              <c:pt idx="5">
                <c:v>0</c:v>
              </c:pt>
            </c:numLit>
          </c:yVal>
          <c:smooth val="0"/>
          <c:extLst>
            <c:ext xmlns:c16="http://schemas.microsoft.com/office/drawing/2014/chart" uri="{C3380CC4-5D6E-409C-BE32-E72D297353CC}">
              <c16:uniqueId val="{0000000B-5572-4624-928D-8F8739D5F477}"/>
            </c:ext>
          </c:extLst>
        </c:ser>
        <c:ser>
          <c:idx val="3"/>
          <c:order val="4"/>
          <c:tx>
            <c:v>1.00E-04</c:v>
          </c:tx>
          <c:spPr>
            <a:ln w="28575" cap="rnd">
              <a:solidFill>
                <a:srgbClr val="FF0000"/>
              </a:solidFill>
              <a:round/>
            </a:ln>
            <a:effectLst/>
          </c:spPr>
          <c:marker>
            <c:symbol val="none"/>
          </c:marker>
          <c:xVal>
            <c:numLit>
              <c:formatCode>General</c:formatCode>
              <c:ptCount val="6"/>
              <c:pt idx="0">
                <c:v>1E-4</c:v>
              </c:pt>
              <c:pt idx="1">
                <c:v>1E-4</c:v>
              </c:pt>
              <c:pt idx="2">
                <c:v>1E-4</c:v>
              </c:pt>
              <c:pt idx="3">
                <c:v>1E-4</c:v>
              </c:pt>
              <c:pt idx="4">
                <c:v>1E-4</c:v>
              </c:pt>
              <c:pt idx="5">
                <c:v>1E-4</c:v>
              </c:pt>
            </c:numLit>
          </c:xVal>
          <c:yVal>
            <c:numLit>
              <c:formatCode>General</c:formatCode>
              <c:ptCount val="6"/>
              <c:pt idx="0">
                <c:v>7</c:v>
              </c:pt>
              <c:pt idx="1">
                <c:v>5</c:v>
              </c:pt>
              <c:pt idx="2">
                <c:v>4</c:v>
              </c:pt>
              <c:pt idx="3">
                <c:v>3</c:v>
              </c:pt>
              <c:pt idx="4">
                <c:v>2</c:v>
              </c:pt>
              <c:pt idx="5">
                <c:v>0</c:v>
              </c:pt>
            </c:numLit>
          </c:yVal>
          <c:smooth val="0"/>
          <c:extLst>
            <c:ext xmlns:c16="http://schemas.microsoft.com/office/drawing/2014/chart" uri="{C3380CC4-5D6E-409C-BE32-E72D297353CC}">
              <c16:uniqueId val="{0000000C-5572-4624-928D-8F8739D5F477}"/>
            </c:ext>
          </c:extLst>
        </c:ser>
        <c:dLbls>
          <c:showLegendKey val="0"/>
          <c:showVal val="0"/>
          <c:showCatName val="0"/>
          <c:showSerName val="0"/>
          <c:showPercent val="0"/>
          <c:showBubbleSize val="0"/>
        </c:dLbls>
        <c:axId val="599810312"/>
        <c:axId val="599814248"/>
      </c:scatterChart>
      <c:catAx>
        <c:axId val="58006280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80066744"/>
        <c:crosses val="autoZero"/>
        <c:auto val="1"/>
        <c:lblAlgn val="ctr"/>
        <c:lblOffset val="100"/>
        <c:noMultiLvlLbl val="0"/>
      </c:catAx>
      <c:valAx>
        <c:axId val="580066744"/>
        <c:scaling>
          <c:logBase val="10"/>
          <c:orientation val="minMax"/>
          <c:min val="1.0000000000000005E-7"/>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excess risk per million</a:t>
                </a:r>
              </a:p>
            </c:rich>
          </c:tx>
          <c:layout>
            <c:manualLayout>
              <c:xMode val="edge"/>
              <c:yMode val="edge"/>
              <c:x val="0.36584643797039879"/>
              <c:y val="0.9103309379643723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E+0" sourceLinked="0"/>
        <c:majorTickMark val="none"/>
        <c:minorTickMark val="none"/>
        <c:tickLblPos val="high"/>
        <c:spPr>
          <a:noFill/>
          <a:ln w="12700">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0062808"/>
        <c:crosses val="autoZero"/>
        <c:crossBetween val="between"/>
      </c:valAx>
      <c:valAx>
        <c:axId val="599814248"/>
        <c:scaling>
          <c:orientation val="minMax"/>
          <c:max val="7"/>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599810312"/>
        <c:crosses val="autoZero"/>
        <c:crossBetween val="midCat"/>
      </c:valAx>
      <c:valAx>
        <c:axId val="599810312"/>
        <c:scaling>
          <c:logBase val="10"/>
          <c:orientation val="minMax"/>
          <c:max val="1"/>
          <c:min val="1.0000000000000005E-7"/>
        </c:scaling>
        <c:delete val="0"/>
        <c:axPos val="t"/>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599814248"/>
        <c:crosses val="max"/>
        <c:crossBetween val="midCat"/>
      </c:valAx>
      <c:spPr>
        <a:noFill/>
        <a:ln>
          <a:solidFill>
            <a:schemeClr val="bg1">
              <a:lumMod val="85000"/>
            </a:schemeClr>
          </a:solidFill>
        </a:ln>
        <a:effectLst/>
      </c:spPr>
    </c:plotArea>
    <c:legend>
      <c:legendPos val="r"/>
      <c:layout>
        <c:manualLayout>
          <c:xMode val="edge"/>
          <c:yMode val="edge"/>
          <c:x val="0.81905865978623471"/>
          <c:y val="0.39102409333473093"/>
          <c:w val="0.17008379969462098"/>
          <c:h val="5.126333183201870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2962275</xdr:colOff>
      <xdr:row>4</xdr:row>
      <xdr:rowOff>28575</xdr:rowOff>
    </xdr:from>
    <xdr:to>
      <xdr:col>0</xdr:col>
      <xdr:colOff>4587875</xdr:colOff>
      <xdr:row>8</xdr:row>
      <xdr:rowOff>95250</xdr:rowOff>
    </xdr:to>
    <xdr:pic>
      <xdr:nvPicPr>
        <xdr:cNvPr id="2" name="Picture 2">
          <a:extLst>
            <a:ext uri="{FF2B5EF4-FFF2-40B4-BE49-F238E27FC236}">
              <a16:creationId xmlns:a16="http://schemas.microsoft.com/office/drawing/2014/main" id="{64EC60F1-2B4C-4CA6-9A2C-08D32A42EB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5146" b="25731"/>
        <a:stretch/>
      </xdr:blipFill>
      <xdr:spPr bwMode="auto">
        <a:xfrm>
          <a:off x="2962275" y="1095375"/>
          <a:ext cx="1625600" cy="8032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470376</xdr:colOff>
      <xdr:row>41</xdr:row>
      <xdr:rowOff>88423</xdr:rowOff>
    </xdr:from>
    <xdr:to>
      <xdr:col>16</xdr:col>
      <xdr:colOff>1035843</xdr:colOff>
      <xdr:row>56</xdr:row>
      <xdr:rowOff>134777</xdr:rowOff>
    </xdr:to>
    <xdr:graphicFrame macro="">
      <xdr:nvGraphicFramePr>
        <xdr:cNvPr id="6" name="Chart 5">
          <a:extLst>
            <a:ext uri="{FF2B5EF4-FFF2-40B4-BE49-F238E27FC236}">
              <a16:creationId xmlns:a16="http://schemas.microsoft.com/office/drawing/2014/main" id="{5450647A-DEC4-4ED8-8D15-70F15800EA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335280</xdr:colOff>
      <xdr:row>42</xdr:row>
      <xdr:rowOff>102869</xdr:rowOff>
    </xdr:from>
    <xdr:to>
      <xdr:col>6</xdr:col>
      <xdr:colOff>1091566</xdr:colOff>
      <xdr:row>67</xdr:row>
      <xdr:rowOff>56024</xdr:rowOff>
    </xdr:to>
    <xdr:graphicFrame macro="">
      <xdr:nvGraphicFramePr>
        <xdr:cNvPr id="5" name="Chart 1">
          <a:extLst>
            <a:ext uri="{FF2B5EF4-FFF2-40B4-BE49-F238E27FC236}">
              <a16:creationId xmlns:a16="http://schemas.microsoft.com/office/drawing/2014/main" id="{8EDA91AE-1CF2-4145-826C-37CFF7FD3A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460535</xdr:colOff>
      <xdr:row>57</xdr:row>
      <xdr:rowOff>138588</xdr:rowOff>
    </xdr:from>
    <xdr:to>
      <xdr:col>16</xdr:col>
      <xdr:colOff>1024097</xdr:colOff>
      <xdr:row>72</xdr:row>
      <xdr:rowOff>177322</xdr:rowOff>
    </xdr:to>
    <xdr:graphicFrame macro="">
      <xdr:nvGraphicFramePr>
        <xdr:cNvPr id="4" name="Chart 3">
          <a:extLst>
            <a:ext uri="{FF2B5EF4-FFF2-40B4-BE49-F238E27FC236}">
              <a16:creationId xmlns:a16="http://schemas.microsoft.com/office/drawing/2014/main" id="{35CE4C88-7DEB-4326-9EF2-AA9197776B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19</xdr:col>
      <xdr:colOff>600075</xdr:colOff>
      <xdr:row>2</xdr:row>
      <xdr:rowOff>0</xdr:rowOff>
    </xdr:from>
    <xdr:to>
      <xdr:col>22</xdr:col>
      <xdr:colOff>1238250</xdr:colOff>
      <xdr:row>5</xdr:row>
      <xdr:rowOff>161925</xdr:rowOff>
    </xdr:to>
    <xdr:sp macro="" textlink="">
      <xdr:nvSpPr>
        <xdr:cNvPr id="2" name="Button 1" hidden="1">
          <a:extLst>
            <a:ext uri="{63B3BB69-23CF-44E3-9099-C40C66FF867C}">
              <a14:compatExt xmlns:a14="http://schemas.microsoft.com/office/drawing/2010/main" spid="_x0000_s3073"/>
            </a:ext>
            <a:ext uri="{FF2B5EF4-FFF2-40B4-BE49-F238E27FC236}">
              <a16:creationId xmlns:a16="http://schemas.microsoft.com/office/drawing/2014/main" id="{7A5DE0DE-A06A-44DD-BE99-A65C2CBCCA03}"/>
            </a:ext>
          </a:extLst>
        </xdr:cNvPr>
        <xdr:cNvSpPr/>
      </xdr:nvSpPr>
      <xdr:spPr bwMode="auto">
        <a:xfrm>
          <a:off x="13808075" y="374650"/>
          <a:ext cx="2435225" cy="542925"/>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Click here to autofill respirator APF and glove PF values.</a:t>
          </a:r>
        </a:p>
      </xdr:txBody>
    </xdr:sp>
    <xdr:clientData fPrintsWithSheet="0"/>
  </xdr:twoCellAnchor>
  <xdr:twoCellAnchor>
    <xdr:from>
      <xdr:col>19</xdr:col>
      <xdr:colOff>600075</xdr:colOff>
      <xdr:row>2</xdr:row>
      <xdr:rowOff>0</xdr:rowOff>
    </xdr:from>
    <xdr:to>
      <xdr:col>22</xdr:col>
      <xdr:colOff>1238250</xdr:colOff>
      <xdr:row>5</xdr:row>
      <xdr:rowOff>161925</xdr:rowOff>
    </xdr:to>
    <xdr:sp macro="" textlink="">
      <xdr:nvSpPr>
        <xdr:cNvPr id="5" name="Button 1" hidden="1">
          <a:extLst>
            <a:ext uri="{63B3BB69-23CF-44E3-9099-C40C66FF867C}">
              <a14:compatExt xmlns:a14="http://schemas.microsoft.com/office/drawing/2010/main" spid="_x0000_s3073"/>
            </a:ext>
            <a:ext uri="{FF2B5EF4-FFF2-40B4-BE49-F238E27FC236}">
              <a16:creationId xmlns:a16="http://schemas.microsoft.com/office/drawing/2014/main" id="{420663BF-38B9-440B-A86B-C44CC2BC3782}"/>
            </a:ext>
          </a:extLst>
        </xdr:cNvPr>
        <xdr:cNvSpPr/>
      </xdr:nvSpPr>
      <xdr:spPr bwMode="auto">
        <a:xfrm>
          <a:off x="13808075" y="374650"/>
          <a:ext cx="2435225" cy="542925"/>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Click here to autofill respirator APF and glove PF values.</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324972</xdr:colOff>
      <xdr:row>37</xdr:row>
      <xdr:rowOff>21162</xdr:rowOff>
    </xdr:from>
    <xdr:to>
      <xdr:col>8</xdr:col>
      <xdr:colOff>836632</xdr:colOff>
      <xdr:row>57</xdr:row>
      <xdr:rowOff>91553</xdr:rowOff>
    </xdr:to>
    <xdr:graphicFrame macro="">
      <xdr:nvGraphicFramePr>
        <xdr:cNvPr id="2" name="Chart 1">
          <a:extLst>
            <a:ext uri="{FF2B5EF4-FFF2-40B4-BE49-F238E27FC236}">
              <a16:creationId xmlns:a16="http://schemas.microsoft.com/office/drawing/2014/main" id="{8CB4247C-332E-4763-97FF-EFEB2DD09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47699</xdr:colOff>
      <xdr:row>36</xdr:row>
      <xdr:rowOff>127216</xdr:rowOff>
    </xdr:from>
    <xdr:to>
      <xdr:col>24</xdr:col>
      <xdr:colOff>100852</xdr:colOff>
      <xdr:row>57</xdr:row>
      <xdr:rowOff>56030</xdr:rowOff>
    </xdr:to>
    <xdr:graphicFrame macro="">
      <xdr:nvGraphicFramePr>
        <xdr:cNvPr id="3" name="Chart 2">
          <a:extLst>
            <a:ext uri="{FF2B5EF4-FFF2-40B4-BE49-F238E27FC236}">
              <a16:creationId xmlns:a16="http://schemas.microsoft.com/office/drawing/2014/main" id="{602F6EB5-1B54-42FD-9799-5710EB37B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51593</xdr:colOff>
      <xdr:row>1</xdr:row>
      <xdr:rowOff>0</xdr:rowOff>
    </xdr:from>
    <xdr:to>
      <xdr:col>5</xdr:col>
      <xdr:colOff>690561</xdr:colOff>
      <xdr:row>5</xdr:row>
      <xdr:rowOff>47626</xdr:rowOff>
    </xdr:to>
    <xdr:sp macro="" textlink="">
      <xdr:nvSpPr>
        <xdr:cNvPr id="8" name="TextBox 3">
          <a:extLst>
            <a:ext uri="{FF2B5EF4-FFF2-40B4-BE49-F238E27FC236}">
              <a16:creationId xmlns:a16="http://schemas.microsoft.com/office/drawing/2014/main" id="{2C23DA81-FB55-437E-9302-C2E02213CA4A}"/>
            </a:ext>
          </a:extLst>
        </xdr:cNvPr>
        <xdr:cNvSpPr txBox="1"/>
      </xdr:nvSpPr>
      <xdr:spPr>
        <a:xfrm>
          <a:off x="527843" y="171450"/>
          <a:ext cx="3848893" cy="1038226"/>
        </a:xfrm>
        <a:prstGeom prst="rect">
          <a:avLst/>
        </a:prstGeom>
        <a:solidFill>
          <a:schemeClr val="lt1"/>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900" b="1"/>
            <a:t>Key</a:t>
          </a:r>
          <a:endParaRPr lang="en-US" sz="900"/>
        </a:p>
        <a:p>
          <a:r>
            <a:rPr lang="en-US" sz="900"/>
            <a:t>             =  </a:t>
          </a:r>
          <a:r>
            <a:rPr lang="en-US" sz="900">
              <a:solidFill>
                <a:srgbClr val="FF0000"/>
              </a:solidFill>
            </a:rPr>
            <a:t>Risk</a:t>
          </a:r>
          <a:r>
            <a:rPr lang="en-US" sz="900"/>
            <a:t>.  </a:t>
          </a:r>
          <a:r>
            <a:rPr lang="en-US" sz="900" baseline="0"/>
            <a:t>       </a:t>
          </a:r>
          <a:r>
            <a:rPr lang="en-US" sz="900" i="1"/>
            <a:t>MOE</a:t>
          </a:r>
          <a:r>
            <a:rPr lang="en-US" sz="900" i="1" baseline="-25000"/>
            <a:t>acute or chronic</a:t>
          </a:r>
          <a:r>
            <a:rPr lang="en-US" sz="900" i="1" baseline="0"/>
            <a:t> &lt; MOE</a:t>
          </a:r>
          <a:r>
            <a:rPr lang="en-US" sz="900" i="1" baseline="-25000"/>
            <a:t>benchmark</a:t>
          </a:r>
          <a:endParaRPr lang="en-US" sz="900" i="0" baseline="0"/>
        </a:p>
        <a:p>
          <a:r>
            <a:rPr lang="en-US" sz="900" i="0" baseline="0"/>
            <a:t>                                  </a:t>
          </a:r>
          <a:r>
            <a:rPr lang="en-US" sz="900" i="1" baseline="0"/>
            <a:t>Cancer Risk &gt; Benchmark Cancer Risk Level</a:t>
          </a:r>
        </a:p>
        <a:p>
          <a:endParaRPr lang="en-US" sz="900" i="1" baseline="0"/>
        </a:p>
        <a:p>
          <a:pPr marL="0" marR="0" indent="0" defTabSz="914400" eaLnBrk="1" fontAlgn="auto" latinLnBrk="0" hangingPunct="1">
            <a:lnSpc>
              <a:spcPct val="100000"/>
            </a:lnSpc>
            <a:spcBef>
              <a:spcPts val="0"/>
            </a:spcBef>
            <a:spcAft>
              <a:spcPts val="0"/>
            </a:spcAft>
            <a:buClrTx/>
            <a:buSzTx/>
            <a:buFontTx/>
            <a:buNone/>
            <a:tabLst/>
            <a:defRPr/>
          </a:pPr>
          <a:r>
            <a:rPr lang="en-US" sz="900">
              <a:solidFill>
                <a:schemeClr val="dk1"/>
              </a:solidFill>
              <a:latin typeface="+mn-lt"/>
              <a:ea typeface="+mn-ea"/>
              <a:cs typeface="+mn-cs"/>
            </a:rPr>
            <a:t>             =  </a:t>
          </a:r>
          <a:r>
            <a:rPr lang="en-US" sz="900">
              <a:solidFill>
                <a:srgbClr val="339933"/>
              </a:solidFill>
              <a:latin typeface="+mn-lt"/>
              <a:ea typeface="+mn-ea"/>
              <a:cs typeface="+mn-cs"/>
            </a:rPr>
            <a:t>No Risk</a:t>
          </a:r>
          <a:r>
            <a:rPr lang="en-US" sz="900">
              <a:solidFill>
                <a:schemeClr val="dk1"/>
              </a:solidFill>
              <a:latin typeface="+mn-lt"/>
              <a:ea typeface="+mn-ea"/>
              <a:cs typeface="+mn-cs"/>
            </a:rPr>
            <a:t>.   </a:t>
          </a:r>
          <a:r>
            <a:rPr lang="en-US" sz="900" i="1">
              <a:solidFill>
                <a:schemeClr val="dk1"/>
              </a:solidFill>
              <a:latin typeface="+mn-lt"/>
              <a:ea typeface="+mn-ea"/>
              <a:cs typeface="+mn-cs"/>
            </a:rPr>
            <a:t>MOE</a:t>
          </a:r>
          <a:r>
            <a:rPr lang="en-US" sz="900" i="1" baseline="-25000">
              <a:solidFill>
                <a:schemeClr val="dk1"/>
              </a:solidFill>
              <a:latin typeface="+mn-lt"/>
              <a:ea typeface="+mn-ea"/>
              <a:cs typeface="+mn-cs"/>
            </a:rPr>
            <a:t>acute or chronic</a:t>
          </a:r>
          <a:r>
            <a:rPr lang="en-US" sz="900" i="1" baseline="0">
              <a:solidFill>
                <a:schemeClr val="dk1"/>
              </a:solidFill>
              <a:latin typeface="+mn-lt"/>
              <a:ea typeface="+mn-ea"/>
              <a:cs typeface="+mn-cs"/>
            </a:rPr>
            <a:t> ≥ MOE</a:t>
          </a:r>
          <a:r>
            <a:rPr lang="en-US" sz="900" i="1" baseline="-25000">
              <a:solidFill>
                <a:schemeClr val="dk1"/>
              </a:solidFill>
              <a:latin typeface="+mn-lt"/>
              <a:ea typeface="+mn-ea"/>
              <a:cs typeface="+mn-cs"/>
            </a:rPr>
            <a:t>benchmark</a:t>
          </a:r>
          <a:endParaRPr lang="en-US" sz="900" i="0" baseline="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900" i="0" baseline="0">
              <a:solidFill>
                <a:schemeClr val="dk1"/>
              </a:solidFill>
              <a:latin typeface="+mn-lt"/>
              <a:ea typeface="+mn-ea"/>
              <a:cs typeface="+mn-cs"/>
            </a:rPr>
            <a:t>                                  </a:t>
          </a:r>
          <a:r>
            <a:rPr lang="en-US" sz="900" i="1" baseline="0">
              <a:solidFill>
                <a:schemeClr val="dk1"/>
              </a:solidFill>
              <a:latin typeface="+mn-lt"/>
              <a:ea typeface="+mn-ea"/>
              <a:cs typeface="+mn-cs"/>
            </a:rPr>
            <a:t>Cancer Risk ≤ Benchmark Cancer Risk Level</a:t>
          </a:r>
          <a:endParaRPr lang="en-US" sz="900" i="1">
            <a:solidFill>
              <a:schemeClr val="dk1"/>
            </a:solidFill>
            <a:latin typeface="+mn-lt"/>
            <a:ea typeface="+mn-ea"/>
            <a:cs typeface="+mn-cs"/>
          </a:endParaRPr>
        </a:p>
      </xdr:txBody>
    </xdr:sp>
    <xdr:clientData/>
  </xdr:twoCellAnchor>
  <xdr:twoCellAnchor>
    <xdr:from>
      <xdr:col>8</xdr:col>
      <xdr:colOff>1042147</xdr:colOff>
      <xdr:row>37</xdr:row>
      <xdr:rowOff>22412</xdr:rowOff>
    </xdr:from>
    <xdr:to>
      <xdr:col>15</xdr:col>
      <xdr:colOff>831139</xdr:colOff>
      <xdr:row>57</xdr:row>
      <xdr:rowOff>100423</xdr:rowOff>
    </xdr:to>
    <xdr:graphicFrame macro="">
      <xdr:nvGraphicFramePr>
        <xdr:cNvPr id="5" name="Chart 4">
          <a:extLst>
            <a:ext uri="{FF2B5EF4-FFF2-40B4-BE49-F238E27FC236}">
              <a16:creationId xmlns:a16="http://schemas.microsoft.com/office/drawing/2014/main" id="{D4614090-6C3D-4657-B5A8-35559A9E0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268941</xdr:colOff>
      <xdr:row>36</xdr:row>
      <xdr:rowOff>156882</xdr:rowOff>
    </xdr:from>
    <xdr:to>
      <xdr:col>36</xdr:col>
      <xdr:colOff>477071</xdr:colOff>
      <xdr:row>57</xdr:row>
      <xdr:rowOff>83791</xdr:rowOff>
    </xdr:to>
    <xdr:graphicFrame macro="">
      <xdr:nvGraphicFramePr>
        <xdr:cNvPr id="6" name="Chart 5">
          <a:extLst>
            <a:ext uri="{FF2B5EF4-FFF2-40B4-BE49-F238E27FC236}">
              <a16:creationId xmlns:a16="http://schemas.microsoft.com/office/drawing/2014/main" id="{DEF15C6D-274E-42F6-B83C-F2DBD6EE82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12355-F83F-41A7-811E-C3DDA9FCAB50}">
  <dimension ref="A1:A13"/>
  <sheetViews>
    <sheetView showGridLines="0" tabSelected="1" zoomScale="85" zoomScaleNormal="85" workbookViewId="0"/>
  </sheetViews>
  <sheetFormatPr defaultRowHeight="15" x14ac:dyDescent="0.25"/>
  <cols>
    <col min="1" max="1" width="112.7109375" customWidth="1"/>
  </cols>
  <sheetData>
    <row r="1" spans="1:1" ht="36.75" customHeight="1" x14ac:dyDescent="0.3">
      <c r="A1" s="529" t="s">
        <v>474</v>
      </c>
    </row>
    <row r="2" spans="1:1" x14ac:dyDescent="0.25">
      <c r="A2" s="530"/>
    </row>
    <row r="3" spans="1:1" ht="18.75" x14ac:dyDescent="0.25">
      <c r="A3" s="334" t="s">
        <v>0</v>
      </c>
    </row>
    <row r="4" spans="1:1" ht="15.75" x14ac:dyDescent="0.25">
      <c r="A4" s="531"/>
    </row>
    <row r="5" spans="1:1" x14ac:dyDescent="0.25">
      <c r="A5" s="530"/>
    </row>
    <row r="6" spans="1:1" x14ac:dyDescent="0.25">
      <c r="A6" s="530"/>
    </row>
    <row r="7" spans="1:1" x14ac:dyDescent="0.25">
      <c r="A7" s="530"/>
    </row>
    <row r="8" spans="1:1" x14ac:dyDescent="0.25">
      <c r="A8" s="530"/>
    </row>
    <row r="9" spans="1:1" x14ac:dyDescent="0.25">
      <c r="A9" s="530"/>
    </row>
    <row r="10" spans="1:1" x14ac:dyDescent="0.25">
      <c r="A10" s="530"/>
    </row>
    <row r="13" spans="1:1" ht="15.75" x14ac:dyDescent="0.25">
      <c r="A13" s="532"/>
    </row>
  </sheetData>
  <sheetProtection sheet="1" objects="1" scenarios="1" formatCells="0" formatColumns="0" formatRows="0"/>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EE2DC-4EE0-4CF0-B381-0DF510B873A9}">
  <sheetPr>
    <tabColor theme="1"/>
  </sheetPr>
  <dimension ref="A1:M48"/>
  <sheetViews>
    <sheetView workbookViewId="0"/>
  </sheetViews>
  <sheetFormatPr defaultRowHeight="15" x14ac:dyDescent="0.25"/>
  <cols>
    <col min="2" max="2" width="74.28515625" bestFit="1" customWidth="1"/>
    <col min="5" max="5" width="36.140625" customWidth="1"/>
    <col min="7" max="7" width="13.85546875" customWidth="1"/>
    <col min="8" max="8" width="37.140625" customWidth="1"/>
    <col min="9" max="9" width="13.42578125" customWidth="1"/>
    <col min="10" max="10" width="11" bestFit="1" customWidth="1"/>
    <col min="12" max="12" width="48.28515625" customWidth="1"/>
  </cols>
  <sheetData>
    <row r="1" spans="1:13" ht="15.75" thickBot="1" x14ac:dyDescent="0.3">
      <c r="B1" s="249" t="s">
        <v>344</v>
      </c>
      <c r="E1" s="66" t="s">
        <v>345</v>
      </c>
      <c r="H1" s="66" t="s">
        <v>346</v>
      </c>
    </row>
    <row r="2" spans="1:13" x14ac:dyDescent="0.25">
      <c r="A2" s="25"/>
      <c r="B2" s="519" t="s">
        <v>62</v>
      </c>
      <c r="E2" s="69" t="s">
        <v>347</v>
      </c>
      <c r="H2" s="148">
        <v>5</v>
      </c>
    </row>
    <row r="3" spans="1:13" ht="15.75" thickBot="1" x14ac:dyDescent="0.3">
      <c r="A3" s="25"/>
      <c r="B3" s="520" t="s">
        <v>155</v>
      </c>
      <c r="E3" s="70" t="s">
        <v>348</v>
      </c>
      <c r="H3" s="148">
        <v>10</v>
      </c>
    </row>
    <row r="4" spans="1:13" ht="15.75" thickBot="1" x14ac:dyDescent="0.3">
      <c r="A4" s="25"/>
      <c r="B4" s="520" t="s">
        <v>157</v>
      </c>
      <c r="H4" s="266">
        <v>20</v>
      </c>
    </row>
    <row r="5" spans="1:13" ht="15.75" thickBot="1" x14ac:dyDescent="0.3">
      <c r="A5" s="25"/>
      <c r="B5" s="520" t="s">
        <v>159</v>
      </c>
      <c r="H5" s="104"/>
    </row>
    <row r="6" spans="1:13" x14ac:dyDescent="0.25">
      <c r="A6" s="25"/>
      <c r="B6" s="520" t="s">
        <v>429</v>
      </c>
      <c r="E6" s="264" t="s">
        <v>349</v>
      </c>
      <c r="H6" s="104"/>
    </row>
    <row r="7" spans="1:13" ht="15.75" thickBot="1" x14ac:dyDescent="0.3">
      <c r="A7" s="25"/>
      <c r="B7" s="520" t="s">
        <v>430</v>
      </c>
      <c r="E7" s="265" t="s">
        <v>63</v>
      </c>
    </row>
    <row r="8" spans="1:13" x14ac:dyDescent="0.25">
      <c r="A8" s="25"/>
      <c r="B8" s="520" t="s">
        <v>431</v>
      </c>
      <c r="H8" s="66" t="s">
        <v>16</v>
      </c>
    </row>
    <row r="9" spans="1:13" x14ac:dyDescent="0.25">
      <c r="B9" s="520" t="s">
        <v>432</v>
      </c>
      <c r="E9" s="250"/>
      <c r="H9" s="67" t="s">
        <v>79</v>
      </c>
    </row>
    <row r="10" spans="1:13" ht="15.75" thickBot="1" x14ac:dyDescent="0.3">
      <c r="B10" s="520" t="s">
        <v>433</v>
      </c>
      <c r="H10" s="68" t="s">
        <v>82</v>
      </c>
      <c r="L10" s="16"/>
    </row>
    <row r="11" spans="1:13" x14ac:dyDescent="0.25">
      <c r="B11" s="520" t="s">
        <v>434</v>
      </c>
      <c r="E11" s="66" t="s">
        <v>350</v>
      </c>
    </row>
    <row r="12" spans="1:13" x14ac:dyDescent="0.25">
      <c r="B12" s="520" t="s">
        <v>435</v>
      </c>
      <c r="E12" s="67">
        <v>0.5</v>
      </c>
      <c r="H12" s="26"/>
    </row>
    <row r="13" spans="1:13" ht="15.75" thickBot="1" x14ac:dyDescent="0.3">
      <c r="B13" s="520" t="s">
        <v>436</v>
      </c>
      <c r="E13" s="68">
        <v>0.99</v>
      </c>
      <c r="H13" s="106" t="s">
        <v>351</v>
      </c>
      <c r="I13" s="106"/>
      <c r="J13" s="106"/>
      <c r="K13" s="106"/>
      <c r="M13" s="26"/>
    </row>
    <row r="14" spans="1:13" ht="15.75" thickBot="1" x14ac:dyDescent="0.3">
      <c r="B14" s="520" t="s">
        <v>170</v>
      </c>
      <c r="H14" s="106"/>
      <c r="I14" s="106"/>
      <c r="J14" s="106"/>
      <c r="K14" s="106"/>
    </row>
    <row r="15" spans="1:13" x14ac:dyDescent="0.25">
      <c r="B15" s="520" t="s">
        <v>172</v>
      </c>
      <c r="E15" s="65" t="s">
        <v>352</v>
      </c>
      <c r="H15" s="257" t="s">
        <v>353</v>
      </c>
      <c r="I15" s="258">
        <v>98.96</v>
      </c>
      <c r="J15" s="259" t="s">
        <v>273</v>
      </c>
      <c r="K15" s="106"/>
    </row>
    <row r="16" spans="1:13" ht="15.75" thickBot="1" x14ac:dyDescent="0.3">
      <c r="B16" s="521" t="s">
        <v>176</v>
      </c>
      <c r="E16" s="69">
        <v>10</v>
      </c>
      <c r="H16" s="260" t="s">
        <v>276</v>
      </c>
      <c r="I16" s="263">
        <v>24.45</v>
      </c>
      <c r="J16" s="262" t="s">
        <v>277</v>
      </c>
      <c r="K16" s="106"/>
    </row>
    <row r="17" spans="2:12" ht="15.75" thickBot="1" x14ac:dyDescent="0.3">
      <c r="B17" s="521" t="s">
        <v>178</v>
      </c>
      <c r="E17" s="69">
        <v>25</v>
      </c>
      <c r="H17" s="106"/>
      <c r="I17" s="106"/>
      <c r="J17" s="106"/>
      <c r="K17" s="106"/>
    </row>
    <row r="18" spans="2:12" x14ac:dyDescent="0.25">
      <c r="B18" s="521" t="s">
        <v>180</v>
      </c>
      <c r="E18" s="69">
        <v>50</v>
      </c>
      <c r="H18" s="257" t="s">
        <v>354</v>
      </c>
      <c r="I18" s="258">
        <v>50</v>
      </c>
      <c r="J18" s="259" t="s">
        <v>355</v>
      </c>
      <c r="K18" s="106"/>
    </row>
    <row r="19" spans="2:12" ht="15.75" thickBot="1" x14ac:dyDescent="0.3">
      <c r="B19" s="521" t="s">
        <v>182</v>
      </c>
      <c r="E19" s="69">
        <v>1000</v>
      </c>
      <c r="H19" s="260"/>
      <c r="I19" s="261">
        <f>I18/I16*MW</f>
        <v>202.37218813905929</v>
      </c>
      <c r="J19" s="262" t="s">
        <v>356</v>
      </c>
      <c r="K19" s="106"/>
    </row>
    <row r="20" spans="2:12" ht="15.75" thickBot="1" x14ac:dyDescent="0.3">
      <c r="B20" s="521" t="s">
        <v>297</v>
      </c>
      <c r="E20" s="70">
        <v>10000</v>
      </c>
      <c r="H20" s="136"/>
      <c r="I20" s="137"/>
      <c r="J20" s="136"/>
      <c r="K20" s="106"/>
    </row>
    <row r="21" spans="2:12" x14ac:dyDescent="0.25">
      <c r="B21" s="521" t="s">
        <v>189</v>
      </c>
      <c r="H21" s="764" t="s">
        <v>357</v>
      </c>
      <c r="I21" s="765"/>
      <c r="J21" s="766"/>
      <c r="K21" s="106"/>
    </row>
    <row r="22" spans="2:12" ht="15.75" thickBot="1" x14ac:dyDescent="0.3">
      <c r="B22" s="521" t="s">
        <v>298</v>
      </c>
      <c r="E22" s="135"/>
      <c r="H22" s="138" t="s">
        <v>358</v>
      </c>
      <c r="I22" s="140">
        <v>1000</v>
      </c>
      <c r="J22" s="139" t="s">
        <v>359</v>
      </c>
      <c r="K22" s="106"/>
    </row>
    <row r="23" spans="2:12" ht="15.75" thickBot="1" x14ac:dyDescent="0.3">
      <c r="B23" s="521" t="s">
        <v>299</v>
      </c>
      <c r="H23" s="106"/>
      <c r="I23" s="106"/>
      <c r="J23" s="106"/>
      <c r="K23" s="106"/>
      <c r="L23" s="16"/>
    </row>
    <row r="24" spans="2:12" ht="16.5" thickBot="1" x14ac:dyDescent="0.3">
      <c r="B24" s="521" t="s">
        <v>301</v>
      </c>
      <c r="H24" s="109" t="s">
        <v>360</v>
      </c>
      <c r="I24" s="110" t="s">
        <v>361</v>
      </c>
      <c r="J24" s="110" t="s">
        <v>362</v>
      </c>
      <c r="K24" s="110" t="s">
        <v>363</v>
      </c>
      <c r="L24" s="16"/>
    </row>
    <row r="25" spans="2:12" ht="16.5" thickTop="1" thickBot="1" x14ac:dyDescent="0.3">
      <c r="B25" s="521" t="s">
        <v>302</v>
      </c>
      <c r="H25" s="107" t="s">
        <v>364</v>
      </c>
      <c r="I25" s="108" t="s">
        <v>365</v>
      </c>
      <c r="J25" s="108">
        <v>8</v>
      </c>
      <c r="K25" s="111" t="s">
        <v>366</v>
      </c>
    </row>
    <row r="26" spans="2:12" ht="15.75" thickBot="1" x14ac:dyDescent="0.3">
      <c r="B26" s="521" t="s">
        <v>304</v>
      </c>
      <c r="H26" s="107" t="s">
        <v>367</v>
      </c>
      <c r="I26" s="108" t="s">
        <v>368</v>
      </c>
      <c r="J26" s="108">
        <v>24</v>
      </c>
      <c r="K26" s="111" t="s">
        <v>366</v>
      </c>
    </row>
    <row r="27" spans="2:12" ht="15.75" thickBot="1" x14ac:dyDescent="0.3">
      <c r="B27" s="521" t="s">
        <v>337</v>
      </c>
      <c r="H27" s="107" t="s">
        <v>369</v>
      </c>
      <c r="I27" s="108" t="s">
        <v>370</v>
      </c>
      <c r="J27" s="108">
        <v>250</v>
      </c>
      <c r="K27" s="111" t="s">
        <v>371</v>
      </c>
    </row>
    <row r="28" spans="2:12" ht="15.75" thickBot="1" x14ac:dyDescent="0.3">
      <c r="B28" s="521" t="s">
        <v>307</v>
      </c>
      <c r="H28" s="107" t="s">
        <v>372</v>
      </c>
      <c r="I28" s="108" t="s">
        <v>373</v>
      </c>
      <c r="J28" s="214">
        <v>365</v>
      </c>
      <c r="K28" s="111" t="s">
        <v>371</v>
      </c>
    </row>
    <row r="29" spans="2:12" ht="15.75" thickBot="1" x14ac:dyDescent="0.3">
      <c r="B29" s="521" t="s">
        <v>308</v>
      </c>
      <c r="H29" s="107" t="s">
        <v>374</v>
      </c>
      <c r="I29" s="108" t="s">
        <v>375</v>
      </c>
      <c r="J29" s="108">
        <v>31</v>
      </c>
      <c r="K29" s="111" t="s">
        <v>376</v>
      </c>
    </row>
    <row r="30" spans="2:12" ht="15.75" thickBot="1" x14ac:dyDescent="0.3">
      <c r="B30" s="522" t="s">
        <v>309</v>
      </c>
      <c r="H30" s="107" t="s">
        <v>377</v>
      </c>
      <c r="I30" s="108" t="s">
        <v>378</v>
      </c>
      <c r="J30" s="108">
        <v>40</v>
      </c>
      <c r="K30" s="111" t="s">
        <v>376</v>
      </c>
    </row>
    <row r="31" spans="2:12" ht="15.75" thickBot="1" x14ac:dyDescent="0.3">
      <c r="H31" s="107" t="s">
        <v>379</v>
      </c>
      <c r="I31" s="108" t="s">
        <v>380</v>
      </c>
      <c r="J31" s="108">
        <v>78</v>
      </c>
      <c r="K31" s="111" t="s">
        <v>376</v>
      </c>
    </row>
    <row r="32" spans="2:12" ht="26.25" thickBot="1" x14ac:dyDescent="0.3">
      <c r="H32" s="107" t="s">
        <v>381</v>
      </c>
      <c r="I32" s="108" t="s">
        <v>382</v>
      </c>
      <c r="J32" s="215">
        <f>WY_mid*EF_C*ED_24</f>
        <v>271560</v>
      </c>
      <c r="K32" s="111" t="s">
        <v>383</v>
      </c>
    </row>
    <row r="33" spans="8:11" ht="26.25" thickBot="1" x14ac:dyDescent="0.3">
      <c r="H33" s="107" t="s">
        <v>384</v>
      </c>
      <c r="I33" s="108" t="s">
        <v>385</v>
      </c>
      <c r="J33" s="215">
        <f>WY_high*EF_C*ED_24</f>
        <v>350400</v>
      </c>
      <c r="K33" s="111" t="s">
        <v>383</v>
      </c>
    </row>
    <row r="34" spans="8:11" ht="26.25" thickBot="1" x14ac:dyDescent="0.3">
      <c r="H34" s="107" t="s">
        <v>386</v>
      </c>
      <c r="I34" s="108" t="s">
        <v>387</v>
      </c>
      <c r="J34" s="215">
        <f>LT*EF_C*ED_24</f>
        <v>683280</v>
      </c>
      <c r="K34" s="111" t="s">
        <v>383</v>
      </c>
    </row>
    <row r="35" spans="8:11" ht="26.25" thickBot="1" x14ac:dyDescent="0.3">
      <c r="H35" s="107" t="s">
        <v>481</v>
      </c>
      <c r="I35" s="108" t="s">
        <v>388</v>
      </c>
      <c r="J35" s="216">
        <f>EF_C*WY_mid</f>
        <v>11315</v>
      </c>
      <c r="K35" s="111" t="s">
        <v>389</v>
      </c>
    </row>
    <row r="36" spans="8:11" ht="26.25" thickBot="1" x14ac:dyDescent="0.3">
      <c r="H36" s="107" t="s">
        <v>482</v>
      </c>
      <c r="I36" s="108" t="s">
        <v>390</v>
      </c>
      <c r="J36" s="216">
        <f>EF_C*WY_high</f>
        <v>14600</v>
      </c>
      <c r="K36" s="111" t="s">
        <v>389</v>
      </c>
    </row>
    <row r="37" spans="8:11" ht="15.75" thickBot="1" x14ac:dyDescent="0.3">
      <c r="H37" s="107" t="s">
        <v>483</v>
      </c>
      <c r="I37" s="108" t="s">
        <v>391</v>
      </c>
      <c r="J37" s="217">
        <f>EF_C*LT</f>
        <v>28470</v>
      </c>
      <c r="K37" s="111" t="s">
        <v>389</v>
      </c>
    </row>
    <row r="38" spans="8:11" ht="26.25" thickBot="1" x14ac:dyDescent="0.3">
      <c r="H38" s="107" t="s">
        <v>392</v>
      </c>
      <c r="I38" s="108" t="s">
        <v>393</v>
      </c>
      <c r="J38" s="217">
        <f>1.25/0.6125</f>
        <v>2.0408163265306123</v>
      </c>
      <c r="K38" s="111"/>
    </row>
    <row r="39" spans="8:11" ht="26.25" thickBot="1" x14ac:dyDescent="0.3">
      <c r="H39" s="107" t="s">
        <v>394</v>
      </c>
      <c r="I39" s="108" t="s">
        <v>395</v>
      </c>
      <c r="J39" s="215">
        <f>30*ED_24</f>
        <v>720</v>
      </c>
      <c r="K39" s="111" t="s">
        <v>383</v>
      </c>
    </row>
    <row r="40" spans="8:11" ht="15.75" thickBot="1" x14ac:dyDescent="0.3">
      <c r="H40" s="107" t="s">
        <v>396</v>
      </c>
      <c r="I40" s="108" t="s">
        <v>397</v>
      </c>
      <c r="J40" s="215">
        <v>22</v>
      </c>
      <c r="K40" s="111" t="s">
        <v>371</v>
      </c>
    </row>
    <row r="41" spans="8:11" ht="26.25" thickBot="1" x14ac:dyDescent="0.3">
      <c r="H41" s="107" t="s">
        <v>484</v>
      </c>
      <c r="I41" s="108" t="s">
        <v>398</v>
      </c>
      <c r="J41" s="216">
        <f>30</f>
        <v>30</v>
      </c>
      <c r="K41" s="111" t="s">
        <v>389</v>
      </c>
    </row>
    <row r="42" spans="8:11" ht="15.75" thickBot="1" x14ac:dyDescent="0.3">
      <c r="H42" s="107" t="s">
        <v>399</v>
      </c>
      <c r="I42" s="108" t="s">
        <v>400</v>
      </c>
      <c r="J42" s="108">
        <v>24</v>
      </c>
      <c r="K42" s="111" t="s">
        <v>366</v>
      </c>
    </row>
    <row r="43" spans="8:11" ht="26.25" thickBot="1" x14ac:dyDescent="0.3">
      <c r="H43" s="355" t="s">
        <v>401</v>
      </c>
      <c r="I43" s="356" t="s">
        <v>402</v>
      </c>
      <c r="J43" s="358">
        <v>8.9</v>
      </c>
      <c r="K43" s="357" t="s">
        <v>371</v>
      </c>
    </row>
    <row r="44" spans="8:11" ht="26.25" thickBot="1" x14ac:dyDescent="0.3">
      <c r="H44" s="355" t="s">
        <v>403</v>
      </c>
      <c r="I44" s="356" t="s">
        <v>404</v>
      </c>
      <c r="J44" s="358">
        <v>33</v>
      </c>
      <c r="K44" s="357" t="s">
        <v>371</v>
      </c>
    </row>
    <row r="45" spans="8:11" ht="26.25" thickBot="1" x14ac:dyDescent="0.3">
      <c r="H45" s="355" t="s">
        <v>405</v>
      </c>
      <c r="I45" s="356" t="s">
        <v>406</v>
      </c>
      <c r="J45" s="458">
        <v>10.6</v>
      </c>
      <c r="K45" s="357" t="s">
        <v>371</v>
      </c>
    </row>
    <row r="46" spans="8:11" ht="26.25" thickBot="1" x14ac:dyDescent="0.3">
      <c r="H46" s="355" t="s">
        <v>479</v>
      </c>
      <c r="I46" s="459" t="s">
        <v>407</v>
      </c>
      <c r="J46" s="358">
        <v>40</v>
      </c>
      <c r="K46" s="461" t="s">
        <v>371</v>
      </c>
    </row>
    <row r="47" spans="8:11" ht="26.25" thickBot="1" x14ac:dyDescent="0.3">
      <c r="H47" s="457" t="s">
        <v>408</v>
      </c>
      <c r="I47" s="459" t="s">
        <v>409</v>
      </c>
      <c r="J47" s="462">
        <v>9.8000000000000007</v>
      </c>
      <c r="K47" s="357" t="s">
        <v>371</v>
      </c>
    </row>
    <row r="48" spans="8:11" ht="26.25" thickBot="1" x14ac:dyDescent="0.3">
      <c r="H48" s="457" t="s">
        <v>410</v>
      </c>
      <c r="I48" s="460" t="s">
        <v>411</v>
      </c>
      <c r="J48" s="358">
        <v>33</v>
      </c>
      <c r="K48" s="357" t="s">
        <v>371</v>
      </c>
    </row>
  </sheetData>
  <sheetProtection sheet="1" objects="1" scenarios="1" formatCells="0" formatColumns="0" formatRows="0"/>
  <mergeCells count="1">
    <mergeCell ref="H21:J2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41240-2A0D-4766-9250-85744E11E255}">
  <sheetPr>
    <tabColor theme="1"/>
  </sheetPr>
  <dimension ref="B3:E23"/>
  <sheetViews>
    <sheetView workbookViewId="0"/>
  </sheetViews>
  <sheetFormatPr defaultColWidth="9.140625" defaultRowHeight="15" x14ac:dyDescent="0.25"/>
  <cols>
    <col min="1" max="1" width="4.7109375" style="2" customWidth="1"/>
    <col min="2" max="2" width="33" style="2" customWidth="1"/>
    <col min="3" max="3" width="10.42578125" style="2" customWidth="1"/>
    <col min="4" max="4" width="12.42578125" style="2" customWidth="1"/>
    <col min="5" max="5" width="16.5703125" style="2" bestFit="1" customWidth="1"/>
    <col min="6" max="16384" width="9.140625" style="2"/>
  </cols>
  <sheetData>
    <row r="3" spans="2:5" ht="18.75" x14ac:dyDescent="0.3">
      <c r="B3" s="1" t="s">
        <v>412</v>
      </c>
    </row>
    <row r="4" spans="2:5" ht="15.75" thickBot="1" x14ac:dyDescent="0.3"/>
    <row r="5" spans="2:5" ht="45.75" thickBot="1" x14ac:dyDescent="0.3">
      <c r="C5" s="157" t="s">
        <v>63</v>
      </c>
      <c r="D5" s="158" t="s">
        <v>413</v>
      </c>
      <c r="E5" s="158" t="s">
        <v>414</v>
      </c>
    </row>
    <row r="6" spans="2:5" x14ac:dyDescent="0.25">
      <c r="B6" s="80" t="s">
        <v>415</v>
      </c>
      <c r="C6" s="154">
        <v>80</v>
      </c>
      <c r="D6" s="155">
        <f>AVERAGE(65.9,71.9,74.8,77.1)</f>
        <v>72.425000000000011</v>
      </c>
      <c r="E6" s="156"/>
    </row>
    <row r="7" spans="2:5" ht="17.25" x14ac:dyDescent="0.25">
      <c r="B7" s="80" t="s">
        <v>416</v>
      </c>
      <c r="C7" s="153">
        <f>C8/2</f>
        <v>535</v>
      </c>
      <c r="D7" s="130">
        <f>D8/2</f>
        <v>445</v>
      </c>
      <c r="E7" s="128" t="s">
        <v>83</v>
      </c>
    </row>
    <row r="8" spans="2:5" ht="15" customHeight="1" x14ac:dyDescent="0.25">
      <c r="B8" s="80" t="s">
        <v>417</v>
      </c>
      <c r="C8" s="134">
        <v>1070</v>
      </c>
      <c r="D8" s="129">
        <v>890</v>
      </c>
      <c r="E8" s="128" t="s">
        <v>80</v>
      </c>
    </row>
    <row r="9" spans="2:5" ht="17.25" customHeight="1" x14ac:dyDescent="0.25">
      <c r="B9" s="80" t="s">
        <v>418</v>
      </c>
      <c r="C9" s="127">
        <v>40</v>
      </c>
      <c r="D9" s="130">
        <v>40</v>
      </c>
      <c r="E9" s="128" t="s">
        <v>83</v>
      </c>
    </row>
    <row r="10" spans="2:5" ht="30" x14ac:dyDescent="0.25">
      <c r="B10" s="80" t="s">
        <v>419</v>
      </c>
      <c r="C10" s="127">
        <v>31</v>
      </c>
      <c r="D10" s="130">
        <v>31</v>
      </c>
      <c r="E10" s="128" t="s">
        <v>80</v>
      </c>
    </row>
    <row r="11" spans="2:5" ht="15.75" thickBot="1" x14ac:dyDescent="0.3">
      <c r="B11" s="81" t="s">
        <v>420</v>
      </c>
      <c r="C11" s="131">
        <v>78</v>
      </c>
      <c r="D11" s="132">
        <v>78</v>
      </c>
      <c r="E11" s="133"/>
    </row>
    <row r="12" spans="2:5" x14ac:dyDescent="0.25">
      <c r="B12" s="768"/>
      <c r="C12" s="768"/>
      <c r="D12" s="769"/>
      <c r="E12" s="769"/>
    </row>
    <row r="13" spans="2:5" x14ac:dyDescent="0.25">
      <c r="B13" s="498"/>
      <c r="C13" s="498"/>
      <c r="D13" s="498"/>
      <c r="E13" s="498"/>
    </row>
    <row r="14" spans="2:5" x14ac:dyDescent="0.25">
      <c r="B14" s="44" t="s">
        <v>421</v>
      </c>
    </row>
    <row r="15" spans="2:5" x14ac:dyDescent="0.25">
      <c r="B15" s="45" t="s">
        <v>422</v>
      </c>
    </row>
    <row r="16" spans="2:5" x14ac:dyDescent="0.25">
      <c r="B16" s="2" t="s">
        <v>423</v>
      </c>
    </row>
    <row r="17" spans="2:5" x14ac:dyDescent="0.25">
      <c r="B17" s="2" t="s">
        <v>424</v>
      </c>
    </row>
    <row r="18" spans="2:5" x14ac:dyDescent="0.25">
      <c r="B18" s="2" t="s">
        <v>425</v>
      </c>
    </row>
    <row r="19" spans="2:5" x14ac:dyDescent="0.25">
      <c r="B19" s="2" t="s">
        <v>426</v>
      </c>
    </row>
    <row r="20" spans="2:5" x14ac:dyDescent="0.25">
      <c r="B20" s="2" t="s">
        <v>427</v>
      </c>
    </row>
    <row r="23" spans="2:5" ht="78" customHeight="1" x14ac:dyDescent="0.25">
      <c r="B23" s="767" t="s">
        <v>428</v>
      </c>
      <c r="C23" s="767"/>
      <c r="D23" s="767"/>
      <c r="E23" s="767"/>
    </row>
  </sheetData>
  <sheetProtection sheet="1" objects="1" scenarios="1" formatCells="0" formatColumns="0" formatRows="0"/>
  <mergeCells count="2">
    <mergeCell ref="B23:E23"/>
    <mergeCell ref="B12:E12"/>
  </mergeCells>
  <phoneticPr fontId="39"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5C5E6-FBC2-4B72-8208-0297D949E5B3}">
  <dimension ref="A1:B13"/>
  <sheetViews>
    <sheetView topLeftCell="A5" workbookViewId="0">
      <selection activeCell="B9" sqref="B9"/>
    </sheetView>
  </sheetViews>
  <sheetFormatPr defaultRowHeight="15" x14ac:dyDescent="0.25"/>
  <cols>
    <col min="1" max="1" width="27.7109375" customWidth="1"/>
    <col min="2" max="2" width="110.28515625" customWidth="1"/>
  </cols>
  <sheetData>
    <row r="1" spans="1:2" x14ac:dyDescent="0.25">
      <c r="A1" s="533" t="s">
        <v>1</v>
      </c>
      <c r="B1" s="533"/>
    </row>
    <row r="2" spans="1:2" s="159" customFormat="1" x14ac:dyDescent="0.25">
      <c r="A2" s="534" t="s">
        <v>2</v>
      </c>
      <c r="B2" s="534"/>
    </row>
    <row r="3" spans="1:2" s="159" customFormat="1" ht="15.75" thickBot="1" x14ac:dyDescent="0.3">
      <c r="A3" s="160" t="s">
        <v>3</v>
      </c>
      <c r="B3" s="161"/>
    </row>
    <row r="4" spans="1:2" s="162" customFormat="1" ht="77.25" customHeight="1" thickTop="1" x14ac:dyDescent="0.25">
      <c r="A4" s="535" t="s">
        <v>4</v>
      </c>
      <c r="B4" s="536"/>
    </row>
    <row r="5" spans="1:2" s="159" customFormat="1" x14ac:dyDescent="0.25">
      <c r="A5" s="537"/>
      <c r="B5" s="538"/>
    </row>
    <row r="6" spans="1:2" s="159" customFormat="1" x14ac:dyDescent="0.25">
      <c r="A6" s="163" t="s">
        <v>5</v>
      </c>
      <c r="B6" s="164" t="s">
        <v>6</v>
      </c>
    </row>
    <row r="7" spans="1:2" s="159" customFormat="1" ht="142.5" x14ac:dyDescent="0.25">
      <c r="A7" s="165" t="s">
        <v>7</v>
      </c>
      <c r="B7" s="222" t="s">
        <v>8</v>
      </c>
    </row>
    <row r="8" spans="1:2" s="159" customFormat="1" ht="42.75" x14ac:dyDescent="0.25">
      <c r="A8" s="166" t="s">
        <v>9</v>
      </c>
      <c r="B8" s="222" t="s">
        <v>10</v>
      </c>
    </row>
    <row r="9" spans="1:2" s="159" customFormat="1" ht="99.75" x14ac:dyDescent="0.25">
      <c r="A9" s="166" t="s">
        <v>11</v>
      </c>
      <c r="B9" s="222" t="s">
        <v>12</v>
      </c>
    </row>
    <row r="10" spans="1:2" s="159" customFormat="1" ht="75.75" thickBot="1" x14ac:dyDescent="0.3">
      <c r="A10" s="167" t="s">
        <v>13</v>
      </c>
      <c r="B10" s="223" t="s">
        <v>14</v>
      </c>
    </row>
    <row r="11" spans="1:2" ht="15.75" thickTop="1" x14ac:dyDescent="0.25">
      <c r="A11" s="168"/>
      <c r="B11" s="169"/>
    </row>
    <row r="13" spans="1:2" x14ac:dyDescent="0.25">
      <c r="B13" s="170"/>
    </row>
  </sheetData>
  <sheetProtection sheet="1" objects="1" scenarios="1" formatCells="0" formatColumns="0" formatRows="0"/>
  <mergeCells count="4">
    <mergeCell ref="A1:B1"/>
    <mergeCell ref="A2:B2"/>
    <mergeCell ref="A4:B4"/>
    <mergeCell ref="A5:B5"/>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9ED66-3813-40A4-86A2-7FA0757E6A9F}">
  <dimension ref="A1:C31"/>
  <sheetViews>
    <sheetView zoomScaleNormal="100" workbookViewId="0"/>
  </sheetViews>
  <sheetFormatPr defaultRowHeight="15" x14ac:dyDescent="0.25"/>
  <cols>
    <col min="1" max="1" width="54.140625" style="17" bestFit="1" customWidth="1"/>
    <col min="2" max="2" width="49.7109375" style="17" bestFit="1" customWidth="1"/>
    <col min="3" max="3" width="94.85546875" style="17" customWidth="1"/>
    <col min="4" max="4" width="29.28515625" customWidth="1"/>
  </cols>
  <sheetData>
    <row r="1" spans="1:3" x14ac:dyDescent="0.25">
      <c r="A1" s="46" t="s">
        <v>15</v>
      </c>
    </row>
    <row r="2" spans="1:3" x14ac:dyDescent="0.25">
      <c r="A2" s="232" t="s">
        <v>16</v>
      </c>
      <c r="B2" s="232" t="s">
        <v>17</v>
      </c>
      <c r="C2" s="232" t="s">
        <v>18</v>
      </c>
    </row>
    <row r="3" spans="1:3" ht="15.75" x14ac:dyDescent="0.25">
      <c r="A3" s="539" t="s">
        <v>19</v>
      </c>
      <c r="B3" s="539"/>
      <c r="C3" s="539"/>
    </row>
    <row r="4" spans="1:3" ht="26.25" x14ac:dyDescent="0.25">
      <c r="A4" s="233" t="s">
        <v>20</v>
      </c>
      <c r="B4" s="234" t="s">
        <v>21</v>
      </c>
      <c r="C4" s="235" t="s">
        <v>22</v>
      </c>
    </row>
    <row r="5" spans="1:3" ht="102.75" x14ac:dyDescent="0.25">
      <c r="A5" s="233" t="s">
        <v>23</v>
      </c>
      <c r="B5" s="233" t="s">
        <v>24</v>
      </c>
      <c r="C5" s="235" t="s">
        <v>25</v>
      </c>
    </row>
    <row r="6" spans="1:3" ht="51.75" x14ac:dyDescent="0.25">
      <c r="A6" s="233" t="s">
        <v>26</v>
      </c>
      <c r="B6" s="233" t="s">
        <v>27</v>
      </c>
      <c r="C6" s="235" t="s">
        <v>28</v>
      </c>
    </row>
    <row r="7" spans="1:3" ht="51.75" x14ac:dyDescent="0.25">
      <c r="A7" s="233" t="s">
        <v>29</v>
      </c>
      <c r="B7" s="233" t="s">
        <v>30</v>
      </c>
      <c r="C7" s="235" t="s">
        <v>31</v>
      </c>
    </row>
    <row r="8" spans="1:3" x14ac:dyDescent="0.25">
      <c r="A8" s="540" t="s">
        <v>32</v>
      </c>
      <c r="B8" s="540"/>
      <c r="C8" s="540"/>
    </row>
    <row r="9" spans="1:3" x14ac:dyDescent="0.25">
      <c r="A9" s="539" t="s">
        <v>33</v>
      </c>
      <c r="B9" s="539"/>
      <c r="C9" s="539"/>
    </row>
    <row r="10" spans="1:3" x14ac:dyDescent="0.25">
      <c r="A10" s="236" t="s">
        <v>34</v>
      </c>
      <c r="B10" s="237" t="s">
        <v>35</v>
      </c>
      <c r="C10" s="238"/>
    </row>
    <row r="11" spans="1:3" x14ac:dyDescent="0.25">
      <c r="A11" s="236" t="s">
        <v>36</v>
      </c>
      <c r="B11" s="237" t="s">
        <v>35</v>
      </c>
      <c r="C11" s="238"/>
    </row>
    <row r="12" spans="1:3" ht="26.25" x14ac:dyDescent="0.25">
      <c r="A12" s="237" t="s">
        <v>37</v>
      </c>
      <c r="B12" s="237" t="s">
        <v>38</v>
      </c>
      <c r="C12" s="236" t="s">
        <v>39</v>
      </c>
    </row>
    <row r="13" spans="1:3" ht="26.25" x14ac:dyDescent="0.25">
      <c r="A13" s="237" t="s">
        <v>40</v>
      </c>
      <c r="B13" s="237" t="s">
        <v>41</v>
      </c>
      <c r="C13" s="236" t="s">
        <v>39</v>
      </c>
    </row>
    <row r="14" spans="1:3" x14ac:dyDescent="0.25">
      <c r="A14" s="539" t="s">
        <v>42</v>
      </c>
      <c r="B14" s="539"/>
      <c r="C14" s="539"/>
    </row>
    <row r="15" spans="1:3" ht="15.75" x14ac:dyDescent="0.25">
      <c r="A15" s="237" t="s">
        <v>43</v>
      </c>
      <c r="B15" s="237" t="s">
        <v>35</v>
      </c>
      <c r="C15" s="236"/>
    </row>
    <row r="16" spans="1:3" ht="26.25" x14ac:dyDescent="0.25">
      <c r="A16" s="237" t="s">
        <v>44</v>
      </c>
      <c r="B16" s="237" t="s">
        <v>45</v>
      </c>
      <c r="C16" s="236" t="s">
        <v>46</v>
      </c>
    </row>
    <row r="17" spans="1:3" x14ac:dyDescent="0.25">
      <c r="A17" s="233"/>
      <c r="B17" s="233"/>
      <c r="C17" s="235"/>
    </row>
    <row r="18" spans="1:3" x14ac:dyDescent="0.25">
      <c r="A18" s="539" t="s">
        <v>47</v>
      </c>
      <c r="B18" s="539"/>
      <c r="C18" s="539"/>
    </row>
    <row r="19" spans="1:3" ht="69" x14ac:dyDescent="0.25">
      <c r="A19" s="237" t="s">
        <v>449</v>
      </c>
      <c r="B19" s="237" t="s">
        <v>48</v>
      </c>
      <c r="C19" s="235" t="s">
        <v>480</v>
      </c>
    </row>
    <row r="20" spans="1:3" x14ac:dyDescent="0.25">
      <c r="A20" s="237" t="s">
        <v>450</v>
      </c>
      <c r="B20" s="237" t="s">
        <v>453</v>
      </c>
      <c r="C20" s="239" t="s">
        <v>49</v>
      </c>
    </row>
    <row r="21" spans="1:3" ht="77.25" x14ac:dyDescent="0.25">
      <c r="A21" s="237" t="s">
        <v>475</v>
      </c>
      <c r="B21" s="237" t="s">
        <v>454</v>
      </c>
      <c r="C21" s="235" t="s">
        <v>50</v>
      </c>
    </row>
    <row r="22" spans="1:3" ht="51.75" x14ac:dyDescent="0.25">
      <c r="A22" s="233" t="s">
        <v>451</v>
      </c>
      <c r="B22" s="233" t="s">
        <v>455</v>
      </c>
      <c r="C22" s="235" t="s">
        <v>485</v>
      </c>
    </row>
    <row r="23" spans="1:3" ht="39" x14ac:dyDescent="0.25">
      <c r="A23" s="233" t="s">
        <v>452</v>
      </c>
      <c r="B23" s="233" t="s">
        <v>455</v>
      </c>
      <c r="C23" s="235" t="s">
        <v>51</v>
      </c>
    </row>
    <row r="24" spans="1:3" x14ac:dyDescent="0.25">
      <c r="A24" s="539" t="s">
        <v>52</v>
      </c>
      <c r="B24" s="539"/>
      <c r="C24" s="539"/>
    </row>
    <row r="25" spans="1:3" x14ac:dyDescent="0.25">
      <c r="A25" s="236" t="s">
        <v>53</v>
      </c>
      <c r="B25" s="237" t="s">
        <v>35</v>
      </c>
      <c r="C25" s="238"/>
    </row>
    <row r="26" spans="1:3" x14ac:dyDescent="0.25">
      <c r="A26" s="236" t="s">
        <v>36</v>
      </c>
      <c r="B26" s="237" t="s">
        <v>35</v>
      </c>
      <c r="C26" s="238"/>
    </row>
    <row r="27" spans="1:3" ht="26.25" x14ac:dyDescent="0.25">
      <c r="A27" s="237" t="s">
        <v>37</v>
      </c>
      <c r="B27" s="237" t="s">
        <v>54</v>
      </c>
      <c r="C27" s="236" t="s">
        <v>39</v>
      </c>
    </row>
    <row r="28" spans="1:3" ht="26.25" x14ac:dyDescent="0.25">
      <c r="A28" s="237" t="s">
        <v>40</v>
      </c>
      <c r="B28" s="237" t="s">
        <v>55</v>
      </c>
      <c r="C28" s="236" t="s">
        <v>39</v>
      </c>
    </row>
    <row r="29" spans="1:3" x14ac:dyDescent="0.25">
      <c r="A29" s="539" t="s">
        <v>42</v>
      </c>
      <c r="B29" s="539"/>
      <c r="C29" s="539"/>
    </row>
    <row r="30" spans="1:3" ht="15.75" x14ac:dyDescent="0.25">
      <c r="A30" s="237" t="s">
        <v>56</v>
      </c>
      <c r="B30" s="237" t="s">
        <v>35</v>
      </c>
      <c r="C30" s="236"/>
    </row>
    <row r="31" spans="1:3" ht="26.25" x14ac:dyDescent="0.25">
      <c r="A31" s="237" t="s">
        <v>44</v>
      </c>
      <c r="B31" s="237" t="s">
        <v>57</v>
      </c>
      <c r="C31" s="236" t="s">
        <v>46</v>
      </c>
    </row>
  </sheetData>
  <sheetProtection sheet="1" objects="1" scenarios="1" formatCells="0" formatColumns="0" formatRows="0"/>
  <mergeCells count="7">
    <mergeCell ref="A29:C29"/>
    <mergeCell ref="A3:C3"/>
    <mergeCell ref="A18:C18"/>
    <mergeCell ref="A8:C8"/>
    <mergeCell ref="A9:C9"/>
    <mergeCell ref="A24:C24"/>
    <mergeCell ref="A14:C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92D050"/>
  </sheetPr>
  <dimension ref="A1:T98"/>
  <sheetViews>
    <sheetView zoomScale="85" zoomScaleNormal="85" workbookViewId="0">
      <selection activeCell="D1" sqref="D1"/>
    </sheetView>
  </sheetViews>
  <sheetFormatPr defaultColWidth="8.85546875" defaultRowHeight="15" x14ac:dyDescent="0.25"/>
  <cols>
    <col min="1" max="1" width="2.28515625" style="12" customWidth="1"/>
    <col min="2" max="2" width="5.5703125" style="11" bestFit="1" customWidth="1"/>
    <col min="3" max="3" width="31.85546875" style="12" customWidth="1"/>
    <col min="4" max="4" width="16" style="11" bestFit="1" customWidth="1"/>
    <col min="5" max="5" width="19.7109375" style="12" customWidth="1"/>
    <col min="6" max="6" width="19.28515625" style="12" customWidth="1"/>
    <col min="7" max="7" width="21" style="12" customWidth="1"/>
    <col min="8" max="8" width="22.28515625" style="12" customWidth="1"/>
    <col min="9" max="10" width="23" style="12" customWidth="1"/>
    <col min="11" max="11" width="4.42578125" style="12" customWidth="1"/>
    <col min="12" max="12" width="7.28515625" style="12" customWidth="1"/>
    <col min="13" max="13" width="37.5703125" style="12" customWidth="1"/>
    <col min="14" max="14" width="18" style="12" customWidth="1"/>
    <col min="15" max="15" width="18" style="12" bestFit="1" customWidth="1"/>
    <col min="16" max="16" width="22.28515625" style="12" customWidth="1"/>
    <col min="17" max="17" width="21" style="12" customWidth="1"/>
    <col min="18" max="18" width="22" style="12" customWidth="1"/>
    <col min="19" max="19" width="22.42578125" style="12" customWidth="1"/>
    <col min="20" max="20" width="23.42578125" style="12" customWidth="1"/>
    <col min="21" max="16384" width="8.85546875" style="12"/>
  </cols>
  <sheetData>
    <row r="1" spans="1:20" ht="15.75" thickBot="1" x14ac:dyDescent="0.3"/>
    <row r="2" spans="1:20" s="14" customFormat="1" ht="21" customHeight="1" thickBot="1" x14ac:dyDescent="0.3">
      <c r="B2" s="19"/>
      <c r="C2" s="469" t="s">
        <v>58</v>
      </c>
      <c r="D2" s="143"/>
      <c r="E2" s="119"/>
      <c r="M2" s="580" t="s">
        <v>59</v>
      </c>
      <c r="N2" s="581"/>
    </row>
    <row r="3" spans="1:20" s="14" customFormat="1" ht="56.25" customHeight="1" x14ac:dyDescent="0.25">
      <c r="B3" s="19"/>
      <c r="C3" s="142" t="s">
        <v>60</v>
      </c>
      <c r="D3" s="144"/>
      <c r="E3" s="120"/>
      <c r="M3" s="582" t="s">
        <v>61</v>
      </c>
      <c r="N3" s="583"/>
    </row>
    <row r="4" spans="1:20" s="14" customFormat="1" ht="53.25" customHeight="1" thickBot="1" x14ac:dyDescent="0.3">
      <c r="B4" s="19"/>
      <c r="C4" s="230" t="s">
        <v>62</v>
      </c>
      <c r="D4" s="145"/>
      <c r="E4" s="118"/>
      <c r="M4" s="563" t="s">
        <v>63</v>
      </c>
      <c r="N4" s="564"/>
    </row>
    <row r="5" spans="1:20" s="14" customFormat="1" ht="21" x14ac:dyDescent="0.25">
      <c r="A5" s="49"/>
      <c r="B5" s="19"/>
      <c r="E5" s="21"/>
      <c r="F5" s="571"/>
      <c r="G5" s="571"/>
      <c r="H5" s="472"/>
      <c r="I5" s="472"/>
      <c r="J5" s="472"/>
      <c r="K5" s="472"/>
      <c r="P5" s="63"/>
      <c r="Q5" s="60"/>
      <c r="R5" s="50"/>
    </row>
    <row r="6" spans="1:20" s="14" customFormat="1" ht="21" x14ac:dyDescent="0.25">
      <c r="B6" s="19"/>
      <c r="C6" s="50" t="s">
        <v>64</v>
      </c>
      <c r="D6" s="19"/>
      <c r="E6" s="21"/>
      <c r="F6" s="21"/>
      <c r="G6" s="21"/>
      <c r="H6" s="21"/>
      <c r="I6" s="21"/>
      <c r="J6" s="21"/>
      <c r="K6" s="21"/>
      <c r="M6" s="50" t="s">
        <v>59</v>
      </c>
      <c r="N6" s="12"/>
      <c r="O6" s="12"/>
      <c r="P6" s="63"/>
      <c r="Q6" s="60"/>
      <c r="R6" s="12"/>
    </row>
    <row r="7" spans="1:20" ht="21.75" thickBot="1" x14ac:dyDescent="0.3">
      <c r="C7" s="13" t="s">
        <v>65</v>
      </c>
      <c r="F7" s="122"/>
      <c r="G7" s="122"/>
      <c r="H7" s="122"/>
      <c r="I7" s="78"/>
      <c r="J7" s="78"/>
      <c r="K7" s="78"/>
      <c r="M7" s="13" t="s">
        <v>65</v>
      </c>
      <c r="P7" s="63"/>
      <c r="Q7" s="60"/>
    </row>
    <row r="8" spans="1:20" ht="25.5" x14ac:dyDescent="0.25">
      <c r="C8" s="569" t="s">
        <v>66</v>
      </c>
      <c r="D8" s="578" t="s">
        <v>67</v>
      </c>
      <c r="E8" s="465" t="s">
        <v>68</v>
      </c>
      <c r="F8" s="465" t="s">
        <v>69</v>
      </c>
      <c r="G8" s="465" t="s">
        <v>70</v>
      </c>
      <c r="H8" s="465" t="s">
        <v>71</v>
      </c>
      <c r="I8" s="465" t="s">
        <v>72</v>
      </c>
      <c r="J8" s="491" t="s">
        <v>73</v>
      </c>
      <c r="K8" s="74"/>
      <c r="L8" s="74"/>
      <c r="M8" s="569" t="s">
        <v>66</v>
      </c>
      <c r="N8" s="565" t="s">
        <v>67</v>
      </c>
      <c r="O8" s="465" t="s">
        <v>458</v>
      </c>
      <c r="P8" s="465" t="s">
        <v>459</v>
      </c>
      <c r="Q8" s="465" t="s">
        <v>476</v>
      </c>
      <c r="R8" s="465" t="s">
        <v>460</v>
      </c>
      <c r="S8" s="465" t="s">
        <v>461</v>
      </c>
      <c r="T8" s="491" t="s">
        <v>462</v>
      </c>
    </row>
    <row r="9" spans="1:20" ht="42" customHeight="1" thickBot="1" x14ac:dyDescent="0.3">
      <c r="C9" s="570"/>
      <c r="D9" s="579"/>
      <c r="E9" s="466" t="s">
        <v>75</v>
      </c>
      <c r="F9" s="466" t="s">
        <v>76</v>
      </c>
      <c r="G9" s="466" t="s">
        <v>77</v>
      </c>
      <c r="H9" s="466" t="s">
        <v>77</v>
      </c>
      <c r="I9" s="466" t="s">
        <v>78</v>
      </c>
      <c r="J9" s="377" t="s">
        <v>78</v>
      </c>
      <c r="K9" s="74"/>
      <c r="L9" s="74"/>
      <c r="M9" s="570"/>
      <c r="N9" s="566"/>
      <c r="O9" s="466" t="s">
        <v>456</v>
      </c>
      <c r="P9" s="466" t="s">
        <v>457</v>
      </c>
      <c r="Q9" s="466" t="s">
        <v>477</v>
      </c>
      <c r="R9" s="466" t="s">
        <v>463</v>
      </c>
      <c r="S9" s="466" t="s">
        <v>464</v>
      </c>
      <c r="T9" s="377" t="s">
        <v>464</v>
      </c>
    </row>
    <row r="10" spans="1:20" x14ac:dyDescent="0.25">
      <c r="C10" s="470" t="s">
        <v>79</v>
      </c>
      <c r="D10" s="586" t="s">
        <v>80</v>
      </c>
      <c r="E10" s="410">
        <f>SUMIFS('Inhalation Exposure'!$I:$I,'Inhalation Exposure'!$C:$C,$C$4,'Inhalation Exposure'!$D:$D,$C10)</f>
        <v>0.48</v>
      </c>
      <c r="F10" s="410">
        <f>SUMIFS('Inhalation Exposure'!$K:$K,'Inhalation Exposure'!$C:$C,$C$4,'Inhalation Exposure'!$D:$D,$C10)</f>
        <v>0.32653061224489799</v>
      </c>
      <c r="G10" s="410">
        <f>SUMIFS('Inhalation Exposure'!$M:$M,'Inhalation Exposure'!$C:$C,$C$4,'Inhalation Exposure'!$D:$D,$C10)</f>
        <v>0.23945578231292514</v>
      </c>
      <c r="H10" s="410">
        <f>SUMIFS('Inhalation Exposure'!$O:$O,'Inhalation Exposure'!$C:$C,$C$4,'Inhalation Exposure'!$D:$D,$C10)</f>
        <v>0.22365110427732737</v>
      </c>
      <c r="I10" s="410">
        <f>SUMIFS('Inhalation Exposure'!$Q:$Q,'Inhalation Exposure'!$C:$C,$C$4,'Inhalation Exposure'!$D:$D,$C10)</f>
        <v>8.888697734098909E-2</v>
      </c>
      <c r="J10" s="411">
        <f>SUMIFS('Inhalation Exposure'!$S:$S,'Inhalation Exposure'!$C:$C,$C$4,'Inhalation Exposure'!$D:$D,$C10)</f>
        <v>2.5519164462412994E-2</v>
      </c>
      <c r="K10" s="79"/>
      <c r="L10" s="79"/>
      <c r="M10" s="567" t="s">
        <v>81</v>
      </c>
      <c r="N10" s="281" t="s">
        <v>80</v>
      </c>
      <c r="O10" s="429">
        <f>SUMIF('Dermal Exposure'!$B$6:$B$34, $C$4, 'Dermal Exposure'!P6:P34)</f>
        <v>3.2028609922579019</v>
      </c>
      <c r="P10" s="429">
        <f>SUMIF('Dermal Exposure'!$B$6:$B$34, $C$4, 'Dermal Exposure'!Q6:Q34)</f>
        <v>4.0035762403223776E-2</v>
      </c>
      <c r="Q10" s="429">
        <f>SUMIF('Dermal Exposure'!$B$6:$B$34, $C$4, 'Dermal Exposure'!R6:R34)</f>
        <v>2.9359559095697436E-2</v>
      </c>
      <c r="R10" s="429">
        <f>SUMIF('Dermal Exposure'!$B$6:$B$34, $C$4, 'Dermal Exposure'!S6:S34)</f>
        <v>2.7421755070701218E-2</v>
      </c>
      <c r="S10" s="429">
        <f>SUMIF('Dermal Exposure'!$B$6:$B$34, $C$4, 'Dermal Exposure'!T6:T34)</f>
        <v>1.0260616307105324E-2</v>
      </c>
      <c r="T10" s="430">
        <f>SUMIF('Dermal Exposure'!$B$6:$B$34, $C$4, 'Dermal Exposure'!U6:U34)</f>
        <v>6.919914724170916E-3</v>
      </c>
    </row>
    <row r="11" spans="1:20" ht="15.75" thickBot="1" x14ac:dyDescent="0.3">
      <c r="C11" s="372" t="s">
        <v>82</v>
      </c>
      <c r="D11" s="584"/>
      <c r="E11" s="412">
        <f>SUMIFS('Inhalation Exposure'!$I:$I,'Inhalation Exposure'!$C:$C,$C$4,'Inhalation Exposure'!$D:$D,$C11)</f>
        <v>1.4E-2</v>
      </c>
      <c r="F11" s="412">
        <f>SUMIFS('Inhalation Exposure'!$K:$K,'Inhalation Exposure'!$C:$C,$C$4,'Inhalation Exposure'!$D:$D,$C11)</f>
        <v>9.5238095238095247E-3</v>
      </c>
      <c r="G11" s="412">
        <f>SUMIFS('Inhalation Exposure'!$M:$M,'Inhalation Exposure'!$C:$C,$C$4,'Inhalation Exposure'!$D:$D,$C11)</f>
        <v>6.9841269841269841E-3</v>
      </c>
      <c r="H11" s="413">
        <f>SUMIFS('Inhalation Exposure'!$O:$O,'Inhalation Exposure'!$C:$C,$C$4,'Inhalation Exposure'!$D:$D,$C11)</f>
        <v>6.5231572080887154E-3</v>
      </c>
      <c r="I11" s="413">
        <f>SUMIFS('Inhalation Exposure'!$Q:$Q,'Inhalation Exposure'!$C:$C,$C$4,'Inhalation Exposure'!$D:$D,$C11)</f>
        <v>2.5925368391121815E-3</v>
      </c>
      <c r="J11" s="414">
        <f>SUMIFS('Inhalation Exposure'!$S:$S,'Inhalation Exposure'!$C:$C,$C$4,'Inhalation Exposure'!$D:$D,$C11)</f>
        <v>7.4430896348704574E-4</v>
      </c>
      <c r="K11" s="79"/>
      <c r="L11" s="79"/>
      <c r="M11" s="568"/>
      <c r="N11" s="421" t="s">
        <v>83</v>
      </c>
      <c r="O11" s="431">
        <f>SUMIF('Dermal Exposure'!$B$6:$B$34, $C$4, 'Dermal Exposure'!J6:J34)</f>
        <v>5.4817479624851044</v>
      </c>
      <c r="P11" s="431">
        <f>SUMIF('Dermal Exposure'!$B$6:$B$34, $C$4, 'Dermal Exposure'!K6:K34)</f>
        <v>6.85218495310638E-2</v>
      </c>
      <c r="Q11" s="431">
        <f>SUMIF('Dermal Exposure'!$B$6:$B$34, $C$4, 'Dermal Exposure'!L6:L34)</f>
        <v>5.0249356322780124E-2</v>
      </c>
      <c r="R11" s="431">
        <f>SUMIF('Dermal Exposure'!$B$6:$B$34, $C$4, 'Dermal Exposure'!M6:M34)</f>
        <v>4.6932773651413559E-2</v>
      </c>
      <c r="S11" s="431">
        <f>SUMIF('Dermal Exposure'!$B$6:$B$34, $C$4, 'Dermal Exposure'!N6:N34)</f>
        <v>2.0043091534377794E-2</v>
      </c>
      <c r="T11" s="432">
        <f>SUMIF('Dermal Exposure'!$B$6:$B$34, $C$4, 'Dermal Exposure'!O6:O34)</f>
        <v>1.5089205731641353E-2</v>
      </c>
    </row>
    <row r="12" spans="1:20" ht="15" customHeight="1" x14ac:dyDescent="0.25">
      <c r="C12" s="372" t="s">
        <v>79</v>
      </c>
      <c r="D12" s="584" t="s">
        <v>83</v>
      </c>
      <c r="E12" s="413">
        <f>SUMIFS('Inhalation Exposure'!$H:$H,'Inhalation Exposure'!$C:$C,$C$4,'Inhalation Exposure'!$D:$D,$C12)</f>
        <v>7.3</v>
      </c>
      <c r="F12" s="413">
        <f>SUMIFS('Inhalation Exposure'!$J:$J,'Inhalation Exposure'!$C:$C,$C$4,'Inhalation Exposure'!$D:$D,$C12)</f>
        <v>4.9659863945578229</v>
      </c>
      <c r="G12" s="413">
        <f>SUMIFS('Inhalation Exposure'!$L:$L,'Inhalation Exposure'!$C:$C,$C$4,'Inhalation Exposure'!$D:$D,$C12)</f>
        <v>3.64172335600907</v>
      </c>
      <c r="H12" s="415">
        <f>SUMIFS('Inhalation Exposure'!$N:$N,'Inhalation Exposure'!$C:$C,$C$4,'Inhalation Exposure'!$D:$D,$C12)</f>
        <v>3.4013605442176873</v>
      </c>
      <c r="I12" s="413">
        <f>SUMIFS('Inhalation Exposure'!$P:$P,'Inhalation Exposure'!$C:$C,$C$4,'Inhalation Exposure'!$D:$D,$C12)</f>
        <v>1.7442874585731729</v>
      </c>
      <c r="J12" s="414">
        <f>SUMIFS('Inhalation Exposure'!$R:$R,'Inhalation Exposure'!$C:$C,$C$4,'Inhalation Exposure'!$D:$D,$C12)</f>
        <v>1.4390371533228676</v>
      </c>
      <c r="K12" s="79"/>
      <c r="L12" s="79"/>
      <c r="M12" s="18"/>
      <c r="N12" s="464"/>
      <c r="O12" s="21"/>
      <c r="P12" s="14"/>
      <c r="Q12" s="464"/>
      <c r="R12" s="14"/>
      <c r="S12" s="14"/>
    </row>
    <row r="13" spans="1:20" ht="15.75" thickBot="1" x14ac:dyDescent="0.3">
      <c r="C13" s="471" t="s">
        <v>82</v>
      </c>
      <c r="D13" s="585"/>
      <c r="E13" s="416">
        <f>SUMIFS('Inhalation Exposure'!$H:$H,'Inhalation Exposure'!$C:$C,$C$4,'Inhalation Exposure'!$D:$D,$C13)</f>
        <v>1.6</v>
      </c>
      <c r="F13" s="416">
        <f>SUMIFS('Inhalation Exposure'!$J:$J,'Inhalation Exposure'!$C:$C,$C$4,'Inhalation Exposure'!$D:$D,$C13)</f>
        <v>1.08843537414966</v>
      </c>
      <c r="G13" s="417">
        <f>SUMIFS('Inhalation Exposure'!$L:$L,'Inhalation Exposure'!$C:$C,$C$4,'Inhalation Exposure'!$D:$D,$C13)</f>
        <v>0.79818594104308394</v>
      </c>
      <c r="H13" s="416">
        <f>SUMIFS('Inhalation Exposure'!$N:$N,'Inhalation Exposure'!$C:$C,$C$4,'Inhalation Exposure'!$D:$D,$C13)</f>
        <v>0.74550368092442454</v>
      </c>
      <c r="I13" s="416">
        <f>SUMIFS('Inhalation Exposure'!$P:$P,'Inhalation Exposure'!$C:$C,$C$4,'Inhalation Exposure'!$D:$D,$C13)</f>
        <v>0.38230957996124337</v>
      </c>
      <c r="J13" s="418">
        <f>SUMIFS('Inhalation Exposure'!$R:$R,'Inhalation Exposure'!$C:$C,$C$4,'Inhalation Exposure'!$D:$D,$C13)</f>
        <v>0.31540540346802576</v>
      </c>
      <c r="K13" s="79"/>
      <c r="L13" s="79"/>
      <c r="M13" s="18"/>
      <c r="N13" s="464"/>
      <c r="O13" s="21"/>
      <c r="P13" s="14"/>
      <c r="Q13" s="464"/>
      <c r="R13" s="14"/>
      <c r="S13" s="14"/>
    </row>
    <row r="14" spans="1:20" s="14" customFormat="1" x14ac:dyDescent="0.25">
      <c r="B14" s="19"/>
      <c r="K14" s="464"/>
      <c r="M14" s="18"/>
      <c r="N14" s="464"/>
      <c r="O14" s="21"/>
      <c r="Q14" s="464"/>
    </row>
    <row r="15" spans="1:20" s="14" customFormat="1" ht="36" customHeight="1" thickBot="1" x14ac:dyDescent="0.3">
      <c r="B15" s="19"/>
      <c r="C15" s="20" t="s">
        <v>84</v>
      </c>
      <c r="D15" s="464"/>
      <c r="E15" s="21"/>
      <c r="G15" s="464"/>
      <c r="M15" s="55" t="s">
        <v>85</v>
      </c>
      <c r="N15" s="55"/>
      <c r="O15" s="55"/>
      <c r="P15" s="57"/>
      <c r="Q15" s="20"/>
    </row>
    <row r="16" spans="1:20" s="14" customFormat="1" ht="27" customHeight="1" x14ac:dyDescent="0.25">
      <c r="C16" s="572" t="s">
        <v>86</v>
      </c>
      <c r="D16" s="578" t="s">
        <v>87</v>
      </c>
      <c r="E16" s="575" t="s">
        <v>67</v>
      </c>
      <c r="F16" s="561" t="s">
        <v>88</v>
      </c>
      <c r="G16" s="572" t="s">
        <v>89</v>
      </c>
      <c r="H16" s="573"/>
      <c r="I16" s="74"/>
      <c r="J16" s="74"/>
      <c r="K16" s="74"/>
      <c r="M16" s="572" t="s">
        <v>86</v>
      </c>
      <c r="N16" s="578" t="s">
        <v>90</v>
      </c>
      <c r="O16" s="575" t="s">
        <v>67</v>
      </c>
      <c r="P16" s="573" t="s">
        <v>88</v>
      </c>
      <c r="Q16" s="371" t="s">
        <v>91</v>
      </c>
      <c r="R16" s="62"/>
    </row>
    <row r="17" spans="1:18" s="14" customFormat="1" ht="51.75" customHeight="1" thickBot="1" x14ac:dyDescent="0.3">
      <c r="C17" s="574"/>
      <c r="D17" s="579"/>
      <c r="E17" s="576"/>
      <c r="F17" s="562"/>
      <c r="G17" s="463" t="s">
        <v>92</v>
      </c>
      <c r="H17" s="468" t="s">
        <v>93</v>
      </c>
      <c r="I17" s="74"/>
      <c r="J17" s="74"/>
      <c r="K17" s="74"/>
      <c r="M17" s="574"/>
      <c r="N17" s="579"/>
      <c r="O17" s="576"/>
      <c r="P17" s="577"/>
      <c r="Q17" s="493" t="s">
        <v>94</v>
      </c>
    </row>
    <row r="18" spans="1:18" s="14" customFormat="1" ht="34.5" customHeight="1" x14ac:dyDescent="0.25">
      <c r="B18" s="464"/>
      <c r="C18" s="541" t="str">
        <f>INDEX('Health Data'!$D:$D, MATCH($B19, 'Health Data'!$F:$F, 0)) &amp; "; "  &amp; INDEX('Health Data'!$E:$E, MATCH($B19, 'Health Data'!$F:$F, 0))</f>
        <v>Degeneration with necrosis of the olfactory mucosa; Dow Chemical, 2006</v>
      </c>
      <c r="D18" s="559">
        <f>INDEX('Health Data'!$G:$G,MATCH(B19,'Health Data'!$F:$F,0))</f>
        <v>2.42</v>
      </c>
      <c r="E18" s="281" t="s">
        <v>80</v>
      </c>
      <c r="F18" s="419">
        <f>INDEX('Health Data'!$H:$H,MATCH(B19,'Health Data'!$F:$F,0))</f>
        <v>30</v>
      </c>
      <c r="G18" s="420">
        <f>IFERROR(D18/$F$10, "")</f>
        <v>7.411249999999999</v>
      </c>
      <c r="H18" s="71">
        <f>IFERROR(D18/$F$11, "")</f>
        <v>254.09999999999997</v>
      </c>
      <c r="I18" s="54"/>
      <c r="J18" s="54"/>
      <c r="K18" s="54"/>
      <c r="L18" s="21" t="s">
        <v>95</v>
      </c>
      <c r="M18" s="541" t="str">
        <f>INDEX('Health Data'!$D:$D, MATCH($L18, 'Health Data'!$F:$F, 0)) &amp; "; "  &amp; INDEX('Health Data'!$E:$E, MATCH($L18, 'Health Data'!$F:$F, 0))</f>
        <v>Increased kidney weight; Renal system; Storer et al., 1984</v>
      </c>
      <c r="N18" s="559">
        <f>INDEX('Health Data'!$G:$G,MATCH(L18,'Health Data'!$F:$F,0))</f>
        <v>19.899999999999999</v>
      </c>
      <c r="O18" s="281" t="s">
        <v>80</v>
      </c>
      <c r="P18" s="423">
        <f>INDEX('Health Data'!$H:$H,MATCH(L18,'Health Data'!$F:$F,0))</f>
        <v>30</v>
      </c>
      <c r="Q18" s="71">
        <f>IFERROR(N18/$P$10,"")</f>
        <v>497.05560242803324</v>
      </c>
    </row>
    <row r="19" spans="1:18" s="14" customFormat="1" ht="34.5" customHeight="1" thickBot="1" x14ac:dyDescent="0.3">
      <c r="B19" s="587" t="s">
        <v>96</v>
      </c>
      <c r="C19" s="542"/>
      <c r="D19" s="560"/>
      <c r="E19" s="421" t="s">
        <v>83</v>
      </c>
      <c r="F19" s="422">
        <f>INDEX('Health Data'!$H:$H,MATCH(B19,'Health Data'!$F:$F,0))</f>
        <v>30</v>
      </c>
      <c r="G19" s="409">
        <f>IFERROR(D18/$F$12, "")</f>
        <v>0.4873150684931507</v>
      </c>
      <c r="H19" s="112">
        <f>IFERROR(D18/$F$13, "")</f>
        <v>2.2233749999999999</v>
      </c>
      <c r="I19" s="54"/>
      <c r="J19" s="54"/>
      <c r="K19" s="54"/>
      <c r="L19" s="21"/>
      <c r="M19" s="542"/>
      <c r="N19" s="560"/>
      <c r="O19" s="421" t="s">
        <v>83</v>
      </c>
      <c r="P19" s="426">
        <f>INDEX('Health Data'!$H:$H,MATCH(L18,'Health Data'!$F:$F,0))</f>
        <v>30</v>
      </c>
      <c r="Q19" s="112">
        <f>IFERROR(N18/$P$11, "")</f>
        <v>290.41831381067004</v>
      </c>
    </row>
    <row r="20" spans="1:18" s="14" customFormat="1" ht="15" customHeight="1" x14ac:dyDescent="0.25">
      <c r="B20" s="587"/>
      <c r="C20" s="370"/>
      <c r="D20" s="12"/>
      <c r="E20" s="40"/>
      <c r="F20" s="61"/>
      <c r="G20" s="54"/>
      <c r="H20" s="54"/>
      <c r="I20" s="54"/>
      <c r="J20" s="54"/>
      <c r="L20" s="141"/>
      <c r="M20" s="370"/>
      <c r="N20" s="12"/>
      <c r="O20" s="12"/>
      <c r="P20" s="61"/>
      <c r="Q20" s="12"/>
      <c r="R20" s="54"/>
    </row>
    <row r="21" spans="1:18" s="14" customFormat="1" ht="39.75" customHeight="1" thickBot="1" x14ac:dyDescent="0.3">
      <c r="B21" s="464"/>
      <c r="C21" s="55" t="s">
        <v>97</v>
      </c>
      <c r="D21" s="55"/>
      <c r="E21" s="56"/>
      <c r="F21" s="57"/>
      <c r="G21" s="57"/>
      <c r="H21" s="57"/>
      <c r="I21" s="10"/>
      <c r="J21" s="10"/>
      <c r="K21" s="10"/>
      <c r="M21" s="55" t="s">
        <v>98</v>
      </c>
      <c r="N21" s="55"/>
      <c r="O21" s="55"/>
      <c r="P21" s="57"/>
      <c r="Q21" s="20"/>
    </row>
    <row r="22" spans="1:18" s="14" customFormat="1" ht="41.25" customHeight="1" x14ac:dyDescent="0.25">
      <c r="C22" s="572" t="s">
        <v>86</v>
      </c>
      <c r="D22" s="578" t="s">
        <v>87</v>
      </c>
      <c r="E22" s="575" t="s">
        <v>67</v>
      </c>
      <c r="F22" s="561" t="s">
        <v>88</v>
      </c>
      <c r="G22" s="572" t="s">
        <v>99</v>
      </c>
      <c r="H22" s="573"/>
      <c r="I22" s="74"/>
      <c r="J22" s="74"/>
      <c r="K22" s="74"/>
      <c r="M22" s="572" t="s">
        <v>86</v>
      </c>
      <c r="N22" s="578" t="s">
        <v>90</v>
      </c>
      <c r="O22" s="575" t="s">
        <v>67</v>
      </c>
      <c r="P22" s="573" t="s">
        <v>88</v>
      </c>
      <c r="Q22" s="371" t="s">
        <v>99</v>
      </c>
    </row>
    <row r="23" spans="1:18" s="14" customFormat="1" ht="33" customHeight="1" thickBot="1" x14ac:dyDescent="0.3">
      <c r="C23" s="574"/>
      <c r="D23" s="579"/>
      <c r="E23" s="576"/>
      <c r="F23" s="562"/>
      <c r="G23" s="463" t="s">
        <v>92</v>
      </c>
      <c r="H23" s="468" t="s">
        <v>93</v>
      </c>
      <c r="I23" s="74"/>
      <c r="J23" s="74"/>
      <c r="K23" s="74"/>
      <c r="M23" s="574"/>
      <c r="N23" s="579"/>
      <c r="O23" s="576"/>
      <c r="P23" s="577"/>
      <c r="Q23" s="493" t="s">
        <v>94</v>
      </c>
    </row>
    <row r="24" spans="1:18" s="14" customFormat="1" ht="36" customHeight="1" x14ac:dyDescent="0.25">
      <c r="B24" s="587" t="s">
        <v>100</v>
      </c>
      <c r="C24" s="588" t="str">
        <f>INDEX('Health Data'!$D:$D, MATCH($B24, 'Health Data'!$F:$F, 0)) &amp; "; "  &amp; INDEX('Health Data'!$E:$E, MATCH($B24, 'Health Data'!$F:$F, 0))</f>
        <v>Decrease in sperm concentration; Zhang et al., 2017</v>
      </c>
      <c r="D24" s="590">
        <f>INDEX('Health Data'!$G:$G,MATCH(B24,'Health Data'!$F:$F,0))</f>
        <v>5.2</v>
      </c>
      <c r="E24" s="281" t="s">
        <v>80</v>
      </c>
      <c r="F24" s="423">
        <f>INDEX('Health Data'!$H:$H,MATCH(B24,'Health Data'!$F:$F,0))</f>
        <v>30</v>
      </c>
      <c r="G24" s="424">
        <f>IFERROR(D24/$G$10, "")</f>
        <v>21.715909090909093</v>
      </c>
      <c r="H24" s="425">
        <f>IFERROR(D24/$G$11, "")</f>
        <v>744.54545454545462</v>
      </c>
      <c r="I24" s="224"/>
      <c r="J24" s="224"/>
      <c r="K24" s="54"/>
      <c r="L24" s="21" t="s">
        <v>101</v>
      </c>
      <c r="M24" s="541" t="str">
        <f>INDEX('Health Data'!$D:$D, MATCH($L24, 'Health Data'!$F:$F, 0)) &amp; "; "  &amp; INDEX('Health Data'!$E:$E, MATCH($B24, 'Health Data'!$F:$F, 0))</f>
        <v>Increased relative kidney weight; Zhang et al., 2017</v>
      </c>
      <c r="N24" s="559">
        <f>INDEX('Health Data'!$G:$G,MATCH(L24,'Health Data'!$F:$F,0))</f>
        <v>6.5</v>
      </c>
      <c r="O24" s="281" t="s">
        <v>80</v>
      </c>
      <c r="P24" s="423">
        <f>INDEX('Health Data'!$H:$H,MATCH(L24,'Health Data'!$F:$F,0))</f>
        <v>30</v>
      </c>
      <c r="Q24" s="71">
        <f>IFERROR(N24/$Q$10,"")</f>
        <v>221.39297047388416</v>
      </c>
    </row>
    <row r="25" spans="1:18" s="22" customFormat="1" ht="36" customHeight="1" thickBot="1" x14ac:dyDescent="0.3">
      <c r="A25" s="14"/>
      <c r="B25" s="587"/>
      <c r="C25" s="589"/>
      <c r="D25" s="591"/>
      <c r="E25" s="421" t="s">
        <v>83</v>
      </c>
      <c r="F25" s="426">
        <f>INDEX('Health Data'!$H:$H,MATCH(B24,'Health Data'!$F:$F,0))</f>
        <v>30</v>
      </c>
      <c r="G25" s="427">
        <f>IFERROR(D24/$G$12, "")</f>
        <v>1.4278953922789541</v>
      </c>
      <c r="H25" s="428">
        <f>IFERROR(D24/$G$13, "")</f>
        <v>6.5147727272727272</v>
      </c>
      <c r="I25" s="224"/>
      <c r="J25" s="224"/>
      <c r="K25" s="54"/>
      <c r="M25" s="542"/>
      <c r="N25" s="560"/>
      <c r="O25" s="421" t="s">
        <v>83</v>
      </c>
      <c r="P25" s="426">
        <f>INDEX('Health Data'!$H:$H,MATCH(L24,'Health Data'!$F:$F,0))</f>
        <v>30</v>
      </c>
      <c r="Q25" s="112">
        <f>IFERROR(N24/$Q$11, "")</f>
        <v>129.35489080192016</v>
      </c>
    </row>
    <row r="26" spans="1:18" s="14" customFormat="1" x14ac:dyDescent="0.25">
      <c r="C26" s="370"/>
      <c r="D26" s="12"/>
      <c r="E26" s="40"/>
      <c r="F26" s="61"/>
      <c r="G26" s="54"/>
      <c r="H26" s="54"/>
      <c r="I26" s="54"/>
      <c r="J26" s="54"/>
      <c r="L26" s="21"/>
      <c r="M26" s="370"/>
      <c r="N26" s="12"/>
      <c r="O26" s="12"/>
      <c r="P26" s="61"/>
      <c r="Q26" s="12"/>
      <c r="R26" s="54"/>
    </row>
    <row r="27" spans="1:18" s="14" customFormat="1" ht="39.75" customHeight="1" thickBot="1" x14ac:dyDescent="0.3">
      <c r="C27" s="55" t="s">
        <v>102</v>
      </c>
      <c r="D27" s="55"/>
      <c r="E27" s="56"/>
      <c r="F27" s="57"/>
      <c r="G27" s="57"/>
      <c r="H27" s="57"/>
      <c r="I27" s="10"/>
      <c r="J27" s="10"/>
      <c r="K27" s="10"/>
      <c r="L27" s="141"/>
      <c r="M27" s="55" t="s">
        <v>103</v>
      </c>
      <c r="N27" s="55"/>
      <c r="O27" s="55"/>
      <c r="P27" s="57"/>
      <c r="Q27" s="20"/>
    </row>
    <row r="28" spans="1:18" s="14" customFormat="1" ht="28.5" customHeight="1" x14ac:dyDescent="0.25">
      <c r="C28" s="572" t="s">
        <v>86</v>
      </c>
      <c r="D28" s="578" t="s">
        <v>87</v>
      </c>
      <c r="E28" s="575" t="s">
        <v>67</v>
      </c>
      <c r="F28" s="561" t="s">
        <v>88</v>
      </c>
      <c r="G28" s="572" t="s">
        <v>91</v>
      </c>
      <c r="H28" s="573"/>
      <c r="I28" s="74"/>
      <c r="J28" s="74"/>
      <c r="K28" s="74"/>
      <c r="M28" s="572" t="s">
        <v>86</v>
      </c>
      <c r="N28" s="578" t="s">
        <v>90</v>
      </c>
      <c r="O28" s="575" t="s">
        <v>67</v>
      </c>
      <c r="P28" s="573" t="s">
        <v>88</v>
      </c>
      <c r="Q28" s="371" t="s">
        <v>91</v>
      </c>
    </row>
    <row r="29" spans="1:18" s="14" customFormat="1" ht="27.75" customHeight="1" thickBot="1" x14ac:dyDescent="0.3">
      <c r="C29" s="574"/>
      <c r="D29" s="579"/>
      <c r="E29" s="576"/>
      <c r="F29" s="562"/>
      <c r="G29" s="463" t="s">
        <v>92</v>
      </c>
      <c r="H29" s="468" t="s">
        <v>93</v>
      </c>
      <c r="I29" s="74"/>
      <c r="J29" s="74"/>
      <c r="K29" s="74"/>
      <c r="M29" s="574"/>
      <c r="N29" s="579"/>
      <c r="O29" s="576"/>
      <c r="P29" s="577"/>
      <c r="Q29" s="493" t="s">
        <v>94</v>
      </c>
    </row>
    <row r="30" spans="1:18" s="14" customFormat="1" ht="35.25" customHeight="1" x14ac:dyDescent="0.25">
      <c r="B30" s="587" t="s">
        <v>104</v>
      </c>
      <c r="C30" s="541" t="str">
        <f>INDEX('Health Data'!$D:$D, MATCH($B30, 'Health Data'!$F:$F, 0)) &amp; "; "  &amp; INDEX('Health Data'!$E:$E, MATCH($B30, 'Health Data'!$F:$F, 0))</f>
        <v>Decrease in sperm concentration; Zhang et al., 2017</v>
      </c>
      <c r="D30" s="559">
        <f>INDEX('Health Data'!$G:$G,MATCH(B30,'Health Data'!$F:$F,0))</f>
        <v>5.2</v>
      </c>
      <c r="E30" s="94" t="s">
        <v>80</v>
      </c>
      <c r="F30" s="423">
        <f>INDEX('Health Data'!$H:$H,MATCH(B30,'Health Data'!$F:$F,0))</f>
        <v>30</v>
      </c>
      <c r="G30" s="58">
        <f>IFERROR(D30/$H$10, "")</f>
        <v>23.250499999999999</v>
      </c>
      <c r="H30" s="71">
        <f>IFERROR(D30/$H$11, "")</f>
        <v>797.16</v>
      </c>
      <c r="I30" s="54"/>
      <c r="J30" s="54"/>
      <c r="K30" s="54"/>
      <c r="L30" s="21" t="s">
        <v>105</v>
      </c>
      <c r="M30" s="541" t="str">
        <f>INDEX('Health Data'!$D:$D, MATCH($L30, 'Health Data'!$F:$F, 0)) &amp; "; "  &amp; INDEX('Health Data'!$E:$E, MATCH($L30, 'Health Data'!$F:$F, 0))</f>
        <v>Increased relative kidney weight; NTP, 1991</v>
      </c>
      <c r="N30" s="559">
        <f>INDEX('Health Data'!$G:$G,MATCH(L30,'Health Data'!$F:$F,0))</f>
        <v>6.5</v>
      </c>
      <c r="O30" s="281" t="s">
        <v>80</v>
      </c>
      <c r="P30" s="423">
        <f>INDEX('Health Data'!$H:$H,MATCH(L30,'Health Data'!$F:$F,0))</f>
        <v>100</v>
      </c>
      <c r="Q30" s="71">
        <f>IFERROR(N30/$R$10,"")</f>
        <v>237.03807372070531</v>
      </c>
    </row>
    <row r="31" spans="1:18" s="22" customFormat="1" ht="35.25" customHeight="1" thickBot="1" x14ac:dyDescent="0.3">
      <c r="A31" s="14"/>
      <c r="B31" s="587"/>
      <c r="C31" s="542"/>
      <c r="D31" s="560"/>
      <c r="E31" s="93" t="s">
        <v>83</v>
      </c>
      <c r="F31" s="426">
        <f>INDEX('Health Data'!$H:$H,MATCH(B30,'Health Data'!$F:$F,0))</f>
        <v>30</v>
      </c>
      <c r="G31" s="59">
        <f>IFERROR(D30/$H$12, "")</f>
        <v>1.5287999999999999</v>
      </c>
      <c r="H31" s="112">
        <f>IFERROR(D30/$H$13, "")</f>
        <v>6.9751500000000002</v>
      </c>
      <c r="I31" s="54"/>
      <c r="J31" s="54"/>
      <c r="K31" s="54"/>
      <c r="M31" s="542"/>
      <c r="N31" s="560"/>
      <c r="O31" s="421" t="s">
        <v>83</v>
      </c>
      <c r="P31" s="426">
        <f>INDEX('Health Data'!$H:$H,MATCH(L30,'Health Data'!$F:$F,0))</f>
        <v>100</v>
      </c>
      <c r="Q31" s="112">
        <f>IFERROR(N30/$R$11, "")</f>
        <v>138.49596975192256</v>
      </c>
    </row>
    <row r="32" spans="1:18" s="22" customFormat="1" ht="15" customHeight="1" x14ac:dyDescent="0.25">
      <c r="B32" s="464"/>
      <c r="C32" s="60"/>
      <c r="D32" s="40"/>
      <c r="E32" s="54"/>
      <c r="F32" s="12"/>
      <c r="G32" s="54"/>
      <c r="H32" s="41"/>
      <c r="I32" s="41"/>
      <c r="J32" s="41"/>
      <c r="L32" s="21"/>
      <c r="R32" s="41"/>
    </row>
    <row r="33" spans="1:19" s="22" customFormat="1" x14ac:dyDescent="0.25">
      <c r="B33" s="11"/>
      <c r="C33" s="60"/>
      <c r="D33" s="40"/>
      <c r="E33" s="54"/>
      <c r="F33" s="12"/>
      <c r="G33" s="54"/>
      <c r="H33" s="41"/>
      <c r="I33" s="41"/>
      <c r="J33" s="41"/>
      <c r="L33" s="14"/>
      <c r="M33" s="60"/>
      <c r="N33" s="60"/>
      <c r="O33" s="60"/>
      <c r="P33" s="54"/>
      <c r="Q33" s="40"/>
      <c r="R33" s="41"/>
    </row>
    <row r="34" spans="1:19" s="22" customFormat="1" ht="15.75" thickBot="1" x14ac:dyDescent="0.3">
      <c r="B34" s="11"/>
      <c r="C34" s="370"/>
      <c r="D34" s="12"/>
      <c r="E34" s="40"/>
      <c r="F34" s="41"/>
      <c r="G34" s="54"/>
      <c r="H34" s="54"/>
      <c r="I34" s="54"/>
      <c r="J34" s="444"/>
      <c r="L34" s="12"/>
      <c r="M34" s="370"/>
      <c r="N34" s="370"/>
      <c r="O34" s="370"/>
      <c r="P34" s="40"/>
      <c r="Q34" s="12"/>
      <c r="R34" s="54"/>
    </row>
    <row r="35" spans="1:19" s="22" customFormat="1" ht="37.5" customHeight="1" thickBot="1" x14ac:dyDescent="0.3">
      <c r="C35" s="20" t="s">
        <v>106</v>
      </c>
      <c r="D35" s="14"/>
      <c r="E35" s="10"/>
      <c r="F35" s="12"/>
      <c r="G35" s="553" t="s">
        <v>107</v>
      </c>
      <c r="H35" s="554"/>
      <c r="I35" s="74"/>
      <c r="J35" s="74"/>
      <c r="K35" s="74"/>
      <c r="L35" s="14"/>
      <c r="M35" s="20" t="s">
        <v>106</v>
      </c>
      <c r="N35" s="20"/>
      <c r="P35" s="10"/>
      <c r="Q35" s="375" t="s">
        <v>107</v>
      </c>
      <c r="R35" s="10"/>
    </row>
    <row r="36" spans="1:19" s="22" customFormat="1" ht="15.75" thickBot="1" x14ac:dyDescent="0.25">
      <c r="C36" s="385" t="s">
        <v>108</v>
      </c>
      <c r="D36" s="386" t="s">
        <v>109</v>
      </c>
      <c r="E36" s="386" t="s">
        <v>67</v>
      </c>
      <c r="F36" s="387" t="s">
        <v>110</v>
      </c>
      <c r="G36" s="376" t="s">
        <v>111</v>
      </c>
      <c r="H36" s="388" t="s">
        <v>112</v>
      </c>
      <c r="I36" s="74"/>
      <c r="J36" s="74"/>
      <c r="K36" s="74"/>
      <c r="L36" s="14"/>
      <c r="M36" s="385" t="s">
        <v>108</v>
      </c>
      <c r="N36" s="390" t="s">
        <v>113</v>
      </c>
      <c r="O36" s="391" t="s">
        <v>67</v>
      </c>
      <c r="P36" s="387" t="s">
        <v>110</v>
      </c>
      <c r="Q36" s="475" t="s">
        <v>81</v>
      </c>
    </row>
    <row r="37" spans="1:19" s="14" customFormat="1" ht="23.25" customHeight="1" x14ac:dyDescent="0.25">
      <c r="A37" s="22"/>
      <c r="B37" s="464" t="s">
        <v>114</v>
      </c>
      <c r="C37" s="541" t="str">
        <f>INDEX('Health Data'!$D:$D, MATCH($B37, 'Health Data'!$F:$F, 0)) &amp; "; "  &amp; INDEX('Health Data'!$E:$E, MATCH($B37, 'Health Data'!$F:$F, 0))</f>
        <v>Result of combined cancer modeling; Nagano et al., 2006</v>
      </c>
      <c r="D37" s="550">
        <f>INDEX('Health Data'!$I:$I,MATCH(B37,'Health Data'!$F:$F,0))</f>
        <v>2.9000000000000001E-2</v>
      </c>
      <c r="E37" s="389" t="s">
        <v>80</v>
      </c>
      <c r="F37" s="555" t="s">
        <v>471</v>
      </c>
      <c r="G37" s="433">
        <f>IFERROR(I10*D37, "")</f>
        <v>2.5777223428886838E-3</v>
      </c>
      <c r="H37" s="434">
        <f>IFERROR(I11*D37, "")</f>
        <v>7.5183568334253264E-5</v>
      </c>
      <c r="I37" s="370"/>
      <c r="J37" s="370"/>
      <c r="K37" s="370"/>
      <c r="L37" s="14" t="s">
        <v>116</v>
      </c>
      <c r="M37" s="541" t="str">
        <f>INDEX('Health Data'!$D:$D, MATCH($L37, 'Health Data'!$F:$F, 0)) &amp; "; "  &amp; INDEX('Health Data'!$E:$E, MATCH($L37, 'Health Data'!$F:$F, 0))</f>
        <v>Result of combined cancer modeling (route-to-route extrapolation from the IUR); Nagano et al., 2006</v>
      </c>
      <c r="N37" s="544">
        <f>INDEX('Health Data'!I:I,MATCH(L37,'Health Data'!$F:$F,0))</f>
        <v>3.9E-2</v>
      </c>
      <c r="O37" s="438" t="s">
        <v>80</v>
      </c>
      <c r="P37" s="549" t="s">
        <v>471</v>
      </c>
      <c r="Q37" s="439">
        <f>IFERROR($S$10*N37, "")</f>
        <v>4.0016403597710763E-4</v>
      </c>
    </row>
    <row r="38" spans="1:19" s="14" customFormat="1" ht="24" customHeight="1" x14ac:dyDescent="0.25">
      <c r="C38" s="543"/>
      <c r="D38" s="551"/>
      <c r="E38" s="489" t="s">
        <v>83</v>
      </c>
      <c r="F38" s="556"/>
      <c r="G38" s="435">
        <f>IFERROR(I12*D37, "")</f>
        <v>5.0584336298622017E-2</v>
      </c>
      <c r="H38" s="436">
        <f>IFERROR(I13*D37, "")</f>
        <v>1.1086977818876059E-2</v>
      </c>
      <c r="I38" s="370"/>
      <c r="J38" s="370"/>
      <c r="K38" s="370"/>
      <c r="M38" s="543"/>
      <c r="N38" s="545"/>
      <c r="O38" s="440" t="s">
        <v>83</v>
      </c>
      <c r="P38" s="547"/>
      <c r="Q38" s="441">
        <f>IFERROR($S$11*$N$37, "")</f>
        <v>7.8168056984073394E-4</v>
      </c>
      <c r="R38" s="12"/>
    </row>
    <row r="39" spans="1:19" s="14" customFormat="1" ht="24" customHeight="1" x14ac:dyDescent="0.25">
      <c r="B39" s="464"/>
      <c r="C39" s="543"/>
      <c r="D39" s="551"/>
      <c r="E39" s="489" t="s">
        <v>80</v>
      </c>
      <c r="F39" s="557" t="s">
        <v>115</v>
      </c>
      <c r="G39" s="415">
        <f>IFERROR(J10*$D$37, "")</f>
        <v>7.4005576940997691E-4</v>
      </c>
      <c r="H39" s="436">
        <f>IFERROR(J11*$D$37, "")</f>
        <v>2.1584959941124327E-5</v>
      </c>
      <c r="I39" s="370"/>
      <c r="J39" s="370"/>
      <c r="K39" s="370"/>
      <c r="M39" s="543"/>
      <c r="N39" s="545"/>
      <c r="O39" s="440" t="s">
        <v>80</v>
      </c>
      <c r="P39" s="547" t="s">
        <v>115</v>
      </c>
      <c r="Q39" s="441">
        <f>IFERROR($T$10*$N$37, "")</f>
        <v>2.6987667424266572E-4</v>
      </c>
      <c r="R39" s="12"/>
    </row>
    <row r="40" spans="1:19" s="14" customFormat="1" ht="24" customHeight="1" thickBot="1" x14ac:dyDescent="0.3">
      <c r="B40" s="464"/>
      <c r="C40" s="542"/>
      <c r="D40" s="552"/>
      <c r="E40" s="490" t="s">
        <v>83</v>
      </c>
      <c r="F40" s="558"/>
      <c r="G40" s="59">
        <f>IFERROR(J12*$D$37, "")</f>
        <v>4.1732077446363161E-2</v>
      </c>
      <c r="H40" s="437">
        <f>IFERROR(J13*$D$37, "")</f>
        <v>9.1467567005727481E-3</v>
      </c>
      <c r="I40" s="370"/>
      <c r="J40" s="370"/>
      <c r="K40" s="370"/>
      <c r="M40" s="542"/>
      <c r="N40" s="546"/>
      <c r="O40" s="442" t="s">
        <v>83</v>
      </c>
      <c r="P40" s="548"/>
      <c r="Q40" s="443">
        <f>IFERROR($T$11*$N$37, "")</f>
        <v>5.8847902353401278E-4</v>
      </c>
      <c r="R40" s="12"/>
    </row>
    <row r="41" spans="1:19" s="14" customFormat="1" x14ac:dyDescent="0.25">
      <c r="B41" s="19"/>
      <c r="I41" s="117"/>
      <c r="J41" s="117"/>
      <c r="K41" s="370"/>
      <c r="R41" s="11"/>
      <c r="S41" s="12"/>
    </row>
    <row r="42" spans="1:19" s="14" customFormat="1" x14ac:dyDescent="0.25">
      <c r="B42" s="11"/>
      <c r="C42" s="18"/>
      <c r="D42" s="83"/>
      <c r="E42" s="83"/>
      <c r="F42" s="331"/>
      <c r="G42" s="117"/>
      <c r="H42" s="370"/>
      <c r="I42" s="117"/>
      <c r="J42" s="117"/>
      <c r="K42" s="370"/>
      <c r="M42" s="18"/>
      <c r="N42" s="83"/>
      <c r="O42" s="82"/>
      <c r="P42" s="331"/>
      <c r="Q42" s="11"/>
      <c r="R42" s="11"/>
      <c r="S42" s="12"/>
    </row>
    <row r="43" spans="1:19" s="22" customFormat="1" x14ac:dyDescent="0.25">
      <c r="A43" s="14"/>
      <c r="B43" s="11"/>
      <c r="C43" s="18"/>
      <c r="D43" s="83"/>
      <c r="E43" s="83"/>
      <c r="F43" s="331"/>
      <c r="G43" s="117"/>
      <c r="H43" s="370"/>
      <c r="I43" s="12"/>
      <c r="J43" s="12"/>
      <c r="K43" s="12"/>
      <c r="L43" s="14"/>
      <c r="M43" s="18"/>
      <c r="N43" s="83"/>
      <c r="O43" s="82"/>
      <c r="P43" s="331"/>
      <c r="Q43" s="11"/>
      <c r="R43" s="14"/>
    </row>
    <row r="44" spans="1:19" s="22" customFormat="1" x14ac:dyDescent="0.25">
      <c r="B44" s="11"/>
      <c r="C44" s="12"/>
      <c r="D44" s="11"/>
      <c r="E44" s="12"/>
      <c r="F44" s="12"/>
      <c r="G44" s="12"/>
      <c r="H44" s="12"/>
      <c r="I44" s="12"/>
      <c r="J44" s="12"/>
      <c r="K44" s="12"/>
      <c r="L44" s="14"/>
      <c r="M44" s="12"/>
      <c r="N44" s="12"/>
      <c r="O44" s="12"/>
      <c r="P44" s="12"/>
      <c r="Q44" s="12"/>
    </row>
    <row r="45" spans="1:19" s="14" customFormat="1" x14ac:dyDescent="0.25">
      <c r="A45" s="22"/>
      <c r="B45" s="11"/>
      <c r="C45" s="12"/>
      <c r="D45" s="11"/>
      <c r="E45" s="12"/>
      <c r="F45" s="12"/>
      <c r="G45" s="12"/>
      <c r="H45" s="12"/>
      <c r="I45" s="12"/>
      <c r="J45" s="12"/>
      <c r="K45" s="12"/>
      <c r="M45" s="12"/>
      <c r="N45" s="12"/>
      <c r="O45" s="12"/>
      <c r="P45" s="12"/>
    </row>
    <row r="46" spans="1:19" s="14" customFormat="1" x14ac:dyDescent="0.25">
      <c r="B46" s="11"/>
      <c r="C46" s="12"/>
      <c r="D46" s="11"/>
      <c r="E46" s="12"/>
      <c r="F46" s="12"/>
      <c r="G46" s="12"/>
      <c r="H46" s="12"/>
      <c r="I46" s="12"/>
      <c r="J46" s="12"/>
      <c r="K46" s="12"/>
      <c r="L46" s="12"/>
      <c r="M46" s="12"/>
      <c r="N46" s="12"/>
      <c r="O46" s="12"/>
      <c r="P46" s="12"/>
      <c r="Q46" s="12"/>
    </row>
    <row r="47" spans="1:19" x14ac:dyDescent="0.25">
      <c r="A47" s="14"/>
    </row>
    <row r="53" spans="1:17" x14ac:dyDescent="0.25">
      <c r="I53" s="14"/>
      <c r="J53" s="14"/>
      <c r="K53" s="14"/>
    </row>
    <row r="54" spans="1:17" x14ac:dyDescent="0.25">
      <c r="H54" s="14"/>
    </row>
    <row r="59" spans="1:17" x14ac:dyDescent="0.25">
      <c r="B59" s="19"/>
      <c r="M59" s="14"/>
      <c r="N59" s="14"/>
      <c r="O59" s="14"/>
      <c r="P59" s="14"/>
    </row>
    <row r="60" spans="1:17" x14ac:dyDescent="0.25">
      <c r="B60" s="34"/>
      <c r="C60" s="14"/>
      <c r="D60" s="19"/>
      <c r="E60" s="14"/>
      <c r="F60" s="14"/>
      <c r="G60" s="14"/>
    </row>
    <row r="61" spans="1:17" x14ac:dyDescent="0.25">
      <c r="B61" s="34"/>
    </row>
    <row r="62" spans="1:17" x14ac:dyDescent="0.25">
      <c r="B62" s="34"/>
    </row>
    <row r="63" spans="1:17" x14ac:dyDescent="0.25">
      <c r="B63" s="34"/>
      <c r="I63" s="24"/>
      <c r="J63" s="24"/>
      <c r="K63" s="24"/>
      <c r="L63" s="14"/>
      <c r="Q63" s="14"/>
    </row>
    <row r="64" spans="1:17" s="14" customFormat="1" x14ac:dyDescent="0.25">
      <c r="A64" s="12"/>
      <c r="B64" s="34"/>
      <c r="C64" s="12"/>
      <c r="D64" s="11"/>
      <c r="E64" s="12"/>
      <c r="F64" s="12"/>
      <c r="G64" s="12"/>
      <c r="H64" s="24"/>
      <c r="I64" s="24"/>
      <c r="J64" s="24"/>
      <c r="K64" s="24"/>
      <c r="L64" s="12"/>
      <c r="M64" s="12"/>
      <c r="N64" s="12"/>
      <c r="O64" s="12"/>
      <c r="P64" s="12"/>
      <c r="Q64" s="12"/>
    </row>
    <row r="65" spans="1:16" x14ac:dyDescent="0.25">
      <c r="A65" s="14"/>
      <c r="B65" s="34"/>
      <c r="H65" s="24"/>
      <c r="I65" s="23"/>
      <c r="J65" s="23"/>
      <c r="K65" s="23"/>
    </row>
    <row r="66" spans="1:16" x14ac:dyDescent="0.25">
      <c r="B66" s="34"/>
      <c r="H66" s="23"/>
      <c r="I66" s="23"/>
      <c r="J66" s="23"/>
      <c r="K66" s="23"/>
    </row>
    <row r="67" spans="1:16" x14ac:dyDescent="0.25">
      <c r="B67" s="34"/>
      <c r="H67" s="23"/>
    </row>
    <row r="69" spans="1:16" x14ac:dyDescent="0.25">
      <c r="C69" s="33"/>
      <c r="D69" s="34"/>
      <c r="E69" s="33"/>
      <c r="M69" s="23"/>
      <c r="N69" s="23"/>
      <c r="O69" s="23"/>
      <c r="P69" s="23"/>
    </row>
    <row r="70" spans="1:16" x14ac:dyDescent="0.25">
      <c r="E70" s="35"/>
      <c r="F70" s="23"/>
      <c r="G70" s="24"/>
      <c r="M70" s="23"/>
      <c r="N70" s="23"/>
      <c r="O70" s="23"/>
      <c r="P70" s="23"/>
    </row>
    <row r="72" spans="1:16" x14ac:dyDescent="0.25">
      <c r="O72" s="11"/>
    </row>
    <row r="76" spans="1:16" x14ac:dyDescent="0.25">
      <c r="O76" s="64"/>
    </row>
    <row r="94" spans="3:15" x14ac:dyDescent="0.25">
      <c r="C94" s="73" t="s">
        <v>117</v>
      </c>
      <c r="D94" s="73" t="s">
        <v>118</v>
      </c>
      <c r="M94" s="73" t="s">
        <v>119</v>
      </c>
      <c r="N94" s="73" t="s">
        <v>80</v>
      </c>
      <c r="O94" s="73" t="s">
        <v>83</v>
      </c>
    </row>
    <row r="95" spans="3:15" x14ac:dyDescent="0.25">
      <c r="C95" s="75" t="s">
        <v>120</v>
      </c>
      <c r="D95" s="445">
        <f>H37</f>
        <v>7.5183568334253264E-5</v>
      </c>
      <c r="M95" s="75" t="str">
        <f>Q36</f>
        <v>Worker, No Gloves</v>
      </c>
      <c r="N95" s="445">
        <f>Q37</f>
        <v>4.0016403597710763E-4</v>
      </c>
      <c r="O95" s="445">
        <f>Q38</f>
        <v>7.8168056984073394E-4</v>
      </c>
    </row>
    <row r="96" spans="3:15" x14ac:dyDescent="0.25">
      <c r="C96" s="75" t="s">
        <v>121</v>
      </c>
      <c r="D96" s="445">
        <f>H38</f>
        <v>1.1086977818876059E-2</v>
      </c>
    </row>
    <row r="97" spans="3:4" x14ac:dyDescent="0.25">
      <c r="C97" s="75" t="s">
        <v>122</v>
      </c>
      <c r="D97" s="445">
        <f>G37</f>
        <v>2.5777223428886838E-3</v>
      </c>
    </row>
    <row r="98" spans="3:4" x14ac:dyDescent="0.25">
      <c r="C98" s="75" t="s">
        <v>123</v>
      </c>
      <c r="D98" s="445">
        <f>G38</f>
        <v>5.0584336298622017E-2</v>
      </c>
    </row>
  </sheetData>
  <sheetProtection sheet="1" objects="1" scenarios="1" formatCells="0" formatColumns="0" formatRows="0"/>
  <dataConsolidate link="1"/>
  <mergeCells count="62">
    <mergeCell ref="C16:C17"/>
    <mergeCell ref="E28:E29"/>
    <mergeCell ref="B30:B31"/>
    <mergeCell ref="D16:D17"/>
    <mergeCell ref="B19:B20"/>
    <mergeCell ref="B24:B25"/>
    <mergeCell ref="C18:C19"/>
    <mergeCell ref="D28:D29"/>
    <mergeCell ref="C28:C29"/>
    <mergeCell ref="D18:D19"/>
    <mergeCell ref="C22:C23"/>
    <mergeCell ref="D22:D23"/>
    <mergeCell ref="E22:E23"/>
    <mergeCell ref="C24:C25"/>
    <mergeCell ref="D24:D25"/>
    <mergeCell ref="D30:D31"/>
    <mergeCell ref="O28:O29"/>
    <mergeCell ref="P28:P29"/>
    <mergeCell ref="C8:C9"/>
    <mergeCell ref="D8:D9"/>
    <mergeCell ref="D12:D13"/>
    <mergeCell ref="D10:D11"/>
    <mergeCell ref="M28:M29"/>
    <mergeCell ref="N28:N29"/>
    <mergeCell ref="M18:M19"/>
    <mergeCell ref="N18:N19"/>
    <mergeCell ref="M16:M17"/>
    <mergeCell ref="N16:N17"/>
    <mergeCell ref="E16:E17"/>
    <mergeCell ref="G16:H16"/>
    <mergeCell ref="O16:O17"/>
    <mergeCell ref="P16:P17"/>
    <mergeCell ref="O22:O23"/>
    <mergeCell ref="P22:P23"/>
    <mergeCell ref="N22:N23"/>
    <mergeCell ref="M2:N2"/>
    <mergeCell ref="M3:N3"/>
    <mergeCell ref="F28:F29"/>
    <mergeCell ref="M4:N4"/>
    <mergeCell ref="N8:N9"/>
    <mergeCell ref="M10:M11"/>
    <mergeCell ref="M8:M9"/>
    <mergeCell ref="F5:G5"/>
    <mergeCell ref="F22:F23"/>
    <mergeCell ref="F16:F17"/>
    <mergeCell ref="G28:H28"/>
    <mergeCell ref="G22:H22"/>
    <mergeCell ref="M24:M25"/>
    <mergeCell ref="N24:N25"/>
    <mergeCell ref="M22:M23"/>
    <mergeCell ref="C30:C31"/>
    <mergeCell ref="M37:M40"/>
    <mergeCell ref="N37:N40"/>
    <mergeCell ref="P39:P40"/>
    <mergeCell ref="M30:M31"/>
    <mergeCell ref="P37:P38"/>
    <mergeCell ref="C37:C40"/>
    <mergeCell ref="D37:D40"/>
    <mergeCell ref="G35:H35"/>
    <mergeCell ref="F37:F38"/>
    <mergeCell ref="F39:F40"/>
    <mergeCell ref="N30:N31"/>
  </mergeCells>
  <conditionalFormatting sqref="E10:J13 G37:J40">
    <cfRule type="cellIs" dxfId="175" priority="27" operator="equal">
      <formula>0</formula>
    </cfRule>
  </conditionalFormatting>
  <conditionalFormatting sqref="G10:G13">
    <cfRule type="cellIs" dxfId="174" priority="3" operator="greaterThanOrEqual">
      <formula>100</formula>
    </cfRule>
    <cfRule type="cellIs" dxfId="173" priority="4" operator="between">
      <formula>10</formula>
      <formula>100</formula>
    </cfRule>
    <cfRule type="cellIs" dxfId="172" priority="5" operator="lessThanOrEqual">
      <formula>0.01</formula>
    </cfRule>
    <cfRule type="cellIs" dxfId="171" priority="6" operator="greaterThan">
      <formula>0.01</formula>
    </cfRule>
    <cfRule type="containsBlanks" dxfId="170" priority="7" stopIfTrue="1">
      <formula>LEN(TRIM(G10))=0</formula>
    </cfRule>
    <cfRule type="cellIs" dxfId="169" priority="10" operator="equal">
      <formula>0</formula>
    </cfRule>
    <cfRule type="cellIs" dxfId="168" priority="11" operator="lessThanOrEqual">
      <formula>0.01</formula>
    </cfRule>
    <cfRule type="cellIs" dxfId="167" priority="12" operator="greaterThan">
      <formula>0.01</formula>
    </cfRule>
  </conditionalFormatting>
  <conditionalFormatting sqref="G18:H19 G24:H25 G30:H31">
    <cfRule type="cellIs" dxfId="166" priority="33" operator="lessThan">
      <formula>$F18</formula>
    </cfRule>
  </conditionalFormatting>
  <conditionalFormatting sqref="G24:H25">
    <cfRule type="cellIs" dxfId="165" priority="18" operator="greaterThan">
      <formula>0.01</formula>
    </cfRule>
    <cfRule type="cellIs" dxfId="164" priority="20" operator="lessThan">
      <formula>$F24</formula>
    </cfRule>
    <cfRule type="containsBlanks" dxfId="163" priority="19" stopIfTrue="1">
      <formula>LEN(TRIM(G24))=0</formula>
    </cfRule>
    <cfRule type="cellIs" dxfId="162" priority="17" operator="lessThanOrEqual">
      <formula>0.01</formula>
    </cfRule>
  </conditionalFormatting>
  <conditionalFormatting sqref="G24:J25 Q24:Q25 O10:T11 E10:F13 H10:J13 G18:J19 Q18:Q19 G30:J31 Q30:Q31 G37:J40 Q37:Q40">
    <cfRule type="cellIs" dxfId="161" priority="23" operator="lessThanOrEqual">
      <formula>0.1</formula>
    </cfRule>
  </conditionalFormatting>
  <conditionalFormatting sqref="G37:J40 Q37:Q40">
    <cfRule type="cellIs" dxfId="160" priority="238" operator="greaterThan">
      <formula>0.0001</formula>
    </cfRule>
  </conditionalFormatting>
  <conditionalFormatting sqref="I18:J18 I30:J30">
    <cfRule type="cellIs" dxfId="159" priority="826" operator="lessThan">
      <formula>$F19</formula>
    </cfRule>
  </conditionalFormatting>
  <conditionalFormatting sqref="I19:J19 I25:J25 I31:J31">
    <cfRule type="cellIs" dxfId="158" priority="859" operator="lessThan">
      <formula>$F18</formula>
    </cfRule>
  </conditionalFormatting>
  <conditionalFormatting sqref="I24:J24">
    <cfRule type="containsBlanks" dxfId="157" priority="842" stopIfTrue="1">
      <formula>LEN(TRIM(I24))=0</formula>
    </cfRule>
    <cfRule type="cellIs" dxfId="156" priority="843" operator="lessThan">
      <formula>$F25</formula>
    </cfRule>
  </conditionalFormatting>
  <conditionalFormatting sqref="I24:J25">
    <cfRule type="cellIs" dxfId="155" priority="840" operator="lessThanOrEqual">
      <formula>0.01</formula>
    </cfRule>
    <cfRule type="cellIs" dxfId="154" priority="841" operator="greaterThan">
      <formula>0.01</formula>
    </cfRule>
  </conditionalFormatting>
  <conditionalFormatting sqref="I25:J25">
    <cfRule type="cellIs" dxfId="153" priority="866" operator="lessThan">
      <formula>$F24</formula>
    </cfRule>
    <cfRule type="containsBlanks" dxfId="152" priority="865" stopIfTrue="1">
      <formula>LEN(TRIM(I25))=0</formula>
    </cfRule>
  </conditionalFormatting>
  <conditionalFormatting sqref="O10:T11 E10:F13 H10:J13 G18:J19 Q18:Q19 G24:J25 Q24:Q25 G30:J31 Q30:Q31 G37:J40 Q37:Q40">
    <cfRule type="cellIs" dxfId="151" priority="9" operator="between">
      <formula>0.1</formula>
      <formula>0.999</formula>
    </cfRule>
    <cfRule type="cellIs" dxfId="150" priority="8" operator="between">
      <formula>1</formula>
      <formula>9.999</formula>
    </cfRule>
    <cfRule type="cellIs" dxfId="149" priority="2" operator="greaterThanOrEqual">
      <formula>10</formula>
    </cfRule>
    <cfRule type="containsBlanks" dxfId="148" priority="24" stopIfTrue="1">
      <formula>LEN(TRIM(E10))=0</formula>
    </cfRule>
    <cfRule type="cellIs" dxfId="147" priority="1" operator="greaterThanOrEqual">
      <formula>10000</formula>
    </cfRule>
  </conditionalFormatting>
  <conditionalFormatting sqref="Q18:Q19 Q24:Q25 Q30:Q31">
    <cfRule type="cellIs" dxfId="146" priority="25" operator="lessThan">
      <formula>$P18</formula>
    </cfRule>
  </conditionalFormatting>
  <conditionalFormatting sqref="Q24:Q25">
    <cfRule type="cellIs" dxfId="145" priority="16" operator="lessThan">
      <formula>$P24</formula>
    </cfRule>
    <cfRule type="containsBlanks" dxfId="144" priority="15" stopIfTrue="1">
      <formula>LEN(TRIM(Q24))=0</formula>
    </cfRule>
    <cfRule type="cellIs" dxfId="143" priority="14" operator="greaterThan">
      <formula>0.01</formula>
    </cfRule>
    <cfRule type="cellIs" dxfId="142" priority="13" operator="lessThanOrEqual">
      <formula>0.01</formula>
    </cfRule>
  </conditionalFormatting>
  <dataValidations count="1">
    <dataValidation allowBlank="1" showErrorMessage="1" sqref="C8 C10:C11 M8 F8 E8:E11 O8:O10" xr:uid="{00000000-0002-0000-0200-000005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A257FB3-03C7-4DEF-9441-F0399894DF14}">
          <x14:formula1>
            <xm:f>'List Values'!$B$2:$B$30</xm:f>
          </x14:formula1>
          <xm:sqref>C4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4E7FE-9D99-4B66-A2F9-D57F9F4A70CF}">
  <sheetPr>
    <tabColor rgb="FF92D050"/>
  </sheetPr>
  <dimension ref="A1:AD230"/>
  <sheetViews>
    <sheetView zoomScale="80" zoomScaleNormal="80" workbookViewId="0">
      <selection sqref="A1:S1"/>
    </sheetView>
  </sheetViews>
  <sheetFormatPr defaultColWidth="9.28515625" defaultRowHeight="15" x14ac:dyDescent="0.25"/>
  <cols>
    <col min="1" max="1" width="2.7109375" style="2" customWidth="1"/>
    <col min="2" max="2" width="7.42578125" style="172" customWidth="1"/>
    <col min="3" max="3" width="11.28515625" style="172" customWidth="1"/>
    <col min="4" max="4" width="10" style="172" customWidth="1"/>
    <col min="5" max="5" width="15.28515625" style="2" customWidth="1"/>
    <col min="6" max="6" width="19.28515625" style="2" customWidth="1"/>
    <col min="7" max="7" width="17.28515625" style="2" customWidth="1"/>
    <col min="8" max="8" width="10.7109375" style="2" customWidth="1"/>
    <col min="9" max="10" width="11.28515625" style="2" customWidth="1"/>
    <col min="11" max="13" width="16.5703125" style="2" customWidth="1"/>
    <col min="14" max="15" width="13.28515625" style="2" customWidth="1"/>
    <col min="16" max="17" width="12.5703125" style="2" hidden="1" customWidth="1"/>
    <col min="18" max="18" width="14.140625" style="2" hidden="1" customWidth="1"/>
    <col min="19" max="19" width="12.7109375" style="2" hidden="1" customWidth="1"/>
    <col min="20" max="20" width="9.28515625" style="2"/>
    <col min="21" max="22" width="16.5703125" style="2" hidden="1" customWidth="1"/>
    <col min="23" max="23" width="19.42578125" style="2" hidden="1" customWidth="1"/>
    <col min="24" max="24" width="21" style="2" hidden="1" customWidth="1"/>
    <col min="25" max="25" width="9.28515625" style="2" hidden="1" customWidth="1"/>
    <col min="26" max="26" width="9.5703125" style="2" customWidth="1"/>
    <col min="27" max="29" width="14.28515625" style="2" customWidth="1"/>
    <col min="30" max="30" width="12.7109375" style="2" customWidth="1"/>
    <col min="31" max="16384" width="9.28515625" style="2"/>
  </cols>
  <sheetData>
    <row r="1" spans="1:30" x14ac:dyDescent="0.25">
      <c r="A1" s="632"/>
      <c r="B1" s="632"/>
      <c r="C1" s="632"/>
      <c r="D1" s="632"/>
      <c r="E1" s="632"/>
      <c r="F1" s="632"/>
      <c r="G1" s="632"/>
      <c r="H1" s="632"/>
      <c r="I1" s="632"/>
      <c r="J1" s="632"/>
      <c r="K1" s="632"/>
      <c r="L1" s="632"/>
      <c r="M1" s="632"/>
      <c r="N1" s="632"/>
      <c r="O1" s="632"/>
      <c r="P1" s="632"/>
      <c r="Q1" s="632"/>
      <c r="R1" s="632"/>
      <c r="S1" s="632"/>
    </row>
    <row r="2" spans="1:30" ht="15.75" thickBot="1" x14ac:dyDescent="0.3">
      <c r="B2" s="171" t="s">
        <v>124</v>
      </c>
    </row>
    <row r="3" spans="1:30" ht="15.75" thickBot="1" x14ac:dyDescent="0.3">
      <c r="K3" s="633" t="s">
        <v>125</v>
      </c>
      <c r="L3" s="634"/>
      <c r="M3" s="634"/>
      <c r="N3" s="634"/>
      <c r="O3" s="634"/>
      <c r="P3" s="634"/>
      <c r="Q3" s="634"/>
      <c r="R3" s="634"/>
      <c r="S3" s="635"/>
    </row>
    <row r="4" spans="1:30" ht="30.75" thickBot="1" x14ac:dyDescent="0.3">
      <c r="J4" s="42" t="s">
        <v>126</v>
      </c>
      <c r="K4" s="227">
        <f>'Health Data'!H7</f>
        <v>30</v>
      </c>
      <c r="L4" s="227">
        <f>'Health Data'!H8</f>
        <v>30</v>
      </c>
      <c r="M4" s="227">
        <f>'Health Data'!H9</f>
        <v>30</v>
      </c>
      <c r="N4" s="174">
        <f>'Health Data'!P10</f>
        <v>1E-4</v>
      </c>
      <c r="O4" s="174">
        <f>'Health Data'!P10</f>
        <v>1E-4</v>
      </c>
      <c r="P4" s="484"/>
      <c r="Q4" s="484"/>
      <c r="R4" s="484"/>
      <c r="S4" s="485"/>
    </row>
    <row r="5" spans="1:30" ht="15.75" thickBot="1" x14ac:dyDescent="0.3">
      <c r="J5" s="42" t="s">
        <v>59</v>
      </c>
      <c r="K5" s="173">
        <f>'Health Data'!H15</f>
        <v>30</v>
      </c>
      <c r="L5" s="173">
        <f>'Health Data'!H16</f>
        <v>30</v>
      </c>
      <c r="M5" s="323">
        <f>'Health Data'!H17</f>
        <v>100</v>
      </c>
      <c r="N5" s="174">
        <f>'Health Data'!P10</f>
        <v>1E-4</v>
      </c>
      <c r="O5" s="174">
        <f>'Health Data'!P10</f>
        <v>1E-4</v>
      </c>
      <c r="P5" s="173">
        <f>K5</f>
        <v>30</v>
      </c>
      <c r="Q5" s="173" t="e">
        <f>'Health Data'!#REF!</f>
        <v>#REF!</v>
      </c>
      <c r="R5" s="173">
        <f>M5</f>
        <v>100</v>
      </c>
      <c r="S5" s="174">
        <f>N5</f>
        <v>1E-4</v>
      </c>
      <c r="X5" s="175" t="s">
        <v>127</v>
      </c>
      <c r="Y5" s="226">
        <v>10</v>
      </c>
    </row>
    <row r="6" spans="1:30" ht="16.5" thickBot="1" x14ac:dyDescent="0.3">
      <c r="E6" s="176"/>
      <c r="X6" s="177" t="s">
        <v>128</v>
      </c>
      <c r="Y6" s="226">
        <v>5</v>
      </c>
    </row>
    <row r="7" spans="1:30" ht="15.75" thickBot="1" x14ac:dyDescent="0.3">
      <c r="B7" s="636" t="s">
        <v>129</v>
      </c>
      <c r="C7" s="636" t="s">
        <v>130</v>
      </c>
      <c r="D7" s="636" t="s">
        <v>131</v>
      </c>
      <c r="E7" s="638" t="s">
        <v>132</v>
      </c>
      <c r="F7" s="640" t="s">
        <v>133</v>
      </c>
      <c r="G7" s="640" t="s">
        <v>134</v>
      </c>
      <c r="H7" s="640" t="s">
        <v>130</v>
      </c>
      <c r="I7" s="640" t="s">
        <v>135</v>
      </c>
      <c r="J7" s="640" t="s">
        <v>67</v>
      </c>
      <c r="K7" s="643" t="s">
        <v>136</v>
      </c>
      <c r="L7" s="644"/>
      <c r="M7" s="644"/>
      <c r="N7" s="645"/>
      <c r="O7" s="487"/>
      <c r="P7" s="643" t="s">
        <v>137</v>
      </c>
      <c r="Q7" s="644"/>
      <c r="R7" s="644"/>
      <c r="S7" s="645"/>
      <c r="U7" s="629" t="s">
        <v>138</v>
      </c>
      <c r="V7" s="630"/>
      <c r="W7" s="630"/>
      <c r="X7" s="631"/>
    </row>
    <row r="8" spans="1:30" ht="84" customHeight="1" thickBot="1" x14ac:dyDescent="0.3">
      <c r="A8" s="178"/>
      <c r="B8" s="637"/>
      <c r="C8" s="637"/>
      <c r="D8" s="637"/>
      <c r="E8" s="639"/>
      <c r="F8" s="641"/>
      <c r="G8" s="641"/>
      <c r="H8" s="642"/>
      <c r="I8" s="641"/>
      <c r="J8" s="641"/>
      <c r="K8" s="179" t="str">
        <f>"Acute Non-cancer (bench­mark MOE = " &amp; K4 &amp; " (inhalation); " &amp; K5 &amp; " (dermal))"</f>
        <v>Acute Non-cancer (bench­mark MOE = 30 (inhalation); 30 (dermal))</v>
      </c>
      <c r="L8" s="179" t="str">
        <f xml:space="preserve"> "Intermediate Non-cancer (bench­mark MOE = " &amp; L4 &amp; " (inhalation); " &amp; L5 &amp; " (dermal))"</f>
        <v>Intermediate Non-cancer (bench­mark MOE = 30 (inhalation); 30 (dermal))</v>
      </c>
      <c r="M8" s="179" t="str">
        <f xml:space="preserve"> "Chronic Non-cancer (bench­mark MOE = " &amp; M4 &amp; " (inhalation); " &amp; M5 &amp; " (dermal))"</f>
        <v>Chronic Non-cancer (bench­mark MOE = 30 (inhalation); 100 (dermal))</v>
      </c>
      <c r="N8" s="179" t="s">
        <v>472</v>
      </c>
      <c r="O8" s="179" t="s">
        <v>473</v>
      </c>
      <c r="P8" s="179" t="str">
        <f>"Acute Non-cancer (bench­mark MOE = " &amp; P5 &amp; ")"</f>
        <v>Acute Non-cancer (bench­mark MOE = 30)</v>
      </c>
      <c r="Q8" s="179" t="e">
        <f xml:space="preserve"> "Intermediate Non-cancer (bench­mark MOE =" &amp; Q5 &amp; ")"</f>
        <v>#REF!</v>
      </c>
      <c r="R8" s="179" t="str">
        <f xml:space="preserve"> "Chronic Non-cancer (bench­mark MOE =" &amp; R5 &amp; ")"</f>
        <v>Chronic Non-cancer (bench­mark MOE =100)</v>
      </c>
      <c r="S8" s="179" t="s">
        <v>139</v>
      </c>
      <c r="U8" s="486" t="s">
        <v>140</v>
      </c>
      <c r="V8" s="179" t="s">
        <v>141</v>
      </c>
      <c r="W8" s="179" t="s">
        <v>142</v>
      </c>
      <c r="X8" s="179" t="s">
        <v>143</v>
      </c>
      <c r="AA8" s="180" t="s">
        <v>144</v>
      </c>
      <c r="AB8" s="181" t="s">
        <v>145</v>
      </c>
      <c r="AC8" s="181" t="s">
        <v>146</v>
      </c>
      <c r="AD8" s="182" t="s">
        <v>147</v>
      </c>
    </row>
    <row r="9" spans="1:30" ht="15.6" customHeight="1" thickBot="1" x14ac:dyDescent="0.3">
      <c r="B9" s="297" t="s">
        <v>148</v>
      </c>
      <c r="C9" s="298" t="s">
        <v>79</v>
      </c>
      <c r="D9" s="298" t="s">
        <v>149</v>
      </c>
      <c r="E9" s="615" t="s">
        <v>150</v>
      </c>
      <c r="F9" s="615" t="s">
        <v>151</v>
      </c>
      <c r="G9" s="592" t="s">
        <v>62</v>
      </c>
      <c r="H9" s="595" t="s">
        <v>79</v>
      </c>
      <c r="I9" s="598" t="s">
        <v>126</v>
      </c>
      <c r="J9" s="598" t="s">
        <v>80</v>
      </c>
      <c r="K9" s="601">
        <f>IFERROR(VLOOKUP($D9,$Z$9:$AD$10,2,FALSE)/IF($D9="Inhalation",IF($J9="Central Tendency",SUMIFS('Inhalation Exposure'!$K$6:$K$65,'Inhalation Exposure'!$B$6:$B$65,$B9,'Inhalation Exposure'!$D$6:$D$65,$C9),SUMIFS('Inhalation Exposure'!$J$6:$J$65,'Inhalation Exposure'!$B$6:$B$65,$B9,'Inhalation Exposure'!$D$6:$D$65,$C9)),IF($J9="Central Tendency",VLOOKUP($B9,'Dermal Exposure'!$A$6:$T$34,17,FALSE),VLOOKUP($B9,'Dermal Exposure'!$A$6:$T$34,11,FALSE))),"--")</f>
        <v>7.411249999999999</v>
      </c>
      <c r="L9" s="601">
        <f>IFERROR(VLOOKUP($D9,$Z$9:$AD$10,3,FALSE)/IF($D9="Inhalation",IF($J9="Central Tendency",SUMIFS('Inhalation Exposure'!$M$6:$M$65,'Inhalation Exposure'!$B$6:$B$65,$B9,'Inhalation Exposure'!$D$6:$D$65,$C9),SUMIFS('Inhalation Exposure'!$L$6:$L$65,'Inhalation Exposure'!$B$6:$B$65,$B9,'Inhalation Exposure'!$D$6:$D$65,$C9)),IF($J9="Central Tendency",VLOOKUP($B9,'Dermal Exposure'!$A$6:$T$34,18,FALSE),VLOOKUP($B9,'Dermal Exposure'!$A$6:$T$34,12,FALSE))),"--")</f>
        <v>21.715909090909093</v>
      </c>
      <c r="M9" s="601">
        <f>IFERROR(VLOOKUP($D9,$Z$9:$AD$10,4,FALSE)/IF($D9="Inhalation",IF($J9="Central Tendency",SUMIFS('Inhalation Exposure'!$O$6:$O$65,'Inhalation Exposure'!$B$6:$B$65,$B9,'Inhalation Exposure'!$D$6:$D$65,$C9),SUMIFS('Inhalation Exposure'!$N$6:$N$65,'Inhalation Exposure'!$B$6:$B$65,$B9,'Inhalation Exposure'!$D$6:$D$65,$C9)),IF($J9="Central Tendency",VLOOKUP($B9,'Dermal Exposure'!$A$6:$T$34,19,FALSE),VLOOKUP($B9,'Dermal Exposure'!$A$6:$T$34,13,FALSE))),"--")</f>
        <v>23.250499999999999</v>
      </c>
      <c r="N9" s="605">
        <f>IFERROR(VLOOKUP(D9,$Z$9:$AD$10,5,FALSE)*IF($D9="Inhalation",IF($J9="Central Tendency",SUMIFS('Inhalation Exposure'!$Q$6:$Q$65,'Inhalation Exposure'!$B$6:$B$65,$B9,'Inhalation Exposure'!$D$6:$D$65,$C9),SUMIFS('Inhalation Exposure'!$P$6:$P$65,'Inhalation Exposure'!$B$6:$B$65,$B9,'Inhalation Exposure'!$D$6:$D$65,$C9)),IF($J9="Central Tendency",VLOOKUP($B9,'Dermal Exposure'!$A$6:$T$34,20,FALSE),VLOOKUP($B9,'Dermal Exposure'!$A$6:$T$34,14,FALSE))),"--")</f>
        <v>2.5777223428886838E-3</v>
      </c>
      <c r="O9" s="605">
        <f>IFERROR(VLOOKUP(D9,$Z$9:$AD$10,5,FALSE)*IF($D9="Inhalation",IF($J9="Central Tendency",SUMIFS('Inhalation Exposure'!$S$6:$S$65,'Inhalation Exposure'!$B$6:$B$65,$B9,'Inhalation Exposure'!$D$6:$D$65,$C9),SUMIFS('Inhalation Exposure'!$R$6:$R$65,'Inhalation Exposure'!$B$6:$B$65,$B9,'Inhalation Exposure'!$D$6:$D$65,$C9)),IF($J9="Central Tendency",VLOOKUP($B9,'Dermal Exposure'!$A$6:$U$34,21,FALSE),VLOOKUP($B9,'Dermal Exposure'!$A$6:$U$34,15,FALSE))),"--")</f>
        <v>7.4005576940997691E-4</v>
      </c>
      <c r="P9" s="183">
        <f>IFERROR(K9*U9, "--")</f>
        <v>74.112499999999983</v>
      </c>
      <c r="Q9" s="183">
        <f>IFERROR(L9*V9, "--")</f>
        <v>217.15909090909093</v>
      </c>
      <c r="R9" s="183">
        <f>IFERROR(M9*W9, "--")</f>
        <v>232.505</v>
      </c>
      <c r="S9" s="184">
        <f>IFERROR(N9/X9, "--")</f>
        <v>2.5777223428886839E-4</v>
      </c>
      <c r="U9" s="185">
        <v>10</v>
      </c>
      <c r="V9" s="186">
        <v>10</v>
      </c>
      <c r="W9" s="186">
        <v>10</v>
      </c>
      <c r="X9" s="187">
        <v>10</v>
      </c>
      <c r="Z9" s="188" t="s">
        <v>149</v>
      </c>
      <c r="AA9" s="189">
        <f>'Health Data'!G7</f>
        <v>2.42</v>
      </c>
      <c r="AB9" s="329">
        <f>'Health Data'!G8</f>
        <v>5.2</v>
      </c>
      <c r="AC9" s="189">
        <f>'Health Data'!G9</f>
        <v>5.2</v>
      </c>
      <c r="AD9" s="190">
        <f>'Health Data'!I10</f>
        <v>2.9000000000000001E-2</v>
      </c>
    </row>
    <row r="10" spans="1:30" ht="15.75" thickBot="1" x14ac:dyDescent="0.3">
      <c r="B10" s="297" t="s">
        <v>148</v>
      </c>
      <c r="C10" s="298" t="s">
        <v>79</v>
      </c>
      <c r="D10" s="298" t="s">
        <v>149</v>
      </c>
      <c r="E10" s="616"/>
      <c r="F10" s="616"/>
      <c r="G10" s="593"/>
      <c r="H10" s="596"/>
      <c r="I10" s="611"/>
      <c r="J10" s="599"/>
      <c r="K10" s="602"/>
      <c r="L10" s="602"/>
      <c r="M10" s="602"/>
      <c r="N10" s="606"/>
      <c r="O10" s="606"/>
      <c r="P10" s="482" t="str">
        <f>CONCATENATE("(APF ",U9,")")</f>
        <v>(APF 10)</v>
      </c>
      <c r="Q10" s="482" t="str">
        <f>CONCATENATE("(APF ",V9,")")</f>
        <v>(APF 10)</v>
      </c>
      <c r="R10" s="482" t="str">
        <f>CONCATENATE("(APF ",W9,")")</f>
        <v>(APF 10)</v>
      </c>
      <c r="S10" s="482" t="str">
        <f>CONCATENATE("(APF ",X9,")")</f>
        <v>(APF 10)</v>
      </c>
      <c r="U10" s="191" t="s">
        <v>152</v>
      </c>
      <c r="V10" s="192" t="s">
        <v>152</v>
      </c>
      <c r="W10" s="192" t="s">
        <v>152</v>
      </c>
      <c r="X10" s="193" t="s">
        <v>152</v>
      </c>
      <c r="Z10" s="188" t="s">
        <v>59</v>
      </c>
      <c r="AA10" s="189">
        <f>'Health Data'!G15</f>
        <v>19.899999999999999</v>
      </c>
      <c r="AB10" s="189">
        <f>'Health Data'!G16</f>
        <v>6.5</v>
      </c>
      <c r="AC10" s="189">
        <f>'Health Data'!G17</f>
        <v>6.5</v>
      </c>
      <c r="AD10" s="190">
        <f>'Health Data'!I18</f>
        <v>3.9E-2</v>
      </c>
    </row>
    <row r="11" spans="1:30" ht="15.75" thickBot="1" x14ac:dyDescent="0.3">
      <c r="B11" s="297" t="s">
        <v>148</v>
      </c>
      <c r="C11" s="298" t="s">
        <v>79</v>
      </c>
      <c r="D11" s="298" t="s">
        <v>149</v>
      </c>
      <c r="E11" s="616"/>
      <c r="F11" s="616"/>
      <c r="G11" s="593"/>
      <c r="H11" s="596"/>
      <c r="I11" s="611"/>
      <c r="J11" s="598" t="s">
        <v>153</v>
      </c>
      <c r="K11" s="601">
        <f>IFERROR(VLOOKUP($D11,$Z$9:$AD$10,2,FALSE)/IF($D11="Inhalation",IF($J11="Central Tendency",SUMIFS('Inhalation Exposure'!$K$6:$K$65,'Inhalation Exposure'!$B$6:$B$65,$B11,'Inhalation Exposure'!$D$6:$D$65,$C11),SUMIFS('Inhalation Exposure'!$J$6:$J$65,'Inhalation Exposure'!$B$6:$B$65,$B11,'Inhalation Exposure'!$D$6:$D$65,$C11)),IF($J11="Central Tendency",VLOOKUP($B11,'Dermal Exposure'!$A$6:$T$34,17,FALSE),VLOOKUP($B11,'Dermal Exposure'!$A$6:$T$34,11,FALSE))),"--")</f>
        <v>0.4873150684931507</v>
      </c>
      <c r="L11" s="601">
        <f>IFERROR(VLOOKUP($D11,$Z$9:$AD$10,3,FALSE)/IF($D11="Inhalation",IF($J11="Central Tendency",SUMIFS('Inhalation Exposure'!$M$6:$M$65,'Inhalation Exposure'!$B$6:$B$65,$B11,'Inhalation Exposure'!$D$6:$D$65,$C11),SUMIFS('Inhalation Exposure'!$L$6:$L$65,'Inhalation Exposure'!$B$6:$B$65,$B11,'Inhalation Exposure'!$D$6:$D$65,$C11)),IF($J11="Central Tendency",VLOOKUP($B11,'Dermal Exposure'!$A$6:$T$34,18,FALSE),VLOOKUP($B11,'Dermal Exposure'!$A$6:$T$34,12,FALSE))),"--")</f>
        <v>1.4278953922789541</v>
      </c>
      <c r="M11" s="601">
        <f>IFERROR(VLOOKUP($D11,$Z$9:$AD$10,4,FALSE)/IF($D11="Inhalation",IF($J11="Central Tendency",SUMIFS('Inhalation Exposure'!$O$6:$O$65,'Inhalation Exposure'!$B$6:$B$65,$B11,'Inhalation Exposure'!$D$6:$D$65,$C11),SUMIFS('Inhalation Exposure'!$N$6:$N$65,'Inhalation Exposure'!$B$6:$B$65,$B11,'Inhalation Exposure'!$D$6:$D$65,$C11)),IF($J11="Central Tendency",VLOOKUP($B11,'Dermal Exposure'!$A$6:$T$34,19,FALSE),VLOOKUP($B11,'Dermal Exposure'!$A$6:$T$34,13,FALSE))),"--")</f>
        <v>1.5287999999999999</v>
      </c>
      <c r="N11" s="605">
        <f>IFERROR(VLOOKUP(D11,$Z$9:$AD$10,5,FALSE)*IF($D11="Inhalation",IF($J11="Central Tendency",SUMIFS('Inhalation Exposure'!$Q$6:$Q$65,'Inhalation Exposure'!$B$6:$B$65,$B11,'Inhalation Exposure'!$D$6:$D$65,$C11),SUMIFS('Inhalation Exposure'!$P$6:$P$65,'Inhalation Exposure'!$B$6:$B$65,$B11,'Inhalation Exposure'!$D$6:$D$65,$C11)),IF($J11="Central Tendency",VLOOKUP($B11,'Dermal Exposure'!$A$6:$T$34,20,FALSE),VLOOKUP($B11,'Dermal Exposure'!$A$6:$T$34,14,FALSE))),"--")</f>
        <v>5.0584336298622017E-2</v>
      </c>
      <c r="O11" s="605">
        <f>IFERROR(VLOOKUP(D11,$Z$9:$AD$10,5,FALSE)*IF($D11="Inhalation",IF($J11="Central Tendency",SUMIFS('Inhalation Exposure'!$S$6:$S$65,'Inhalation Exposure'!$B$6:$B$65,$B11,'Inhalation Exposure'!$D$6:$D$65,$C11),SUMIFS('Inhalation Exposure'!$R$6:$R$65,'Inhalation Exposure'!$B$6:$B$65,$B11,'Inhalation Exposure'!$D$6:$D$65,$C11)),IF($J11="Central Tendency",VLOOKUP($B11,'Dermal Exposure'!$A$6:$U$34,21,FALSE),VLOOKUP($B11,'Dermal Exposure'!$A$6:$U$34,15,FALSE))),"--")</f>
        <v>4.1732077446363161E-2</v>
      </c>
      <c r="P11" s="183">
        <f>IFERROR(K11*U11, "--")</f>
        <v>4.8731506849315069</v>
      </c>
      <c r="Q11" s="183">
        <f>IFERROR(L11*V11, "--")</f>
        <v>14.27895392278954</v>
      </c>
      <c r="R11" s="183">
        <f>IFERROR(M11*W11, "--")</f>
        <v>15.288</v>
      </c>
      <c r="S11" s="184">
        <f>IFERROR(N11/X11, "--")</f>
        <v>1.0116867259724403E-3</v>
      </c>
      <c r="U11" s="194">
        <v>10</v>
      </c>
      <c r="V11" s="195">
        <v>10</v>
      </c>
      <c r="W11" s="195">
        <v>10</v>
      </c>
      <c r="X11" s="196">
        <v>50</v>
      </c>
      <c r="AD11" s="197"/>
    </row>
    <row r="12" spans="1:30" ht="15.75" thickBot="1" x14ac:dyDescent="0.3">
      <c r="B12" s="297" t="s">
        <v>148</v>
      </c>
      <c r="C12" s="298" t="s">
        <v>79</v>
      </c>
      <c r="D12" s="298" t="s">
        <v>149</v>
      </c>
      <c r="E12" s="616"/>
      <c r="F12" s="616"/>
      <c r="G12" s="593"/>
      <c r="H12" s="596"/>
      <c r="I12" s="600"/>
      <c r="J12" s="600"/>
      <c r="K12" s="602"/>
      <c r="L12" s="602"/>
      <c r="M12" s="602"/>
      <c r="N12" s="606"/>
      <c r="O12" s="606"/>
      <c r="P12" s="480" t="str">
        <f>CONCATENATE("(APF ",U11,")")</f>
        <v>(APF 10)</v>
      </c>
      <c r="Q12" s="480" t="str">
        <f>CONCATENATE("(APF ",V11,")")</f>
        <v>(APF 10)</v>
      </c>
      <c r="R12" s="480" t="str">
        <f>CONCATENATE("(APF ",W11,")")</f>
        <v>(APF 10)</v>
      </c>
      <c r="S12" s="480" t="str">
        <f>CONCATENATE("(APF ",X11,")")</f>
        <v>(APF 50)</v>
      </c>
      <c r="U12" s="199" t="s">
        <v>152</v>
      </c>
      <c r="V12" s="200" t="s">
        <v>152</v>
      </c>
      <c r="W12" s="200" t="s">
        <v>152</v>
      </c>
      <c r="X12" s="201" t="s">
        <v>152</v>
      </c>
    </row>
    <row r="13" spans="1:30" ht="15.75" thickBot="1" x14ac:dyDescent="0.3">
      <c r="B13" s="297" t="s">
        <v>154</v>
      </c>
      <c r="C13" s="298" t="s">
        <v>79</v>
      </c>
      <c r="D13" s="298" t="s">
        <v>149</v>
      </c>
      <c r="E13" s="616"/>
      <c r="F13" s="616"/>
      <c r="G13" s="619" t="s">
        <v>155</v>
      </c>
      <c r="H13" s="596"/>
      <c r="I13" s="598" t="s">
        <v>126</v>
      </c>
      <c r="J13" s="598" t="s">
        <v>80</v>
      </c>
      <c r="K13" s="601">
        <f>IFERROR(VLOOKUP($D13,$Z$9:$AD$10,2,FALSE)/IF($D13="Inhalation",IF($J13="Central Tendency",SUMIFS('Inhalation Exposure'!$K$6:$K$65,'Inhalation Exposure'!$B$6:$B$65,$B13,'Inhalation Exposure'!$D$6:$D$65,$C13),SUMIFS('Inhalation Exposure'!$J$6:$J$65,'Inhalation Exposure'!$B$6:$B$65,$B13,'Inhalation Exposure'!$D$6:$D$65,$C13)),IF($J13="Central Tendency",VLOOKUP($B13,'Dermal Exposure'!$A$6:$T$34,17,FALSE),VLOOKUP($B13,'Dermal Exposure'!$A$6:$T$34,11,FALSE))),"--")</f>
        <v>209.25882352941173</v>
      </c>
      <c r="L13" s="601">
        <f>IFERROR(VLOOKUP($D13,$Z$9:$AD$10,3,FALSE)/IF($D13="Inhalation",IF($J13="Central Tendency",SUMIFS('Inhalation Exposure'!$M$6:$M$65,'Inhalation Exposure'!$B$6:$B$65,$B13,'Inhalation Exposure'!$D$6:$D$65,$C13),SUMIFS('Inhalation Exposure'!$L$6:$L$65,'Inhalation Exposure'!$B$6:$B$65,$B13,'Inhalation Exposure'!$D$6:$D$65,$C13)),IF($J13="Central Tendency",VLOOKUP($B13,'Dermal Exposure'!$A$6:$T$34,18,FALSE),VLOOKUP($B13,'Dermal Exposure'!$A$6:$T$34,12,FALSE))),"--")</f>
        <v>613.15508021390372</v>
      </c>
      <c r="M13" s="601">
        <f>IFERROR(VLOOKUP($D13,$Z$9:$AD$10,4,FALSE)/IF($D13="Inhalation",IF($J13="Central Tendency",SUMIFS('Inhalation Exposure'!$O$6:$O$65,'Inhalation Exposure'!$B$6:$B$65,$B13,'Inhalation Exposure'!$D$6:$D$65,$C13),SUMIFS('Inhalation Exposure'!$N$6:$N$65,'Inhalation Exposure'!$B$6:$B$65,$B13,'Inhalation Exposure'!$D$6:$D$65,$C13)),IF($J13="Central Tendency",VLOOKUP($B13,'Dermal Exposure'!$A$6:$T$34,19,FALSE),VLOOKUP($B13,'Dermal Exposure'!$A$6:$T$34,13,FALSE))),"--")</f>
        <v>656.48470588235307</v>
      </c>
      <c r="N13" s="605">
        <f>IFERROR(VLOOKUP(D13,$Z$9:$AD$10,5,FALSE)*IF($D13="Inhalation",IF($J13="Central Tendency",SUMIFS('Inhalation Exposure'!$Q$6:$Q$65,'Inhalation Exposure'!$B$6:$B$65,$B13,'Inhalation Exposure'!$D$6:$D$65,$C13),SUMIFS('Inhalation Exposure'!$P$6:$P$65,'Inhalation Exposure'!$B$6:$B$65,$B13,'Inhalation Exposure'!$D$6:$D$65,$C13)),IF($J13="Central Tendency",VLOOKUP($B13,'Dermal Exposure'!$A$6:$T$34,20,FALSE),VLOOKUP($B13,'Dermal Exposure'!$A$6:$T$34,14,FALSE))),"--")</f>
        <v>9.1294332977307535E-5</v>
      </c>
      <c r="O13" s="605">
        <f>IFERROR(VLOOKUP(D13,$Z$9:$AD$10,5,FALSE)*IF($D13="Inhalation",IF($J13="Central Tendency",SUMIFS('Inhalation Exposure'!$S$6:$S$65,'Inhalation Exposure'!$B$6:$B$65,$B13,'Inhalation Exposure'!$D$6:$D$65,$C13),SUMIFS('Inhalation Exposure'!$R$6:$R$65,'Inhalation Exposure'!$B$6:$B$65,$B13,'Inhalation Exposure'!$D$6:$D$65,$C13)),IF($J13="Central Tendency",VLOOKUP($B13,'Dermal Exposure'!$A$6:$U$34,21,FALSE),VLOOKUP($B13,'Dermal Exposure'!$A$6:$U$34,15,FALSE))),"--")</f>
        <v>2.6210308499936685E-5</v>
      </c>
      <c r="P13" s="481"/>
      <c r="Q13" s="481"/>
      <c r="R13" s="481"/>
      <c r="S13" s="481"/>
      <c r="U13" s="191"/>
      <c r="V13" s="192"/>
      <c r="W13" s="192"/>
      <c r="X13" s="193"/>
    </row>
    <row r="14" spans="1:30" ht="15.75" thickBot="1" x14ac:dyDescent="0.3">
      <c r="B14" s="297" t="s">
        <v>154</v>
      </c>
      <c r="C14" s="298" t="s">
        <v>79</v>
      </c>
      <c r="D14" s="298" t="s">
        <v>149</v>
      </c>
      <c r="E14" s="616"/>
      <c r="F14" s="616"/>
      <c r="G14" s="620"/>
      <c r="H14" s="596"/>
      <c r="I14" s="611"/>
      <c r="J14" s="599"/>
      <c r="K14" s="602"/>
      <c r="L14" s="602"/>
      <c r="M14" s="602"/>
      <c r="N14" s="606"/>
      <c r="O14" s="606"/>
      <c r="P14" s="481"/>
      <c r="Q14" s="481"/>
      <c r="R14" s="481"/>
      <c r="S14" s="481"/>
      <c r="U14" s="191"/>
      <c r="V14" s="192"/>
      <c r="W14" s="192"/>
      <c r="X14" s="193"/>
    </row>
    <row r="15" spans="1:30" ht="15.75" thickBot="1" x14ac:dyDescent="0.3">
      <c r="B15" s="297" t="s">
        <v>154</v>
      </c>
      <c r="C15" s="298" t="s">
        <v>79</v>
      </c>
      <c r="D15" s="298" t="s">
        <v>149</v>
      </c>
      <c r="E15" s="616"/>
      <c r="F15" s="616"/>
      <c r="G15" s="620"/>
      <c r="H15" s="596"/>
      <c r="I15" s="611"/>
      <c r="J15" s="598" t="s">
        <v>153</v>
      </c>
      <c r="K15" s="601">
        <f>IFERROR(VLOOKUP($D15,$Z$9:$AD$10,2,FALSE)/IF($D15="Inhalation",IF($J15="Central Tendency",SUMIFS('Inhalation Exposure'!$K$6:$K$65,'Inhalation Exposure'!$B$6:$B$65,$B15,'Inhalation Exposure'!$D$6:$D$65,$C15),SUMIFS('Inhalation Exposure'!$J$6:$J$65,'Inhalation Exposure'!$B$6:$B$65,$B15,'Inhalation Exposure'!$D$6:$D$65,$C15)),IF($J15="Central Tendency",VLOOKUP($B15,'Dermal Exposure'!$A$6:$T$34,17,FALSE),VLOOKUP($B15,'Dermal Exposure'!$A$6:$T$34,11,FALSE))),"--")</f>
        <v>14.822499999999998</v>
      </c>
      <c r="L15" s="601">
        <f>IFERROR(VLOOKUP($D15,$Z$9:$AD$10,3,FALSE)/IF($D15="Inhalation",IF($J15="Central Tendency",SUMIFS('Inhalation Exposure'!$M$6:$M$65,'Inhalation Exposure'!$B$6:$B$65,$B15,'Inhalation Exposure'!$D$6:$D$65,$C15),SUMIFS('Inhalation Exposure'!$L$6:$L$65,'Inhalation Exposure'!$B$6:$B$65,$B15,'Inhalation Exposure'!$D$6:$D$65,$C15)),IF($J15="Central Tendency",VLOOKUP($B15,'Dermal Exposure'!$A$6:$T$34,18,FALSE),VLOOKUP($B15,'Dermal Exposure'!$A$6:$T$34,12,FALSE))),"--")</f>
        <v>43.431818181818187</v>
      </c>
      <c r="M15" s="601">
        <f>IFERROR(VLOOKUP($D15,$Z$9:$AD$10,4,FALSE)/IF($D15="Inhalation",IF($J15="Central Tendency",SUMIFS('Inhalation Exposure'!$O$6:$O$65,'Inhalation Exposure'!$B$6:$B$65,$B15,'Inhalation Exposure'!$D$6:$D$65,$C15),SUMIFS('Inhalation Exposure'!$N$6:$N$65,'Inhalation Exposure'!$B$6:$B$65,$B15,'Inhalation Exposure'!$D$6:$D$65,$C15)),IF($J15="Central Tendency",VLOOKUP($B15,'Dermal Exposure'!$A$6:$T$34,19,FALSE),VLOOKUP($B15,'Dermal Exposure'!$A$6:$T$34,13,FALSE))),"--")</f>
        <v>46.500999999999998</v>
      </c>
      <c r="N15" s="605">
        <f>IFERROR(VLOOKUP(D15,$Z$9:$AD$10,5,FALSE)*IF($D15="Inhalation",IF($J15="Central Tendency",SUMIFS('Inhalation Exposure'!$Q$6:$Q$65,'Inhalation Exposure'!$B$6:$B$65,$B15,'Inhalation Exposure'!$D$6:$D$65,$C15),SUMIFS('Inhalation Exposure'!$P$6:$P$65,'Inhalation Exposure'!$B$6:$B$65,$B15,'Inhalation Exposure'!$D$6:$D$65,$C15)),IF($J15="Central Tendency",VLOOKUP($B15,'Dermal Exposure'!$A$6:$T$34,20,FALSE),VLOOKUP($B15,'Dermal Exposure'!$A$6:$T$34,14,FALSE))),"--")</f>
        <v>1.6630466728314087E-3</v>
      </c>
      <c r="O15" s="605">
        <f>IFERROR(VLOOKUP(D15,$Z$9:$AD$10,5,FALSE)*IF($D15="Inhalation",IF($J15="Central Tendency",SUMIFS('Inhalation Exposure'!$S$6:$S$65,'Inhalation Exposure'!$B$6:$B$65,$B15,'Inhalation Exposure'!$D$6:$D$65,$C15),SUMIFS('Inhalation Exposure'!$R$6:$R$65,'Inhalation Exposure'!$B$6:$B$65,$B15,'Inhalation Exposure'!$D$6:$D$65,$C15)),IF($J15="Central Tendency",VLOOKUP($B15,'Dermal Exposure'!$A$6:$U$34,21,FALSE),VLOOKUP($B15,'Dermal Exposure'!$A$6:$U$34,15,FALSE))),"--")</f>
        <v>1.3720135050859122E-3</v>
      </c>
      <c r="P15" s="481"/>
      <c r="Q15" s="481"/>
      <c r="R15" s="481"/>
      <c r="S15" s="481"/>
      <c r="U15" s="191"/>
      <c r="V15" s="192"/>
      <c r="W15" s="192"/>
      <c r="X15" s="193"/>
    </row>
    <row r="16" spans="1:30" ht="15.75" thickBot="1" x14ac:dyDescent="0.3">
      <c r="B16" s="297" t="s">
        <v>154</v>
      </c>
      <c r="C16" s="298" t="s">
        <v>79</v>
      </c>
      <c r="D16" s="298" t="s">
        <v>149</v>
      </c>
      <c r="E16" s="616"/>
      <c r="F16" s="616"/>
      <c r="G16" s="620"/>
      <c r="H16" s="596"/>
      <c r="I16" s="600"/>
      <c r="J16" s="600"/>
      <c r="K16" s="602"/>
      <c r="L16" s="602"/>
      <c r="M16" s="602"/>
      <c r="N16" s="606"/>
      <c r="O16" s="606"/>
      <c r="P16" s="481"/>
      <c r="Q16" s="481"/>
      <c r="R16" s="481"/>
      <c r="S16" s="481"/>
      <c r="U16" s="191"/>
      <c r="V16" s="192"/>
      <c r="W16" s="192"/>
      <c r="X16" s="193"/>
    </row>
    <row r="17" spans="2:30" ht="15.75" thickBot="1" x14ac:dyDescent="0.3">
      <c r="B17" s="297" t="s">
        <v>156</v>
      </c>
      <c r="C17" s="298" t="s">
        <v>79</v>
      </c>
      <c r="D17" s="298" t="s">
        <v>149</v>
      </c>
      <c r="E17" s="616"/>
      <c r="F17" s="616"/>
      <c r="G17" s="619" t="s">
        <v>157</v>
      </c>
      <c r="H17" s="596"/>
      <c r="I17" s="598" t="s">
        <v>126</v>
      </c>
      <c r="J17" s="598" t="s">
        <v>80</v>
      </c>
      <c r="K17" s="601">
        <f>IFERROR(VLOOKUP($D17,$Z$9:$AD$10,2,FALSE)/IF($D17="Inhalation",IF($J17="Central Tendency",SUMIFS('Inhalation Exposure'!$K$6:$K$65,'Inhalation Exposure'!$B$6:$B$65,$B17,'Inhalation Exposure'!$D$6:$D$65,$C17),SUMIFS('Inhalation Exposure'!$J$6:$J$65,'Inhalation Exposure'!$B$6:$B$65,$B17,'Inhalation Exposure'!$D$6:$D$65,$C17)),IF($J17="Central Tendency",VLOOKUP($B17,'Dermal Exposure'!$A$6:$T$34,17,FALSE),VLOOKUP($B17,'Dermal Exposure'!$A$6:$T$34,11,FALSE))),"--")</f>
        <v>72.59999999999998</v>
      </c>
      <c r="L17" s="601">
        <f>IFERROR(VLOOKUP($D17,$Z$9:$AD$10,3,FALSE)/IF($D17="Inhalation",IF($J17="Central Tendency",SUMIFS('Inhalation Exposure'!$M$6:$M$65,'Inhalation Exposure'!$B$6:$B$65,$B17,'Inhalation Exposure'!$D$6:$D$65,$C17),SUMIFS('Inhalation Exposure'!$L$6:$L$65,'Inhalation Exposure'!$B$6:$B$65,$B17,'Inhalation Exposure'!$D$6:$D$65,$C17)),IF($J17="Central Tendency",VLOOKUP($B17,'Dermal Exposure'!$A$6:$T$34,18,FALSE),VLOOKUP($B17,'Dermal Exposure'!$A$6:$T$34,12,FALSE))),"--")</f>
        <v>212.72727272727272</v>
      </c>
      <c r="M17" s="623">
        <f>IFERROR(VLOOKUP($D17,$Z$9:$AD$10,4,FALSE)/IF($D17="Inhalation",IF($J17="Central Tendency",SUMIFS('Inhalation Exposure'!$O$6:$O$65,'Inhalation Exposure'!$B$6:$B$65,$B17,'Inhalation Exposure'!$D$6:$D$65,$C17),SUMIFS('Inhalation Exposure'!$N$6:$N$65,'Inhalation Exposure'!$B$6:$B$65,$B17,'Inhalation Exposure'!$D$6:$D$65,$C17)),IF($J17="Central Tendency",VLOOKUP($B17,'Dermal Exposure'!$A$6:$T$34,19,FALSE),VLOOKUP($B17,'Dermal Exposure'!$A$6:$T$34,13,FALSE))),"--")</f>
        <v>227.76000000000002</v>
      </c>
      <c r="N17" s="621">
        <f>IFERROR(VLOOKUP(D17,$Z$9:$AD$10,5,FALSE)*IF($D17="Inhalation",IF($J17="Central Tendency",SUMIFS('Inhalation Exposure'!$Q$6:$Q$65,'Inhalation Exposure'!$B$6:$B$65,$B17,'Inhalation Exposure'!$D$6:$D$65,$C17),SUMIFS('Inhalation Exposure'!$P$6:$P$65,'Inhalation Exposure'!$B$6:$B$65,$B17,'Inhalation Exposure'!$D$6:$D$65,$C17)),IF($J17="Central Tendency",VLOOKUP($B17,'Dermal Exposure'!$A$6:$T$34,20,FALSE),VLOOKUP($B17,'Dermal Exposure'!$A$6:$T$34,14,FALSE))),"--")</f>
        <v>2.6314248916988641E-4</v>
      </c>
      <c r="O17" s="607">
        <f>IFERROR(VLOOKUP(D17,$Z$9:$AD$10,5,FALSE)*IF($D17="Inhalation",IF($J17="Central Tendency",SUMIFS('Inhalation Exposure'!$S$6:$S$65,'Inhalation Exposure'!$B$6:$B$65,$B17,'Inhalation Exposure'!$D$6:$D$65,$C17),SUMIFS('Inhalation Exposure'!$R$6:$R$65,'Inhalation Exposure'!$B$6:$B$65,$B17,'Inhalation Exposure'!$D$6:$D$65,$C17)),IF($J17="Central Tendency",VLOOKUP($B17,'Dermal Exposure'!$A$6:$U$34,21,FALSE),VLOOKUP($B17,'Dermal Exposure'!$A$6:$U$34,15,FALSE))),"--")</f>
        <v>7.5547359793935151E-5</v>
      </c>
      <c r="P17" s="481"/>
      <c r="Q17" s="481"/>
      <c r="R17" s="481"/>
      <c r="S17" s="481"/>
      <c r="U17" s="191"/>
      <c r="V17" s="192"/>
      <c r="W17" s="192"/>
      <c r="X17" s="193"/>
    </row>
    <row r="18" spans="2:30" ht="15.75" thickBot="1" x14ac:dyDescent="0.3">
      <c r="B18" s="297" t="s">
        <v>156</v>
      </c>
      <c r="C18" s="298" t="s">
        <v>79</v>
      </c>
      <c r="D18" s="298" t="s">
        <v>149</v>
      </c>
      <c r="E18" s="616"/>
      <c r="F18" s="616"/>
      <c r="G18" s="620"/>
      <c r="H18" s="596"/>
      <c r="I18" s="611"/>
      <c r="J18" s="599"/>
      <c r="K18" s="602"/>
      <c r="L18" s="602"/>
      <c r="M18" s="624"/>
      <c r="N18" s="622"/>
      <c r="O18" s="608"/>
      <c r="P18" s="481"/>
      <c r="Q18" s="481"/>
      <c r="R18" s="481"/>
      <c r="S18" s="481"/>
      <c r="U18" s="191"/>
      <c r="V18" s="192"/>
      <c r="W18" s="192"/>
      <c r="X18" s="193"/>
    </row>
    <row r="19" spans="2:30" ht="15.75" thickBot="1" x14ac:dyDescent="0.3">
      <c r="B19" s="297" t="s">
        <v>156</v>
      </c>
      <c r="C19" s="298" t="s">
        <v>79</v>
      </c>
      <c r="D19" s="298" t="s">
        <v>149</v>
      </c>
      <c r="E19" s="616"/>
      <c r="F19" s="616"/>
      <c r="G19" s="620"/>
      <c r="H19" s="596"/>
      <c r="I19" s="611"/>
      <c r="J19" s="598" t="s">
        <v>153</v>
      </c>
      <c r="K19" s="601">
        <f>IFERROR(VLOOKUP($D19,$Z$9:$AD$10,2,FALSE)/IF($D19="Inhalation",IF($J19="Central Tendency",SUMIFS('Inhalation Exposure'!$K$6:$K$65,'Inhalation Exposure'!$B$6:$B$65,$B19,'Inhalation Exposure'!$D$6:$D$65,$C19),SUMIFS('Inhalation Exposure'!$J$6:$J$65,'Inhalation Exposure'!$B$6:$B$65,$B19,'Inhalation Exposure'!$D$6:$D$65,$C19)),IF($J19="Central Tendency",VLOOKUP($B19,'Dermal Exposure'!$A$6:$T$34,17,FALSE),VLOOKUP($B19,'Dermal Exposure'!$A$6:$T$34,11,FALSE))),"--")</f>
        <v>2.2233749999999999</v>
      </c>
      <c r="L19" s="601">
        <f>IFERROR(VLOOKUP($D19,$Z$9:$AD$10,3,FALSE)/IF($D19="Inhalation",IF($J19="Central Tendency",SUMIFS('Inhalation Exposure'!$M$6:$M$65,'Inhalation Exposure'!$B$6:$B$65,$B19,'Inhalation Exposure'!$D$6:$D$65,$C19),SUMIFS('Inhalation Exposure'!$L$6:$L$65,'Inhalation Exposure'!$B$6:$B$65,$B19,'Inhalation Exposure'!$D$6:$D$65,$C19)),IF($J19="Central Tendency",VLOOKUP($B19,'Dermal Exposure'!$A$6:$T$34,18,FALSE),VLOOKUP($B19,'Dermal Exposure'!$A$6:$T$34,12,FALSE))),"--")</f>
        <v>6.5147727272727272</v>
      </c>
      <c r="M19" s="601">
        <f>IFERROR(VLOOKUP($D19,$Z$9:$AD$10,4,FALSE)/IF($D19="Inhalation",IF($J19="Central Tendency",SUMIFS('Inhalation Exposure'!$O$6:$O$65,'Inhalation Exposure'!$B$6:$B$65,$B19,'Inhalation Exposure'!$D$6:$D$65,$C19),SUMIFS('Inhalation Exposure'!$N$6:$N$65,'Inhalation Exposure'!$B$6:$B$65,$B19,'Inhalation Exposure'!$D$6:$D$65,$C19)),IF($J19="Central Tendency",VLOOKUP($B19,'Dermal Exposure'!$A$6:$T$34,19,FALSE),VLOOKUP($B19,'Dermal Exposure'!$A$6:$T$34,13,FALSE))),"--")</f>
        <v>6.9751500000000002</v>
      </c>
      <c r="N19" s="605">
        <f>IFERROR(VLOOKUP(D19,$Z$9:$AD$10,5,FALSE)*IF($D19="Inhalation",IF($J19="Central Tendency",SUMIFS('Inhalation Exposure'!$Q$6:$Q$65,'Inhalation Exposure'!$B$6:$B$65,$B19,'Inhalation Exposure'!$D$6:$D$65,$C19),SUMIFS('Inhalation Exposure'!$P$6:$P$65,'Inhalation Exposure'!$B$6:$B$65,$B19,'Inhalation Exposure'!$D$6:$D$65,$C19)),IF($J19="Central Tendency",VLOOKUP($B19,'Dermal Exposure'!$A$6:$T$34,20,FALSE),VLOOKUP($B19,'Dermal Exposure'!$A$6:$T$34,14,FALSE))),"--")</f>
        <v>1.1086977818876059E-2</v>
      </c>
      <c r="O19" s="605">
        <f>IFERROR(VLOOKUP(D19,$Z$9:$AD$10,5,FALSE)*IF($D19="Inhalation",IF($J19="Central Tendency",SUMIFS('Inhalation Exposure'!$S$6:$S$65,'Inhalation Exposure'!$B$6:$B$65,$B19,'Inhalation Exposure'!$D$6:$D$65,$C19),SUMIFS('Inhalation Exposure'!$R$6:$R$65,'Inhalation Exposure'!$B$6:$B$65,$B19,'Inhalation Exposure'!$D$6:$D$65,$C19)),IF($J19="Central Tendency",VLOOKUP($B19,'Dermal Exposure'!$A$6:$U$34,21,FALSE),VLOOKUP($B19,'Dermal Exposure'!$A$6:$U$34,15,FALSE))),"--")</f>
        <v>9.1467567005727481E-3</v>
      </c>
      <c r="P19" s="481"/>
      <c r="Q19" s="481"/>
      <c r="R19" s="481"/>
      <c r="S19" s="481"/>
      <c r="U19" s="191"/>
      <c r="V19" s="192"/>
      <c r="W19" s="192"/>
      <c r="X19" s="193"/>
    </row>
    <row r="20" spans="2:30" ht="15.75" thickBot="1" x14ac:dyDescent="0.3">
      <c r="B20" s="297" t="s">
        <v>156</v>
      </c>
      <c r="C20" s="298" t="s">
        <v>79</v>
      </c>
      <c r="D20" s="298" t="s">
        <v>149</v>
      </c>
      <c r="E20" s="616"/>
      <c r="F20" s="616"/>
      <c r="G20" s="620"/>
      <c r="H20" s="596"/>
      <c r="I20" s="600"/>
      <c r="J20" s="600"/>
      <c r="K20" s="602"/>
      <c r="L20" s="602"/>
      <c r="M20" s="602"/>
      <c r="N20" s="606"/>
      <c r="O20" s="606"/>
      <c r="P20" s="481"/>
      <c r="Q20" s="481"/>
      <c r="R20" s="481"/>
      <c r="S20" s="481"/>
      <c r="U20" s="191"/>
      <c r="V20" s="192"/>
      <c r="W20" s="192"/>
      <c r="X20" s="193"/>
    </row>
    <row r="21" spans="2:30" ht="15.75" thickBot="1" x14ac:dyDescent="0.3">
      <c r="B21" s="297" t="s">
        <v>158</v>
      </c>
      <c r="C21" s="298" t="s">
        <v>79</v>
      </c>
      <c r="D21" s="298" t="s">
        <v>149</v>
      </c>
      <c r="E21" s="616"/>
      <c r="F21" s="616"/>
      <c r="G21" s="592" t="s">
        <v>159</v>
      </c>
      <c r="H21" s="596"/>
      <c r="I21" s="598" t="s">
        <v>126</v>
      </c>
      <c r="J21" s="598" t="s">
        <v>80</v>
      </c>
      <c r="K21" s="601">
        <f>IFERROR(VLOOKUP($D21,$Z$9:$AD$10,2,FALSE)/IF($D21="Inhalation",IF($J21="Central Tendency",SUMIFS('Inhalation Exposure'!$K$6:$K$65,'Inhalation Exposure'!$B$6:$B$65,$B21,'Inhalation Exposure'!$D$6:$D$65,$C21),SUMIFS('Inhalation Exposure'!$J$6:$J$65,'Inhalation Exposure'!$B$6:$B$65,$B21,'Inhalation Exposure'!$D$6:$D$65,$C21)),IF($J21="Central Tendency",VLOOKUP($B21,'Dermal Exposure'!$A$6:$T$34,17,FALSE),VLOOKUP($B21,'Dermal Exposure'!$A$6:$T$34,11,FALSE))),"--")</f>
        <v>75.689361702127655</v>
      </c>
      <c r="L21" s="601">
        <f>IFERROR(VLOOKUP($D21,$Z$9:$AD$10,3,FALSE)/IF($D21="Inhalation",IF($J21="Central Tendency",SUMIFS('Inhalation Exposure'!$M$6:$M$65,'Inhalation Exposure'!$B$6:$B$65,$B21,'Inhalation Exposure'!$D$6:$D$65,$C21),SUMIFS('Inhalation Exposure'!$L$6:$L$65,'Inhalation Exposure'!$B$6:$B$65,$B21,'Inhalation Exposure'!$D$6:$D$65,$C21)),IF($J21="Central Tendency",VLOOKUP($B21,'Dermal Exposure'!$A$6:$T$34,18,FALSE),VLOOKUP($B21,'Dermal Exposure'!$A$6:$T$34,12,FALSE))),"--")</f>
        <v>221.77949709864603</v>
      </c>
      <c r="M21" s="601">
        <f>IFERROR(VLOOKUP($D21,$Z$9:$AD$10,4,FALSE)/IF($D21="Inhalation",IF($J21="Central Tendency",SUMIFS('Inhalation Exposure'!$O$6:$O$65,'Inhalation Exposure'!$B$6:$B$65,$B21,'Inhalation Exposure'!$D$6:$D$65,$C21),SUMIFS('Inhalation Exposure'!$N$6:$N$65,'Inhalation Exposure'!$B$6:$B$65,$B21,'Inhalation Exposure'!$D$6:$D$65,$C21)),IF($J21="Central Tendency",VLOOKUP($B21,'Dermal Exposure'!$A$6:$T$34,19,FALSE),VLOOKUP($B21,'Dermal Exposure'!$A$6:$T$34,13,FALSE))),"--")</f>
        <v>237.45191489361702</v>
      </c>
      <c r="N21" s="621">
        <f>IFERROR(VLOOKUP(D21,$Z$9:$AD$10,5,FALSE)*IF($D21="Inhalation",IF($J21="Central Tendency",SUMIFS('Inhalation Exposure'!$Q$6:$Q$65,'Inhalation Exposure'!$B$6:$B$65,$B21,'Inhalation Exposure'!$D$6:$D$65,$C21),SUMIFS('Inhalation Exposure'!$P$6:$P$65,'Inhalation Exposure'!$B$6:$B$65,$B21,'Inhalation Exposure'!$D$6:$D$65,$C21)),IF($J21="Central Tendency",VLOOKUP($B21,'Dermal Exposure'!$A$6:$T$34,20,FALSE),VLOOKUP($B21,'Dermal Exposure'!$A$6:$T$34,14,FALSE))),"--")</f>
        <v>2.5240197940785026E-4</v>
      </c>
      <c r="O21" s="607">
        <f>IFERROR(VLOOKUP(D21,$Z$9:$AD$10,5,FALSE)*IF($D21="Inhalation",IF($J21="Central Tendency",SUMIFS('Inhalation Exposure'!$S$6:$S$65,'Inhalation Exposure'!$B$6:$B$65,$B21,'Inhalation Exposure'!$D$6:$D$65,$C21),SUMIFS('Inhalation Exposure'!$R$6:$R$65,'Inhalation Exposure'!$B$6:$B$65,$B21,'Inhalation Exposure'!$D$6:$D$65,$C21)),IF($J21="Central Tendency",VLOOKUP($B21,'Dermal Exposure'!$A$6:$U$34,21,FALSE),VLOOKUP($B21,'Dermal Exposure'!$A$6:$U$34,15,FALSE))),"--")</f>
        <v>7.2463794088060241E-5</v>
      </c>
      <c r="P21" s="481"/>
      <c r="Q21" s="481"/>
      <c r="R21" s="481"/>
      <c r="S21" s="481"/>
      <c r="U21" s="191"/>
      <c r="V21" s="192"/>
      <c r="W21" s="192"/>
      <c r="X21" s="193"/>
    </row>
    <row r="22" spans="2:30" ht="15.75" thickBot="1" x14ac:dyDescent="0.3">
      <c r="B22" s="297" t="s">
        <v>158</v>
      </c>
      <c r="C22" s="298" t="s">
        <v>79</v>
      </c>
      <c r="D22" s="298" t="s">
        <v>149</v>
      </c>
      <c r="E22" s="616"/>
      <c r="F22" s="616"/>
      <c r="G22" s="593"/>
      <c r="H22" s="596"/>
      <c r="I22" s="611"/>
      <c r="J22" s="599"/>
      <c r="K22" s="602"/>
      <c r="L22" s="602"/>
      <c r="M22" s="602"/>
      <c r="N22" s="622"/>
      <c r="O22" s="608"/>
      <c r="P22" s="481"/>
      <c r="Q22" s="481"/>
      <c r="R22" s="481"/>
      <c r="S22" s="481"/>
      <c r="U22" s="191"/>
      <c r="V22" s="192"/>
      <c r="W22" s="192"/>
      <c r="X22" s="193"/>
    </row>
    <row r="23" spans="2:30" ht="15.75" thickBot="1" x14ac:dyDescent="0.3">
      <c r="B23" s="297" t="s">
        <v>158</v>
      </c>
      <c r="C23" s="298" t="s">
        <v>79</v>
      </c>
      <c r="D23" s="298" t="s">
        <v>149</v>
      </c>
      <c r="E23" s="616"/>
      <c r="F23" s="616"/>
      <c r="G23" s="593"/>
      <c r="H23" s="596"/>
      <c r="I23" s="611"/>
      <c r="J23" s="598" t="s">
        <v>153</v>
      </c>
      <c r="K23" s="601">
        <f>IFERROR(VLOOKUP($D23,$Z$9:$AD$10,2,FALSE)/IF($D23="Inhalation",IF($J23="Central Tendency",SUMIFS('Inhalation Exposure'!$K$6:$K$65,'Inhalation Exposure'!$B$6:$B$65,$B23,'Inhalation Exposure'!$D$6:$D$65,$C23),SUMIFS('Inhalation Exposure'!$J$6:$J$65,'Inhalation Exposure'!$B$6:$B$65,$B23,'Inhalation Exposure'!$D$6:$D$65,$C23)),IF($J23="Central Tendency",VLOOKUP($B23,'Dermal Exposure'!$A$6:$T$34,17,FALSE),VLOOKUP($B23,'Dermal Exposure'!$A$6:$T$34,11,FALSE))),"--")</f>
        <v>2.7364615384615383</v>
      </c>
      <c r="L23" s="601">
        <f>IFERROR(VLOOKUP($D23,$Z$9:$AD$10,3,FALSE)/IF($D23="Inhalation",IF($J23="Central Tendency",SUMIFS('Inhalation Exposure'!$M$6:$M$65,'Inhalation Exposure'!$B$6:$B$65,$B23,'Inhalation Exposure'!$D$6:$D$65,$C23),SUMIFS('Inhalation Exposure'!$L$6:$L$65,'Inhalation Exposure'!$B$6:$B$65,$B23,'Inhalation Exposure'!$D$6:$D$65,$C23)),IF($J23="Central Tendency",VLOOKUP($B23,'Dermal Exposure'!$A$6:$T$34,18,FALSE),VLOOKUP($B23,'Dermal Exposure'!$A$6:$T$34,12,FALSE))),"--")</f>
        <v>8.0181818181818194</v>
      </c>
      <c r="M23" s="601">
        <f>IFERROR(VLOOKUP($D23,$Z$9:$AD$10,4,FALSE)/IF($D23="Inhalation",IF($J23="Central Tendency",SUMIFS('Inhalation Exposure'!$O$6:$O$65,'Inhalation Exposure'!$B$6:$B$65,$B23,'Inhalation Exposure'!$D$6:$D$65,$C23),SUMIFS('Inhalation Exposure'!$N$6:$N$65,'Inhalation Exposure'!$B$6:$B$65,$B23,'Inhalation Exposure'!$D$6:$D$65,$C23)),IF($J23="Central Tendency",VLOOKUP($B23,'Dermal Exposure'!$A$6:$T$34,19,FALSE),VLOOKUP($B23,'Dermal Exposure'!$A$6:$T$34,13,FALSE))),"--")</f>
        <v>8.5847999999999995</v>
      </c>
      <c r="N23" s="605">
        <f>IFERROR(VLOOKUP(D23,$Z$9:$AD$10,5,FALSE)*IF($D23="Inhalation",IF($J23="Central Tendency",SUMIFS('Inhalation Exposure'!$Q$6:$Q$65,'Inhalation Exposure'!$B$6:$B$65,$B23,'Inhalation Exposure'!$D$6:$D$65,$C23),SUMIFS('Inhalation Exposure'!$P$6:$P$65,'Inhalation Exposure'!$B$6:$B$65,$B23,'Inhalation Exposure'!$D$6:$D$65,$C23)),IF($J23="Central Tendency",VLOOKUP($B23,'Dermal Exposure'!$A$6:$T$34,20,FALSE),VLOOKUP($B23,'Dermal Exposure'!$A$6:$T$34,14,FALSE))),"--")</f>
        <v>9.0081694778367978E-3</v>
      </c>
      <c r="O23" s="605">
        <f>IFERROR(VLOOKUP(D23,$Z$9:$AD$10,5,FALSE)*IF($D23="Inhalation",IF($J23="Central Tendency",SUMIFS('Inhalation Exposure'!$S$6:$S$65,'Inhalation Exposure'!$B$6:$B$65,$B23,'Inhalation Exposure'!$D$6:$D$65,$C23),SUMIFS('Inhalation Exposure'!$R$6:$R$65,'Inhalation Exposure'!$B$6:$B$65,$B23,'Inhalation Exposure'!$D$6:$D$65,$C23)),IF($J23="Central Tendency",VLOOKUP($B23,'Dermal Exposure'!$A$6:$U$34,21,FALSE),VLOOKUP($B23,'Dermal Exposure'!$A$6:$U$34,15,FALSE))),"--")</f>
        <v>7.4317398192153576E-3</v>
      </c>
      <c r="P23" s="481"/>
      <c r="Q23" s="481"/>
      <c r="R23" s="481"/>
      <c r="S23" s="481"/>
      <c r="U23" s="191"/>
      <c r="V23" s="192"/>
      <c r="W23" s="192"/>
      <c r="X23" s="193"/>
    </row>
    <row r="24" spans="2:30" ht="15.75" thickBot="1" x14ac:dyDescent="0.3">
      <c r="B24" s="297" t="s">
        <v>158</v>
      </c>
      <c r="C24" s="298" t="s">
        <v>79</v>
      </c>
      <c r="D24" s="298" t="s">
        <v>149</v>
      </c>
      <c r="E24" s="616"/>
      <c r="F24" s="616"/>
      <c r="G24" s="593"/>
      <c r="H24" s="596"/>
      <c r="I24" s="600"/>
      <c r="J24" s="600"/>
      <c r="K24" s="602"/>
      <c r="L24" s="602"/>
      <c r="M24" s="602"/>
      <c r="N24" s="606"/>
      <c r="O24" s="606"/>
      <c r="P24" s="481"/>
      <c r="Q24" s="481"/>
      <c r="R24" s="481"/>
      <c r="S24" s="481"/>
      <c r="U24" s="191"/>
      <c r="V24" s="192"/>
      <c r="W24" s="192"/>
      <c r="X24" s="193"/>
    </row>
    <row r="25" spans="2:30" ht="16.5" thickTop="1" thickBot="1" x14ac:dyDescent="0.3">
      <c r="B25" s="297">
        <v>1</v>
      </c>
      <c r="C25" s="298" t="s">
        <v>79</v>
      </c>
      <c r="D25" s="298" t="s">
        <v>59</v>
      </c>
      <c r="E25" s="616"/>
      <c r="F25" s="616"/>
      <c r="G25" s="592" t="s">
        <v>160</v>
      </c>
      <c r="H25" s="596"/>
      <c r="I25" s="609" t="s">
        <v>59</v>
      </c>
      <c r="J25" s="618" t="s">
        <v>80</v>
      </c>
      <c r="K25" s="601">
        <f>IFERROR(VLOOKUP($D25,$Z$9:$AD$10,2,FALSE)/IF($D25="Inhalation",IF($J25="Central Tendency",SUMIFS('Inhalation Exposure'!$K$6:$K$65,'Inhalation Exposure'!$B$6:$B$65,$B25,'Inhalation Exposure'!$D$6:$D$65,$C25),SUMIFS('Inhalation Exposure'!$J$6:$J$65,'Inhalation Exposure'!$B$6:$B$65,$B25,'Inhalation Exposure'!$D$6:$D$65,$C25)),IF($J25="Central Tendency",VLOOKUP($B25,'Dermal Exposure'!$A$6:$T$34,17,FALSE),VLOOKUP($B25,'Dermal Exposure'!$A$6:$T$34,11,FALSE))),"--")</f>
        <v>497.05560242803324</v>
      </c>
      <c r="L25" s="601">
        <f>IFERROR(VLOOKUP($D25,$Z$9:$AD$10,3,FALSE)/IF($D25="Inhalation",IF($J25="Central Tendency",SUMIFS('Inhalation Exposure'!$M$6:$M$65,'Inhalation Exposure'!$B$6:$B$65,$B25,'Inhalation Exposure'!$D$6:$D$65,$C25),SUMIFS('Inhalation Exposure'!$L$6:$L$65,'Inhalation Exposure'!$B$6:$B$65,$B25,'Inhalation Exposure'!$D$6:$D$65,$C25)),IF($J25="Central Tendency",VLOOKUP($B25,'Dermal Exposure'!$A$6:$T$34,18,FALSE),VLOOKUP($B25,'Dermal Exposure'!$A$6:$T$34,12,FALSE))),"--")</f>
        <v>221.39297047388416</v>
      </c>
      <c r="M25" s="601">
        <f>IFERROR(VLOOKUP($D25,$Z$9:$AD$10,4,FALSE)/IF($D25="Inhalation",IF($J25="Central Tendency",SUMIFS('Inhalation Exposure'!$O$6:$O$65,'Inhalation Exposure'!$B$6:$B$65,$B25,'Inhalation Exposure'!$D$6:$D$65,$C25),SUMIFS('Inhalation Exposure'!$N$6:$N$65,'Inhalation Exposure'!$B$6:$B$65,$B25,'Inhalation Exposure'!$D$6:$D$65,$C25)),IF($J25="Central Tendency",VLOOKUP($B25,'Dermal Exposure'!$A$6:$T$34,19,FALSE),VLOOKUP($B25,'Dermal Exposure'!$A$6:$T$34,13,FALSE))),"--")</f>
        <v>237.03807372070531</v>
      </c>
      <c r="N25" s="605">
        <f>IFERROR(VLOOKUP(D25,$Z$9:$AD$10,5,FALSE)*IF($D25="Inhalation",IF($J25="Central Tendency",SUMIFS('Inhalation Exposure'!$Q$6:$Q$65,'Inhalation Exposure'!$B$6:$B$65,$B25,'Inhalation Exposure'!$D$6:$D$65,$C25),SUMIFS('Inhalation Exposure'!$P$6:$P$65,'Inhalation Exposure'!$B$6:$B$65,$B25,'Inhalation Exposure'!$D$6:$D$65,$C25)),IF($J25="Central Tendency",VLOOKUP($B25,'Dermal Exposure'!$A$6:$T$34,20,FALSE),VLOOKUP($B25,'Dermal Exposure'!$A$6:$T$34,14,FALSE))),"--")</f>
        <v>4.0016403597710763E-4</v>
      </c>
      <c r="O25" s="605">
        <f>IFERROR(VLOOKUP(D25,$Z$9:$AD$10,5,FALSE)*IF($D25="Inhalation",IF($J25="Central Tendency",SUMIFS('Inhalation Exposure'!$S$6:$S$65,'Inhalation Exposure'!$B$6:$B$65,$B25,'Inhalation Exposure'!$D$6:$D$65,$C25),SUMIFS('Inhalation Exposure'!$R$6:$R$65,'Inhalation Exposure'!$B$6:$B$65,$B25,'Inhalation Exposure'!$D$6:$D$65,$C25)),IF($J25="Central Tendency",VLOOKUP($B25,'Dermal Exposure'!$A$6:$U$34,21,FALSE),VLOOKUP($B25,'Dermal Exposure'!$A$6:$U$34,15,FALSE))),"--")</f>
        <v>2.6987667424266572E-4</v>
      </c>
      <c r="P25" s="183">
        <f>IFERROR(K25*U25, "--")</f>
        <v>2485.2780121401661</v>
      </c>
      <c r="Q25" s="183">
        <f>IFERROR(L25*V25, "--")</f>
        <v>1106.9648523694209</v>
      </c>
      <c r="R25" s="183">
        <f>IFERROR(M25*W25, "--")</f>
        <v>1185.1903686035266</v>
      </c>
      <c r="S25" s="202">
        <f>IFERROR(N25/X25, "--")</f>
        <v>8.0032807195421529E-5</v>
      </c>
      <c r="U25" s="191">
        <v>5</v>
      </c>
      <c r="V25" s="192">
        <v>5</v>
      </c>
      <c r="W25" s="192">
        <v>5</v>
      </c>
      <c r="X25" s="193">
        <v>5</v>
      </c>
      <c r="AD25" s="197"/>
    </row>
    <row r="26" spans="2:30" ht="15.75" thickBot="1" x14ac:dyDescent="0.3">
      <c r="B26" s="297">
        <v>1</v>
      </c>
      <c r="C26" s="298" t="s">
        <v>79</v>
      </c>
      <c r="D26" s="298" t="s">
        <v>59</v>
      </c>
      <c r="E26" s="616"/>
      <c r="F26" s="616"/>
      <c r="G26" s="593"/>
      <c r="H26" s="596"/>
      <c r="I26" s="596"/>
      <c r="J26" s="611"/>
      <c r="K26" s="602"/>
      <c r="L26" s="602"/>
      <c r="M26" s="602"/>
      <c r="N26" s="606"/>
      <c r="O26" s="606"/>
      <c r="P26" s="183" t="str">
        <f>CONCATENATE("(PF ",U25,")")</f>
        <v>(PF 5)</v>
      </c>
      <c r="Q26" s="183" t="str">
        <f>CONCATENATE("(PF ",V25,")")</f>
        <v>(PF 5)</v>
      </c>
      <c r="R26" s="183" t="str">
        <f>CONCATENATE("(PF ",W25,")")</f>
        <v>(PF 5)</v>
      </c>
      <c r="S26" s="202" t="str">
        <f>CONCATENATE("(PF ",X25,")")</f>
        <v>(PF 5)</v>
      </c>
      <c r="U26" s="199" t="s">
        <v>161</v>
      </c>
      <c r="V26" s="200" t="s">
        <v>161</v>
      </c>
      <c r="W26" s="200" t="s">
        <v>161</v>
      </c>
      <c r="X26" s="201" t="s">
        <v>161</v>
      </c>
      <c r="AD26" s="197"/>
    </row>
    <row r="27" spans="2:30" ht="15.75" thickBot="1" x14ac:dyDescent="0.3">
      <c r="B27" s="297">
        <v>1</v>
      </c>
      <c r="C27" s="298" t="s">
        <v>79</v>
      </c>
      <c r="D27" s="298" t="s">
        <v>59</v>
      </c>
      <c r="E27" s="616"/>
      <c r="F27" s="616"/>
      <c r="G27" s="593"/>
      <c r="H27" s="596"/>
      <c r="I27" s="596"/>
      <c r="J27" s="598" t="s">
        <v>153</v>
      </c>
      <c r="K27" s="601">
        <f>IFERROR(VLOOKUP($D27,$Z$9:$AD$10,2,FALSE)/IF($D27="Inhalation",IF($J27="Central Tendency",SUMIFS('Inhalation Exposure'!$K$6:$K$65,'Inhalation Exposure'!$B$6:$B$65,$B27,'Inhalation Exposure'!$D$6:$D$65,$C27),SUMIFS('Inhalation Exposure'!$J$6:$J$65,'Inhalation Exposure'!$B$6:$B$65,$B27,'Inhalation Exposure'!$D$6:$D$65,$C27)),IF($J27="Central Tendency",VLOOKUP($B27,'Dermal Exposure'!$A$6:$T$34,17,FALSE),VLOOKUP($B27,'Dermal Exposure'!$A$6:$T$34,11,FALSE))),"--")</f>
        <v>290.41831381067004</v>
      </c>
      <c r="L27" s="601">
        <f>IFERROR(VLOOKUP($D27,$Z$9:$AD$10,3,FALSE)/IF($D27="Inhalation",IF($J27="Central Tendency",SUMIFS('Inhalation Exposure'!$M$6:$M$65,'Inhalation Exposure'!$B$6:$B$65,$B27,'Inhalation Exposure'!$D$6:$D$65,$C27),SUMIFS('Inhalation Exposure'!$L$6:$L$65,'Inhalation Exposure'!$B$6:$B$65,$B27,'Inhalation Exposure'!$D$6:$D$65,$C27)),IF($J27="Central Tendency",VLOOKUP($B27,'Dermal Exposure'!$A$6:$T$34,18,FALSE),VLOOKUP($B27,'Dermal Exposure'!$A$6:$T$34,12,FALSE))),"--")</f>
        <v>129.35489080192016</v>
      </c>
      <c r="M27" s="601">
        <f>IFERROR(VLOOKUP($D27,$Z$9:$AD$10,4,FALSE)/IF($D27="Inhalation",IF($J27="Central Tendency",SUMIFS('Inhalation Exposure'!$O$6:$O$65,'Inhalation Exposure'!$B$6:$B$65,$B27,'Inhalation Exposure'!$D$6:$D$65,$C27),SUMIFS('Inhalation Exposure'!$N$6:$N$65,'Inhalation Exposure'!$B$6:$B$65,$B27,'Inhalation Exposure'!$D$6:$D$65,$C27)),IF($J27="Central Tendency",VLOOKUP($B27,'Dermal Exposure'!$A$6:$T$34,19,FALSE),VLOOKUP($B27,'Dermal Exposure'!$A$6:$T$34,13,FALSE))),"--")</f>
        <v>138.49596975192256</v>
      </c>
      <c r="N27" s="605">
        <f>IFERROR(VLOOKUP(D27,$Z$9:$AD$10,5,FALSE)*IF($D27="Inhalation",IF($J27="Central Tendency",SUMIFS('Inhalation Exposure'!$Q$6:$Q$65,'Inhalation Exposure'!$B$6:$B$65,$B27,'Inhalation Exposure'!$D$6:$D$65,$C27),SUMIFS('Inhalation Exposure'!$P$6:$P$65,'Inhalation Exposure'!$B$6:$B$65,$B27,'Inhalation Exposure'!$D$6:$D$65,$C27)),IF($J27="Central Tendency",VLOOKUP($B27,'Dermal Exposure'!$A$6:$T$34,20,FALSE),VLOOKUP($B27,'Dermal Exposure'!$A$6:$T$34,14,FALSE))),"--")</f>
        <v>7.8168056984073394E-4</v>
      </c>
      <c r="O27" s="605">
        <f>IFERROR(VLOOKUP(D27,$Z$9:$AD$10,5,FALSE)*IF($D27="Inhalation",IF($J27="Central Tendency",SUMIFS('Inhalation Exposure'!$S$6:$S$65,'Inhalation Exposure'!$B$6:$B$65,$B27,'Inhalation Exposure'!$D$6:$D$65,$C27),SUMIFS('Inhalation Exposure'!$R$6:$R$65,'Inhalation Exposure'!$B$6:$B$65,$B27,'Inhalation Exposure'!$D$6:$D$65,$C27)),IF($J27="Central Tendency",VLOOKUP($B27,'Dermal Exposure'!$A$6:$U$34,21,FALSE),VLOOKUP($B27,'Dermal Exposure'!$A$6:$U$34,15,FALSE))),"--")</f>
        <v>5.8847902353401278E-4</v>
      </c>
      <c r="P27" s="476">
        <f>IFERROR(K27*U27, "--")</f>
        <v>1452.0915690533502</v>
      </c>
      <c r="Q27" s="476">
        <f>IFERROR(L27*V27, "--")</f>
        <v>646.77445400960084</v>
      </c>
      <c r="R27" s="476">
        <f>IFERROR(M27*W27, "--")</f>
        <v>692.47984875961276</v>
      </c>
      <c r="S27" s="203">
        <f>IFERROR(N27/X27, "--")</f>
        <v>1.563361139681468E-4</v>
      </c>
      <c r="U27" s="191">
        <v>5</v>
      </c>
      <c r="V27" s="192">
        <v>5</v>
      </c>
      <c r="W27" s="192">
        <v>5</v>
      </c>
      <c r="X27" s="193">
        <v>5</v>
      </c>
      <c r="AD27" s="197"/>
    </row>
    <row r="28" spans="2:30" ht="15.75" thickBot="1" x14ac:dyDescent="0.3">
      <c r="B28" s="297">
        <v>1</v>
      </c>
      <c r="C28" s="298" t="s">
        <v>79</v>
      </c>
      <c r="D28" s="298" t="s">
        <v>59</v>
      </c>
      <c r="E28" s="616"/>
      <c r="F28" s="616"/>
      <c r="G28" s="594"/>
      <c r="H28" s="596"/>
      <c r="I28" s="596"/>
      <c r="J28" s="611"/>
      <c r="K28" s="602"/>
      <c r="L28" s="602"/>
      <c r="M28" s="602"/>
      <c r="N28" s="606"/>
      <c r="O28" s="606"/>
      <c r="P28" s="480" t="str">
        <f>CONCATENATE("(PF ",U27,")")</f>
        <v>(PF 5)</v>
      </c>
      <c r="Q28" s="480" t="str">
        <f>CONCATENATE("(PF ",V27,")")</f>
        <v>(PF 5)</v>
      </c>
      <c r="R28" s="480" t="str">
        <f>CONCATENATE("(PF ",W27,")")</f>
        <v>(PF 5)</v>
      </c>
      <c r="S28" s="198" t="str">
        <f>CONCATENATE("(PF ",X27,")")</f>
        <v>(PF 5)</v>
      </c>
      <c r="U28" s="199" t="s">
        <v>161</v>
      </c>
      <c r="V28" s="200" t="s">
        <v>161</v>
      </c>
      <c r="W28" s="200" t="s">
        <v>161</v>
      </c>
      <c r="X28" s="201" t="s">
        <v>161</v>
      </c>
    </row>
    <row r="29" spans="2:30" ht="26.25" thickBot="1" x14ac:dyDescent="0.3">
      <c r="B29" s="297">
        <v>1</v>
      </c>
      <c r="C29" s="298" t="s">
        <v>82</v>
      </c>
      <c r="D29" s="298" t="s">
        <v>149</v>
      </c>
      <c r="E29" s="616"/>
      <c r="F29" s="616"/>
      <c r="G29" s="592" t="s">
        <v>160</v>
      </c>
      <c r="H29" s="595" t="s">
        <v>82</v>
      </c>
      <c r="I29" s="598" t="s">
        <v>126</v>
      </c>
      <c r="J29" s="271" t="s">
        <v>80</v>
      </c>
      <c r="K29" s="476">
        <f>IFERROR(VLOOKUP($D29,$Z$9:$AD$10,2,FALSE)/IF($D29="Inhalation",IF($J29="Central Tendency",SUMIFS('Inhalation Exposure'!$K$6:$K$65,'Inhalation Exposure'!$B$6:$B$65,$B29,'Inhalation Exposure'!$D$6:$D$65,$C29),SUMIFS('Inhalation Exposure'!$J$6:$J$65,'Inhalation Exposure'!$B$6:$B$65,$B29,'Inhalation Exposure'!$D$6:$D$65,$C29)),IF($J29="Central Tendency",VLOOKUP($B29,'Dermal Exposure'!$A$6:$T$34,17,FALSE),VLOOKUP($B29,'Dermal Exposure'!$A$6:$T$34,11,FALSE))),"--")</f>
        <v>254.09999999999997</v>
      </c>
      <c r="L29" s="476">
        <f>IFERROR(VLOOKUP($D29,$Z$9:$AD$10,3,FALSE)/IF($D29="Inhalation",IF($J29="Central Tendency",SUMIFS('Inhalation Exposure'!$M$6:$M$65,'Inhalation Exposure'!$B$6:$B$65,$B29,'Inhalation Exposure'!$D$6:$D$65,$C29),SUMIFS('Inhalation Exposure'!$L$6:$L$65,'Inhalation Exposure'!$B$6:$B$65,$B29,'Inhalation Exposure'!$D$6:$D$65,$C29)),IF($J29="Central Tendency",VLOOKUP($B29,'Dermal Exposure'!$A$6:$T$34,18,FALSE),VLOOKUP($B29,'Dermal Exposure'!$A$6:$T$34,12,FALSE))),"--")</f>
        <v>744.54545454545462</v>
      </c>
      <c r="M29" s="476">
        <f>IFERROR(VLOOKUP($D29,$Z$9:$AD$10,4,FALSE)/IF($D29="Inhalation",IF($J29="Central Tendency",SUMIFS('Inhalation Exposure'!$O$6:$O$65,'Inhalation Exposure'!$B$6:$B$65,$B29,'Inhalation Exposure'!$D$6:$D$65,$C29),SUMIFS('Inhalation Exposure'!$N$6:$N$65,'Inhalation Exposure'!$B$6:$B$65,$B29,'Inhalation Exposure'!$D$6:$D$65,$C29)),IF($J29="Central Tendency",VLOOKUP($B29,'Dermal Exposure'!$A$6:$T$34,19,FALSE),VLOOKUP($B29,'Dermal Exposure'!$A$6:$T$34,13,FALSE))),"--")</f>
        <v>797.16</v>
      </c>
      <c r="N29" s="477">
        <f>IFERROR(VLOOKUP(D29,$Z$9:$AD$10,5,FALSE)*IF($D29="Inhalation",IF($J29="Central Tendency",SUMIFS('Inhalation Exposure'!$Q$6:$Q$65,'Inhalation Exposure'!$B$6:$B$65,$B29,'Inhalation Exposure'!$D$6:$D$65,$C29),SUMIFS('Inhalation Exposure'!$P$6:$P$65,'Inhalation Exposure'!$B$6:$B$65,$B29,'Inhalation Exposure'!$D$6:$D$65,$C29)),IF($J29="Central Tendency",VLOOKUP($B29,'Dermal Exposure'!$A$6:$T$34,20,FALSE),VLOOKUP($B29,'Dermal Exposure'!$A$6:$T$34,14,FALSE))),"--")</f>
        <v>7.5183568334253264E-5</v>
      </c>
      <c r="O29" s="477">
        <f>IFERROR(VLOOKUP(D29,$Z$9:$AD$10,5,FALSE)*IF($D29="Inhalation",IF($J29="Central Tendency",SUMIFS('Inhalation Exposure'!$S$6:$S$65,'Inhalation Exposure'!$B$6:$B$65,$B29,'Inhalation Exposure'!$D$6:$D$65,$C29),SUMIFS('Inhalation Exposure'!$R$6:$R$65,'Inhalation Exposure'!$B$6:$B$65,$B29,'Inhalation Exposure'!$D$6:$D$65,$C29)),IF($J29="Central Tendency",VLOOKUP($B29,'Dermal Exposure'!$A$6:$U$34,21,FALSE),VLOOKUP($B29,'Dermal Exposure'!$A$6:$U$34,15,FALSE))),"--")</f>
        <v>2.1584959941124327E-5</v>
      </c>
      <c r="P29" s="482" t="s">
        <v>162</v>
      </c>
      <c r="Q29" s="482" t="s">
        <v>162</v>
      </c>
      <c r="R29" s="482" t="s">
        <v>162</v>
      </c>
      <c r="S29" s="482" t="s">
        <v>162</v>
      </c>
      <c r="U29" s="191" t="s">
        <v>162</v>
      </c>
      <c r="V29" s="192" t="s">
        <v>162</v>
      </c>
      <c r="W29" s="192" t="s">
        <v>162</v>
      </c>
      <c r="X29" s="193" t="s">
        <v>162</v>
      </c>
    </row>
    <row r="30" spans="2:30" ht="21" customHeight="1" thickBot="1" x14ac:dyDescent="0.3">
      <c r="B30" s="297">
        <v>1</v>
      </c>
      <c r="C30" s="298" t="s">
        <v>82</v>
      </c>
      <c r="D30" s="298" t="s">
        <v>149</v>
      </c>
      <c r="E30" s="616"/>
      <c r="F30" s="616"/>
      <c r="G30" s="594"/>
      <c r="H30" s="610"/>
      <c r="I30" s="599"/>
      <c r="J30" s="482" t="s">
        <v>153</v>
      </c>
      <c r="K30" s="476">
        <f>IFERROR(VLOOKUP($D30,$Z$9:$AD$10,2,FALSE)/IF($D30="Inhalation",IF($J30="Central Tendency",SUMIFS('Inhalation Exposure'!$K$6:$K$65,'Inhalation Exposure'!$B$6:$B$65,$B30,'Inhalation Exposure'!$D$6:$D$65,$C30),SUMIFS('Inhalation Exposure'!$J$6:$J$65,'Inhalation Exposure'!$B$6:$B$65,$B30,'Inhalation Exposure'!$D$6:$D$65,$C30)),IF($J30="Central Tendency",VLOOKUP($B30,'Dermal Exposure'!$A$6:$T$34,17,FALSE),VLOOKUP($B30,'Dermal Exposure'!$A$6:$T$34,11,FALSE))),"--")</f>
        <v>2.2233749999999999</v>
      </c>
      <c r="L30" s="476">
        <f>IFERROR(VLOOKUP($D30,$Z$9:$AD$10,3,FALSE)/IF($D30="Inhalation",IF($J30="Central Tendency",SUMIFS('Inhalation Exposure'!$M$6:$M$65,'Inhalation Exposure'!$B$6:$B$65,$B30,'Inhalation Exposure'!$D$6:$D$65,$C30),SUMIFS('Inhalation Exposure'!$L$6:$L$65,'Inhalation Exposure'!$B$6:$B$65,$B30,'Inhalation Exposure'!$D$6:$D$65,$C30)),IF($J30="Central Tendency",VLOOKUP($B30,'Dermal Exposure'!$A$6:$T$34,18,FALSE),VLOOKUP($B30,'Dermal Exposure'!$A$6:$T$34,12,FALSE))),"--")</f>
        <v>6.5147727272727272</v>
      </c>
      <c r="M30" s="476">
        <f>IFERROR(VLOOKUP($D30,$Z$9:$AD$10,4,FALSE)/IF($D30="Inhalation",IF($J30="Central Tendency",SUMIFS('Inhalation Exposure'!$O$6:$O$65,'Inhalation Exposure'!$B$6:$B$65,$B30,'Inhalation Exposure'!$D$6:$D$65,$C30),SUMIFS('Inhalation Exposure'!$N$6:$N$65,'Inhalation Exposure'!$B$6:$B$65,$B30,'Inhalation Exposure'!$D$6:$D$65,$C30)),IF($J30="Central Tendency",VLOOKUP($B30,'Dermal Exposure'!$A$6:$T$34,19,FALSE),VLOOKUP($B30,'Dermal Exposure'!$A$6:$T$34,13,FALSE))),"--")</f>
        <v>6.9751500000000002</v>
      </c>
      <c r="N30" s="477">
        <f>IFERROR(VLOOKUP(D30,$Z$9:$AD$10,5,FALSE)*IF($D30="Inhalation",IF($J30="Central Tendency",SUMIFS('Inhalation Exposure'!$Q$6:$Q$65,'Inhalation Exposure'!$B$6:$B$65,$B30,'Inhalation Exposure'!$D$6:$D$65,$C30),SUMIFS('Inhalation Exposure'!$P$6:$P$65,'Inhalation Exposure'!$B$6:$B$65,$B30,'Inhalation Exposure'!$D$6:$D$65,$C30)),IF($J30="Central Tendency",VLOOKUP($B30,'Dermal Exposure'!$A$6:$T$34,20,FALSE),VLOOKUP($B30,'Dermal Exposure'!$A$6:$T$34,14,FALSE))),"--")</f>
        <v>1.1086977818876059E-2</v>
      </c>
      <c r="O30" s="477">
        <f>IFERROR(VLOOKUP(D30,$Z$9:$AD$10,5,FALSE)*IF($D30="Inhalation",IF($J30="Central Tendency",SUMIFS('Inhalation Exposure'!$S$6:$S$65,'Inhalation Exposure'!$B$6:$B$65,$B30,'Inhalation Exposure'!$D$6:$D$65,$C30),SUMIFS('Inhalation Exposure'!$R$6:$R$65,'Inhalation Exposure'!$B$6:$B$65,$B30,'Inhalation Exposure'!$D$6:$D$65,$C30)),IF($J30="Central Tendency",VLOOKUP($B30,'Dermal Exposure'!$A$6:$U$34,21,FALSE),VLOOKUP($B30,'Dermal Exposure'!$A$6:$U$34,15,FALSE))),"--")</f>
        <v>9.1467567005727481E-3</v>
      </c>
      <c r="P30" s="204" t="s">
        <v>162</v>
      </c>
      <c r="Q30" s="204" t="s">
        <v>162</v>
      </c>
      <c r="R30" s="204" t="s">
        <v>162</v>
      </c>
      <c r="S30" s="204" t="s">
        <v>162</v>
      </c>
      <c r="U30" s="205" t="s">
        <v>162</v>
      </c>
      <c r="V30" s="206" t="s">
        <v>162</v>
      </c>
      <c r="W30" s="206" t="s">
        <v>162</v>
      </c>
      <c r="X30" s="207" t="s">
        <v>162</v>
      </c>
    </row>
    <row r="31" spans="2:30" ht="15.75" customHeight="1" thickBot="1" x14ac:dyDescent="0.3">
      <c r="B31" s="297" t="s">
        <v>163</v>
      </c>
      <c r="C31" s="298" t="s">
        <v>79</v>
      </c>
      <c r="D31" s="298" t="s">
        <v>149</v>
      </c>
      <c r="E31" s="483"/>
      <c r="F31" s="483"/>
      <c r="G31" s="592" t="s">
        <v>429</v>
      </c>
      <c r="H31" s="595" t="s">
        <v>79</v>
      </c>
      <c r="I31" s="595" t="s">
        <v>126</v>
      </c>
      <c r="J31" s="595" t="s">
        <v>80</v>
      </c>
      <c r="K31" s="601">
        <f>IFERROR(VLOOKUP($D31,$Z$9:$AD$10,2,FALSE)/IF($D31="Inhalation",IF($J31="Central Tendency",SUMIFS('Inhalation Exposure'!$K$6:$K$65,'Inhalation Exposure'!$B$6:$B$65,$B31,'Inhalation Exposure'!$D$6:$D$65,$C31),SUMIFS('Inhalation Exposure'!$J$6:$J$65,'Inhalation Exposure'!$B$6:$B$65,$B31,'Inhalation Exposure'!$D$6:$D$65,$C31)),IF($J31="Central Tendency",VLOOKUP($B31,'Dermal Exposure'!$A$6:$T$34,17,FALSE),VLOOKUP($B31,'Dermal Exposure'!$A$6:$T$34,11,FALSE))),"--")</f>
        <v>48.072972972972977</v>
      </c>
      <c r="L31" s="601">
        <f>IFERROR(VLOOKUP($D31,$Z$9:$AD$10,3,FALSE)/IF($D31="Inhalation",IF($J31="Central Tendency",SUMIFS('Inhalation Exposure'!$M$6:$M$65,'Inhalation Exposure'!$B$6:$B$65,$B31,'Inhalation Exposure'!$D$6:$D$65,$C31),SUMIFS('Inhalation Exposure'!$L$6:$L$65,'Inhalation Exposure'!$B$6:$B$65,$B31,'Inhalation Exposure'!$D$6:$D$65,$C31)),IF($J31="Central Tendency",VLOOKUP($B31,'Dermal Exposure'!$A$6:$T$34,18,FALSE),VLOOKUP($B31,'Dermal Exposure'!$A$6:$T$34,12,FALSE))),"--")</f>
        <v>140.85995085995086</v>
      </c>
      <c r="M31" s="601">
        <f>IFERROR(VLOOKUP($D31,$Z$9:$AD$10,4,FALSE)/IF($D31="Inhalation",IF($J31="Central Tendency",SUMIFS('Inhalation Exposure'!$O$6:$O$65,'Inhalation Exposure'!$B$6:$B$65,$B31,'Inhalation Exposure'!$D$6:$D$65,$C31),SUMIFS('Inhalation Exposure'!$N$6:$N$65,'Inhalation Exposure'!$B$6:$B$65,$B31,'Inhalation Exposure'!$D$6:$D$65,$C31)),IF($J31="Central Tendency",VLOOKUP($B31,'Dermal Exposure'!$A$6:$T$34,19,FALSE),VLOOKUP($B31,'Dermal Exposure'!$A$6:$T$34,13,FALSE))),"--")</f>
        <v>150.81405405405405</v>
      </c>
      <c r="N31" s="605">
        <f>IFERROR(VLOOKUP(D31,$Z$9:$AD$10,5,FALSE)*IF($D31="Inhalation",IF($J31="Central Tendency",SUMIFS('Inhalation Exposure'!$Q$6:$Q$65,'Inhalation Exposure'!$B$6:$B$65,$B31,'Inhalation Exposure'!$D$6:$D$65,$C31),SUMIFS('Inhalation Exposure'!$P$6:$P$65,'Inhalation Exposure'!$B$6:$B$65,$B31,'Inhalation Exposure'!$D$6:$D$65,$C31)),IF($J31="Central Tendency",VLOOKUP($B31,'Dermal Exposure'!$A$6:$T$34,20,FALSE),VLOOKUP($B31,'Dermal Exposure'!$A$6:$T$34,14,FALSE))),"--")</f>
        <v>3.9739886119533871E-4</v>
      </c>
      <c r="O31" s="605">
        <f>IFERROR(VLOOKUP(D31,$Z$9:$AD$10,5,FALSE)*IF($D31="Inhalation",IF($J31="Central Tendency",SUMIFS('Inhalation Exposure'!$S$6:$S$65,'Inhalation Exposure'!$B$6:$B$65,$B31,'Inhalation Exposure'!$D$6:$D$65,$C31),SUMIFS('Inhalation Exposure'!$R$6:$R$65,'Inhalation Exposure'!$B$6:$B$65,$B31,'Inhalation Exposure'!$D$6:$D$65,$C31)),IF($J31="Central Tendency",VLOOKUP($B31,'Dermal Exposure'!$A$6:$U$34,21,FALSE),VLOOKUP($B31,'Dermal Exposure'!$A$6:$U$34,15,FALSE))),"--")</f>
        <v>1.3588477189259969E-4</v>
      </c>
      <c r="P31" s="481"/>
      <c r="Q31" s="481"/>
      <c r="R31" s="481"/>
      <c r="S31" s="481"/>
      <c r="U31" s="191"/>
      <c r="V31" s="192"/>
      <c r="W31" s="192"/>
      <c r="X31" s="193"/>
    </row>
    <row r="32" spans="2:30" ht="15.75" thickBot="1" x14ac:dyDescent="0.3">
      <c r="B32" s="297" t="s">
        <v>163</v>
      </c>
      <c r="C32" s="298" t="s">
        <v>79</v>
      </c>
      <c r="D32" s="298" t="s">
        <v>149</v>
      </c>
      <c r="E32" s="483"/>
      <c r="F32" s="483"/>
      <c r="G32" s="593"/>
      <c r="H32" s="596"/>
      <c r="I32" s="596"/>
      <c r="J32" s="610"/>
      <c r="K32" s="602"/>
      <c r="L32" s="602"/>
      <c r="M32" s="602"/>
      <c r="N32" s="606"/>
      <c r="O32" s="606"/>
      <c r="P32" s="481"/>
      <c r="Q32" s="481"/>
      <c r="R32" s="481"/>
      <c r="S32" s="481"/>
      <c r="U32" s="191"/>
      <c r="V32" s="192"/>
      <c r="W32" s="192"/>
      <c r="X32" s="193"/>
    </row>
    <row r="33" spans="2:24" ht="15.75" thickBot="1" x14ac:dyDescent="0.3">
      <c r="B33" s="297" t="s">
        <v>163</v>
      </c>
      <c r="C33" s="298" t="s">
        <v>79</v>
      </c>
      <c r="D33" s="298" t="s">
        <v>149</v>
      </c>
      <c r="E33" s="483"/>
      <c r="F33" s="483"/>
      <c r="G33" s="593"/>
      <c r="H33" s="596"/>
      <c r="I33" s="596"/>
      <c r="J33" s="595" t="s">
        <v>153</v>
      </c>
      <c r="K33" s="601">
        <f>IFERROR(VLOOKUP($D33,$Z$9:$AD$10,2,FALSE)/IF($D33="Inhalation",IF($J33="Central Tendency",SUMIFS('Inhalation Exposure'!$K$6:$K$65,'Inhalation Exposure'!$B$6:$B$65,$B33,'Inhalation Exposure'!$D$6:$D$65,$C33),SUMIFS('Inhalation Exposure'!$J$6:$J$65,'Inhalation Exposure'!$B$6:$B$65,$B33,'Inhalation Exposure'!$D$6:$D$65,$C33)),IF($J33="Central Tendency",VLOOKUP($B33,'Dermal Exposure'!$A$6:$T$34,17,FALSE),VLOOKUP($B33,'Dermal Exposure'!$A$6:$T$34,11,FALSE))),"--")</f>
        <v>13.175555555555553</v>
      </c>
      <c r="L33" s="601">
        <f>IFERROR(VLOOKUP($D33,$Z$9:$AD$10,3,FALSE)/IF($D33="Inhalation",IF($J33="Central Tendency",SUMIFS('Inhalation Exposure'!$M$6:$M$65,'Inhalation Exposure'!$B$6:$B$65,$B33,'Inhalation Exposure'!$D$6:$D$65,$C33),SUMIFS('Inhalation Exposure'!$L$6:$L$65,'Inhalation Exposure'!$B$6:$B$65,$B33,'Inhalation Exposure'!$D$6:$D$65,$C33)),IF($J33="Central Tendency",VLOOKUP($B33,'Dermal Exposure'!$A$6:$T$34,18,FALSE),VLOOKUP($B33,'Dermal Exposure'!$A$6:$T$34,12,FALSE))),"--")</f>
        <v>38.606060606060609</v>
      </c>
      <c r="M33" s="601">
        <f>IFERROR(VLOOKUP($D33,$Z$9:$AD$10,4,FALSE)/IF($D33="Inhalation",IF($J33="Central Tendency",SUMIFS('Inhalation Exposure'!$O$6:$O$65,'Inhalation Exposure'!$B$6:$B$65,$B33,'Inhalation Exposure'!$D$6:$D$65,$C33),SUMIFS('Inhalation Exposure'!$N$6:$N$65,'Inhalation Exposure'!$B$6:$B$65,$B33,'Inhalation Exposure'!$D$6:$D$65,$C33)),IF($J33="Central Tendency",VLOOKUP($B33,'Dermal Exposure'!$A$6:$T$34,19,FALSE),VLOOKUP($B33,'Dermal Exposure'!$A$6:$T$34,13,FALSE))),"--")</f>
        <v>41.334222222222223</v>
      </c>
      <c r="N33" s="605">
        <f>IFERROR(VLOOKUP(D33,$Z$9:$AD$10,5,FALSE)*IF($D33="Inhalation",IF($J33="Central Tendency",SUMIFS('Inhalation Exposure'!$Q$6:$Q$65,'Inhalation Exposure'!$B$6:$B$65,$B33,'Inhalation Exposure'!$D$6:$D$65,$C33),SUMIFS('Inhalation Exposure'!$P$6:$P$65,'Inhalation Exposure'!$B$6:$B$65,$B33,'Inhalation Exposure'!$D$6:$D$65,$C33)),IF($J33="Central Tendency",VLOOKUP($B33,'Dermal Exposure'!$A$6:$T$34,20,FALSE),VLOOKUP($B33,'Dermal Exposure'!$A$6:$T$34,14,FALSE))),"--")</f>
        <v>1.8709275069353349E-3</v>
      </c>
      <c r="O33" s="605">
        <f>IFERROR(VLOOKUP(D33,$Z$9:$AD$10,5,FALSE)*IF($D33="Inhalation",IF($J33="Central Tendency",SUMIFS('Inhalation Exposure'!$S$6:$S$65,'Inhalation Exposure'!$B$6:$B$65,$B33,'Inhalation Exposure'!$D$6:$D$65,$C33),SUMIFS('Inhalation Exposure'!$R$6:$R$65,'Inhalation Exposure'!$B$6:$B$65,$B33,'Inhalation Exposure'!$D$6:$D$65,$C33)),IF($J33="Central Tendency",VLOOKUP($B33,'Dermal Exposure'!$A$6:$U$34,21,FALSE),VLOOKUP($B33,'Dermal Exposure'!$A$6:$U$34,15,FALSE))),"--")</f>
        <v>1.8709275069353349E-3</v>
      </c>
      <c r="P33" s="481"/>
      <c r="Q33" s="481"/>
      <c r="R33" s="481"/>
      <c r="S33" s="481"/>
      <c r="U33" s="191"/>
      <c r="V33" s="192"/>
      <c r="W33" s="192"/>
      <c r="X33" s="193"/>
    </row>
    <row r="34" spans="2:24" ht="15.75" thickBot="1" x14ac:dyDescent="0.3">
      <c r="B34" s="297" t="s">
        <v>163</v>
      </c>
      <c r="C34" s="298" t="s">
        <v>79</v>
      </c>
      <c r="D34" s="298" t="s">
        <v>149</v>
      </c>
      <c r="E34" s="483"/>
      <c r="F34" s="483"/>
      <c r="G34" s="594"/>
      <c r="H34" s="596"/>
      <c r="I34" s="597"/>
      <c r="J34" s="597"/>
      <c r="K34" s="602"/>
      <c r="L34" s="602"/>
      <c r="M34" s="602"/>
      <c r="N34" s="606"/>
      <c r="O34" s="606"/>
      <c r="P34" s="481"/>
      <c r="Q34" s="481"/>
      <c r="R34" s="481"/>
      <c r="S34" s="481"/>
      <c r="U34" s="191"/>
      <c r="V34" s="192"/>
      <c r="W34" s="192"/>
      <c r="X34" s="193"/>
    </row>
    <row r="35" spans="2:24" ht="15.75" thickBot="1" x14ac:dyDescent="0.3">
      <c r="B35" s="297" t="s">
        <v>164</v>
      </c>
      <c r="C35" s="298" t="s">
        <v>79</v>
      </c>
      <c r="D35" s="298" t="s">
        <v>149</v>
      </c>
      <c r="E35" s="483"/>
      <c r="F35" s="483"/>
      <c r="G35" s="592" t="s">
        <v>430</v>
      </c>
      <c r="H35" s="596"/>
      <c r="I35" s="595" t="s">
        <v>126</v>
      </c>
      <c r="J35" s="595" t="s">
        <v>80</v>
      </c>
      <c r="K35" s="601">
        <f>IFERROR(VLOOKUP($D35,$Z$9:$AD$10,2,FALSE)/IF($D35="Inhalation",IF($J35="Central Tendency",SUMIFS('Inhalation Exposure'!$K$6:$K$65,'Inhalation Exposure'!$B$6:$B$65,$B35,'Inhalation Exposure'!$D$6:$D$65,$C35),SUMIFS('Inhalation Exposure'!$J$6:$J$65,'Inhalation Exposure'!$B$6:$B$65,$B35,'Inhalation Exposure'!$D$6:$D$65,$C35)),IF($J35="Central Tendency",VLOOKUP($B35,'Dermal Exposure'!$A$6:$T$34,17,FALSE),VLOOKUP($B35,'Dermal Exposure'!$A$6:$T$34,11,FALSE))),"--")</f>
        <v>54.729230769230767</v>
      </c>
      <c r="L35" s="601">
        <f>IFERROR(VLOOKUP($D35,$Z$9:$AD$10,3,FALSE)/IF($D35="Inhalation",IF($J35="Central Tendency",SUMIFS('Inhalation Exposure'!$M$6:$M$65,'Inhalation Exposure'!$B$6:$B$65,$B35,'Inhalation Exposure'!$D$6:$D$65,$C35),SUMIFS('Inhalation Exposure'!$L$6:$L$65,'Inhalation Exposure'!$B$6:$B$65,$B35,'Inhalation Exposure'!$D$6:$D$65,$C35)),IF($J35="Central Tendency",VLOOKUP($B35,'Dermal Exposure'!$A$6:$T$34,18,FALSE),VLOOKUP($B35,'Dermal Exposure'!$A$6:$T$34,12,FALSE))),"--")</f>
        <v>160.36363636363637</v>
      </c>
      <c r="M35" s="601">
        <f>IFERROR(VLOOKUP($D35,$Z$9:$AD$10,4,FALSE)/IF($D35="Inhalation",IF($J35="Central Tendency",SUMIFS('Inhalation Exposure'!$O$6:$O$65,'Inhalation Exposure'!$B$6:$B$65,$B35,'Inhalation Exposure'!$D$6:$D$65,$C35),SUMIFS('Inhalation Exposure'!$N$6:$N$65,'Inhalation Exposure'!$B$6:$B$65,$B35,'Inhalation Exposure'!$D$6:$D$65,$C35)),IF($J35="Central Tendency",VLOOKUP($B35,'Dermal Exposure'!$A$6:$T$34,19,FALSE),VLOOKUP($B35,'Dermal Exposure'!$A$6:$T$34,13,FALSE))),"--")</f>
        <v>171.696</v>
      </c>
      <c r="N35" s="605">
        <f>IFERROR(VLOOKUP(D35,$Z$9:$AD$10,5,FALSE)*IF($D35="Inhalation",IF($J35="Central Tendency",SUMIFS('Inhalation Exposure'!$Q$6:$Q$65,'Inhalation Exposure'!$B$6:$B$65,$B35,'Inhalation Exposure'!$D$6:$D$65,$C35),SUMIFS('Inhalation Exposure'!$P$6:$P$65,'Inhalation Exposure'!$B$6:$B$65,$B35,'Inhalation Exposure'!$D$6:$D$65,$C35)),IF($J35="Central Tendency",VLOOKUP($B35,'Dermal Exposure'!$A$6:$T$34,20,FALSE),VLOOKUP($B35,'Dermal Exposure'!$A$6:$T$34,14,FALSE))),"--")</f>
        <v>3.4906656726617585E-4</v>
      </c>
      <c r="O35" s="605">
        <f>IFERROR(VLOOKUP(D35,$Z$9:$AD$10,5,FALSE)*IF($D35="Inhalation",IF($J35="Central Tendency",SUMIFS('Inhalation Exposure'!$S$6:$S$65,'Inhalation Exposure'!$B$6:$B$65,$B35,'Inhalation Exposure'!$D$6:$D$65,$C35),SUMIFS('Inhalation Exposure'!$R$6:$R$65,'Inhalation Exposure'!$B$6:$B$65,$B35,'Inhalation Exposure'!$D$6:$D$65,$C35)),IF($J35="Central Tendency",VLOOKUP($B35,'Dermal Exposure'!$A$6:$U$34,21,FALSE),VLOOKUP($B35,'Dermal Exposure'!$A$6:$U$34,15,FALSE))),"--")</f>
        <v>1.1935824558133758E-4</v>
      </c>
      <c r="P35" s="481"/>
      <c r="Q35" s="481"/>
      <c r="R35" s="481"/>
      <c r="S35" s="481"/>
      <c r="U35" s="191"/>
      <c r="V35" s="192"/>
      <c r="W35" s="192"/>
      <c r="X35" s="193"/>
    </row>
    <row r="36" spans="2:24" ht="15.75" thickBot="1" x14ac:dyDescent="0.3">
      <c r="B36" s="297" t="s">
        <v>164</v>
      </c>
      <c r="C36" s="298" t="s">
        <v>79</v>
      </c>
      <c r="D36" s="298" t="s">
        <v>149</v>
      </c>
      <c r="E36" s="483"/>
      <c r="F36" s="483"/>
      <c r="G36" s="593"/>
      <c r="H36" s="596"/>
      <c r="I36" s="596"/>
      <c r="J36" s="610"/>
      <c r="K36" s="602"/>
      <c r="L36" s="602"/>
      <c r="M36" s="602"/>
      <c r="N36" s="606"/>
      <c r="O36" s="606"/>
      <c r="P36" s="481"/>
      <c r="Q36" s="481"/>
      <c r="R36" s="481"/>
      <c r="S36" s="481"/>
      <c r="U36" s="191"/>
      <c r="V36" s="192"/>
      <c r="W36" s="192"/>
      <c r="X36" s="193"/>
    </row>
    <row r="37" spans="2:24" ht="15.75" thickBot="1" x14ac:dyDescent="0.3">
      <c r="B37" s="297" t="s">
        <v>164</v>
      </c>
      <c r="C37" s="298" t="s">
        <v>79</v>
      </c>
      <c r="D37" s="298" t="s">
        <v>149</v>
      </c>
      <c r="E37" s="483"/>
      <c r="F37" s="483"/>
      <c r="G37" s="593"/>
      <c r="H37" s="596"/>
      <c r="I37" s="596"/>
      <c r="J37" s="595" t="s">
        <v>153</v>
      </c>
      <c r="K37" s="601">
        <f>IFERROR(VLOOKUP($D37,$Z$9:$AD$10,2,FALSE)/IF($D37="Inhalation",IF($J37="Central Tendency",SUMIFS('Inhalation Exposure'!$K$6:$K$65,'Inhalation Exposure'!$B$6:$B$65,$B37,'Inhalation Exposure'!$D$6:$D$65,$C37),SUMIFS('Inhalation Exposure'!$J$6:$J$65,'Inhalation Exposure'!$B$6:$B$65,$B37,'Inhalation Exposure'!$D$6:$D$65,$C37)),IF($J37="Central Tendency",VLOOKUP($B37,'Dermal Exposure'!$A$6:$T$34,17,FALSE),VLOOKUP($B37,'Dermal Exposure'!$A$6:$T$34,11,FALSE))),"--")</f>
        <v>2.0925882352941176</v>
      </c>
      <c r="L37" s="601">
        <f>IFERROR(VLOOKUP($D37,$Z$9:$AD$10,3,FALSE)/IF($D37="Inhalation",IF($J37="Central Tendency",SUMIFS('Inhalation Exposure'!$M$6:$M$65,'Inhalation Exposure'!$B$6:$B$65,$B37,'Inhalation Exposure'!$D$6:$D$65,$C37),SUMIFS('Inhalation Exposure'!$L$6:$L$65,'Inhalation Exposure'!$B$6:$B$65,$B37,'Inhalation Exposure'!$D$6:$D$65,$C37)),IF($J37="Central Tendency",VLOOKUP($B37,'Dermal Exposure'!$A$6:$T$34,18,FALSE),VLOOKUP($B37,'Dermal Exposure'!$A$6:$T$34,12,FALSE))),"--")</f>
        <v>6.1315508021390377</v>
      </c>
      <c r="M37" s="601">
        <f>IFERROR(VLOOKUP($D37,$Z$9:$AD$10,4,FALSE)/IF($D37="Inhalation",IF($J37="Central Tendency",SUMIFS('Inhalation Exposure'!$O$6:$O$65,'Inhalation Exposure'!$B$6:$B$65,$B37,'Inhalation Exposure'!$D$6:$D$65,$C37),SUMIFS('Inhalation Exposure'!$N$6:$N$65,'Inhalation Exposure'!$B$6:$B$65,$B37,'Inhalation Exposure'!$D$6:$D$65,$C37)),IF($J37="Central Tendency",VLOOKUP($B37,'Dermal Exposure'!$A$6:$T$34,19,FALSE),VLOOKUP($B37,'Dermal Exposure'!$A$6:$T$34,13,FALSE))),"--")</f>
        <v>6.5648470588235304</v>
      </c>
      <c r="N37" s="605">
        <f>IFERROR(VLOOKUP(D37,$Z$9:$AD$10,5,FALSE)*IF($D37="Inhalation",IF($J37="Central Tendency",SUMIFS('Inhalation Exposure'!$Q$6:$Q$65,'Inhalation Exposure'!$B$6:$B$65,$B37,'Inhalation Exposure'!$D$6:$D$65,$C37),SUMIFS('Inhalation Exposure'!$P$6:$P$65,'Inhalation Exposure'!$B$6:$B$65,$B37,'Inhalation Exposure'!$D$6:$D$65,$C37)),IF($J37="Central Tendency",VLOOKUP($B37,'Dermal Exposure'!$A$6:$T$34,20,FALSE),VLOOKUP($B37,'Dermal Exposure'!$A$6:$T$34,14,FALSE))),"--")</f>
        <v>1.1779913932555812E-2</v>
      </c>
      <c r="O37" s="605">
        <f>IFERROR(VLOOKUP(D37,$Z$9:$AD$10,5,FALSE)*IF($D37="Inhalation",IF($J37="Central Tendency",SUMIFS('Inhalation Exposure'!$S$6:$S$65,'Inhalation Exposure'!$B$6:$B$65,$B37,'Inhalation Exposure'!$D$6:$D$65,$C37),SUMIFS('Inhalation Exposure'!$R$6:$R$65,'Inhalation Exposure'!$B$6:$B$65,$B37,'Inhalation Exposure'!$D$6:$D$65,$C37)),IF($J37="Central Tendency",VLOOKUP($B37,'Dermal Exposure'!$A$6:$U$34,21,FALSE),VLOOKUP($B37,'Dermal Exposure'!$A$6:$U$34,15,FALSE))),"--")</f>
        <v>1.1779913932555812E-2</v>
      </c>
      <c r="P37" s="481"/>
      <c r="Q37" s="481"/>
      <c r="R37" s="481"/>
      <c r="S37" s="481"/>
      <c r="U37" s="191"/>
      <c r="V37" s="192"/>
      <c r="W37" s="192"/>
      <c r="X37" s="193"/>
    </row>
    <row r="38" spans="2:24" ht="15.75" thickBot="1" x14ac:dyDescent="0.3">
      <c r="B38" s="297" t="s">
        <v>164</v>
      </c>
      <c r="C38" s="298" t="s">
        <v>79</v>
      </c>
      <c r="D38" s="298" t="s">
        <v>149</v>
      </c>
      <c r="E38" s="483"/>
      <c r="F38" s="483"/>
      <c r="G38" s="594"/>
      <c r="H38" s="596"/>
      <c r="I38" s="597"/>
      <c r="J38" s="597"/>
      <c r="K38" s="602"/>
      <c r="L38" s="602"/>
      <c r="M38" s="602"/>
      <c r="N38" s="606"/>
      <c r="O38" s="606"/>
      <c r="P38" s="481"/>
      <c r="Q38" s="481"/>
      <c r="R38" s="481"/>
      <c r="S38" s="481"/>
      <c r="U38" s="191"/>
      <c r="V38" s="192"/>
      <c r="W38" s="192"/>
      <c r="X38" s="193"/>
    </row>
    <row r="39" spans="2:24" ht="15.75" thickBot="1" x14ac:dyDescent="0.3">
      <c r="B39" s="297" t="s">
        <v>165</v>
      </c>
      <c r="C39" s="298" t="s">
        <v>79</v>
      </c>
      <c r="D39" s="298" t="s">
        <v>149</v>
      </c>
      <c r="E39" s="483"/>
      <c r="F39" s="483"/>
      <c r="G39" s="592" t="s">
        <v>431</v>
      </c>
      <c r="H39" s="596"/>
      <c r="I39" s="595" t="s">
        <v>126</v>
      </c>
      <c r="J39" s="595" t="s">
        <v>80</v>
      </c>
      <c r="K39" s="601">
        <f>IFERROR(VLOOKUP($D39,$Z$9:$AD$10,2,FALSE)/IF($D39="Inhalation",IF($J39="Central Tendency",SUMIFS('Inhalation Exposure'!$K$6:$K$65,'Inhalation Exposure'!$B$6:$B$65,$B39,'Inhalation Exposure'!$D$6:$D$65,$C39),SUMIFS('Inhalation Exposure'!$J$6:$J$65,'Inhalation Exposure'!$B$6:$B$65,$B39,'Inhalation Exposure'!$D$6:$D$65,$C39)),IF($J39="Central Tendency",VLOOKUP($B39,'Dermal Exposure'!$A$6:$T$34,17,FALSE),VLOOKUP($B39,'Dermal Exposure'!$A$6:$T$34,11,FALSE))),"--")</f>
        <v>169.39999999999998</v>
      </c>
      <c r="L39" s="601">
        <f>IFERROR(VLOOKUP($D39,$Z$9:$AD$10,3,FALSE)/IF($D39="Inhalation",IF($J39="Central Tendency",SUMIFS('Inhalation Exposure'!$M$6:$M$65,'Inhalation Exposure'!$B$6:$B$65,$B39,'Inhalation Exposure'!$D$6:$D$65,$C39),SUMIFS('Inhalation Exposure'!$L$6:$L$65,'Inhalation Exposure'!$B$6:$B$65,$B39,'Inhalation Exposure'!$D$6:$D$65,$C39)),IF($J39="Central Tendency",VLOOKUP($B39,'Dermal Exposure'!$A$6:$T$34,18,FALSE),VLOOKUP($B39,'Dermal Exposure'!$A$6:$T$34,12,FALSE))),"--")</f>
        <v>496.36363636363632</v>
      </c>
      <c r="M39" s="601">
        <f>IFERROR(VLOOKUP($D39,$Z$9:$AD$10,4,FALSE)/IF($D39="Inhalation",IF($J39="Central Tendency",SUMIFS('Inhalation Exposure'!$O$6:$O$65,'Inhalation Exposure'!$B$6:$B$65,$B39,'Inhalation Exposure'!$D$6:$D$65,$C39),SUMIFS('Inhalation Exposure'!$N$6:$N$65,'Inhalation Exposure'!$B$6:$B$65,$B39,'Inhalation Exposure'!$D$6:$D$65,$C39)),IF($J39="Central Tendency",VLOOKUP($B39,'Dermal Exposure'!$A$6:$T$34,19,FALSE),VLOOKUP($B39,'Dermal Exposure'!$A$6:$T$34,13,FALSE))),"--")</f>
        <v>531.43999999999994</v>
      </c>
      <c r="N39" s="621">
        <f>IFERROR(VLOOKUP(D39,$Z$9:$AD$10,5,FALSE)*IF($D39="Inhalation",IF($J39="Central Tendency",SUMIFS('Inhalation Exposure'!$Q$6:$Q$65,'Inhalation Exposure'!$B$6:$B$65,$B39,'Inhalation Exposure'!$D$6:$D$65,$C39),SUMIFS('Inhalation Exposure'!$P$6:$P$65,'Inhalation Exposure'!$B$6:$B$65,$B39,'Inhalation Exposure'!$D$6:$D$65,$C39)),IF($J39="Central Tendency",VLOOKUP($B39,'Dermal Exposure'!$A$6:$T$34,20,FALSE),VLOOKUP($B39,'Dermal Exposure'!$A$6:$T$34,14,FALSE))),"--")</f>
        <v>1.1277535250137991E-4</v>
      </c>
      <c r="O39" s="607">
        <f>IFERROR(VLOOKUP(D39,$Z$9:$AD$10,5,FALSE)*IF($D39="Inhalation",IF($J39="Central Tendency",SUMIFS('Inhalation Exposure'!$S$6:$S$65,'Inhalation Exposure'!$B$6:$B$65,$B39,'Inhalation Exposure'!$D$6:$D$65,$C39),SUMIFS('Inhalation Exposure'!$R$6:$R$65,'Inhalation Exposure'!$B$6:$B$65,$B39,'Inhalation Exposure'!$D$6:$D$65,$C39)),IF($J39="Central Tendency",VLOOKUP($B39,'Dermal Exposure'!$A$6:$U$34,21,FALSE),VLOOKUP($B39,'Dermal Exposure'!$A$6:$U$34,15,FALSE))),"--")</f>
        <v>3.8561894726278288E-5</v>
      </c>
      <c r="P39" s="481"/>
      <c r="Q39" s="481"/>
      <c r="R39" s="481"/>
      <c r="S39" s="481"/>
      <c r="U39" s="191"/>
      <c r="V39" s="192"/>
      <c r="W39" s="192"/>
      <c r="X39" s="193"/>
    </row>
    <row r="40" spans="2:24" ht="15.75" thickBot="1" x14ac:dyDescent="0.3">
      <c r="B40" s="297" t="s">
        <v>165</v>
      </c>
      <c r="C40" s="298" t="s">
        <v>79</v>
      </c>
      <c r="D40" s="298" t="s">
        <v>149</v>
      </c>
      <c r="E40" s="483"/>
      <c r="F40" s="483"/>
      <c r="G40" s="593"/>
      <c r="H40" s="596"/>
      <c r="I40" s="596"/>
      <c r="J40" s="610"/>
      <c r="K40" s="602"/>
      <c r="L40" s="602"/>
      <c r="M40" s="602"/>
      <c r="N40" s="622"/>
      <c r="O40" s="608"/>
      <c r="P40" s="481"/>
      <c r="Q40" s="481"/>
      <c r="R40" s="481"/>
      <c r="S40" s="481"/>
      <c r="U40" s="191"/>
      <c r="V40" s="192"/>
      <c r="W40" s="192"/>
      <c r="X40" s="193"/>
    </row>
    <row r="41" spans="2:24" ht="15.75" thickBot="1" x14ac:dyDescent="0.3">
      <c r="B41" s="297" t="s">
        <v>165</v>
      </c>
      <c r="C41" s="298" t="s">
        <v>79</v>
      </c>
      <c r="D41" s="298" t="s">
        <v>149</v>
      </c>
      <c r="E41" s="483"/>
      <c r="F41" s="483"/>
      <c r="G41" s="593"/>
      <c r="H41" s="596"/>
      <c r="I41" s="596"/>
      <c r="J41" s="595" t="s">
        <v>153</v>
      </c>
      <c r="K41" s="601">
        <f>IFERROR(VLOOKUP($D41,$Z$9:$AD$10,2,FALSE)/IF($D41="Inhalation",IF($J41="Central Tendency",SUMIFS('Inhalation Exposure'!$K$6:$K$65,'Inhalation Exposure'!$B$6:$B$65,$B41,'Inhalation Exposure'!$D$6:$D$65,$C41),SUMIFS('Inhalation Exposure'!$J$6:$J$65,'Inhalation Exposure'!$B$6:$B$65,$B41,'Inhalation Exposure'!$D$6:$D$65,$C41)),IF($J41="Central Tendency",VLOOKUP($B41,'Dermal Exposure'!$A$6:$T$34,17,FALSE),VLOOKUP($B41,'Dermal Exposure'!$A$6:$T$34,11,FALSE))),"--")</f>
        <v>9.8816666666666659</v>
      </c>
      <c r="L41" s="601">
        <f>IFERROR(VLOOKUP($D41,$Z$9:$AD$10,3,FALSE)/IF($D41="Inhalation",IF($J41="Central Tendency",SUMIFS('Inhalation Exposure'!$M$6:$M$65,'Inhalation Exposure'!$B$6:$B$65,$B41,'Inhalation Exposure'!$D$6:$D$65,$C41),SUMIFS('Inhalation Exposure'!$L$6:$L$65,'Inhalation Exposure'!$B$6:$B$65,$B41,'Inhalation Exposure'!$D$6:$D$65,$C41)),IF($J41="Central Tendency",VLOOKUP($B41,'Dermal Exposure'!$A$6:$T$34,18,FALSE),VLOOKUP($B41,'Dermal Exposure'!$A$6:$T$34,12,FALSE))),"--")</f>
        <v>28.954545454545457</v>
      </c>
      <c r="M41" s="601">
        <f>IFERROR(VLOOKUP($D41,$Z$9:$AD$10,4,FALSE)/IF($D41="Inhalation",IF($J41="Central Tendency",SUMIFS('Inhalation Exposure'!$O$6:$O$65,'Inhalation Exposure'!$B$6:$B$65,$B41,'Inhalation Exposure'!$D$6:$D$65,$C41),SUMIFS('Inhalation Exposure'!$N$6:$N$65,'Inhalation Exposure'!$B$6:$B$65,$B41,'Inhalation Exposure'!$D$6:$D$65,$C41)),IF($J41="Central Tendency",VLOOKUP($B41,'Dermal Exposure'!$A$6:$T$34,19,FALSE),VLOOKUP($B41,'Dermal Exposure'!$A$6:$T$34,13,FALSE))),"--")</f>
        <v>31.000666666666667</v>
      </c>
      <c r="N41" s="605">
        <f>IFERROR(VLOOKUP(D41,$Z$9:$AD$10,5,FALSE)*IF($D41="Inhalation",IF($J41="Central Tendency",SUMIFS('Inhalation Exposure'!$Q$6:$Q$65,'Inhalation Exposure'!$B$6:$B$65,$B41,'Inhalation Exposure'!$D$6:$D$65,$C41),SUMIFS('Inhalation Exposure'!$P$6:$P$65,'Inhalation Exposure'!$B$6:$B$65,$B41,'Inhalation Exposure'!$D$6:$D$65,$C41)),IF($J41="Central Tendency",VLOOKUP($B41,'Dermal Exposure'!$A$6:$T$34,20,FALSE),VLOOKUP($B41,'Dermal Exposure'!$A$6:$T$34,14,FALSE))),"--")</f>
        <v>2.4945700092471128E-3</v>
      </c>
      <c r="O41" s="605">
        <f>IFERROR(VLOOKUP(D41,$Z$9:$AD$10,5,FALSE)*IF($D41="Inhalation",IF($J41="Central Tendency",SUMIFS('Inhalation Exposure'!$S$6:$S$65,'Inhalation Exposure'!$B$6:$B$65,$B41,'Inhalation Exposure'!$D$6:$D$65,$C41),SUMIFS('Inhalation Exposure'!$R$6:$R$65,'Inhalation Exposure'!$B$6:$B$65,$B41,'Inhalation Exposure'!$D$6:$D$65,$C41)),IF($J41="Central Tendency",VLOOKUP($B41,'Dermal Exposure'!$A$6:$U$34,21,FALSE),VLOOKUP($B41,'Dermal Exposure'!$A$6:$U$34,15,FALSE))),"--")</f>
        <v>2.4945700092471128E-3</v>
      </c>
      <c r="P41" s="481"/>
      <c r="Q41" s="481"/>
      <c r="R41" s="481"/>
      <c r="S41" s="481"/>
      <c r="U41" s="191"/>
      <c r="V41" s="192"/>
      <c r="W41" s="192"/>
      <c r="X41" s="193"/>
    </row>
    <row r="42" spans="2:24" ht="15.75" thickBot="1" x14ac:dyDescent="0.3">
      <c r="B42" s="297" t="s">
        <v>165</v>
      </c>
      <c r="C42" s="298" t="s">
        <v>79</v>
      </c>
      <c r="D42" s="298" t="s">
        <v>149</v>
      </c>
      <c r="E42" s="483"/>
      <c r="F42" s="483"/>
      <c r="G42" s="594"/>
      <c r="H42" s="596"/>
      <c r="I42" s="597"/>
      <c r="J42" s="597"/>
      <c r="K42" s="602"/>
      <c r="L42" s="602"/>
      <c r="M42" s="602"/>
      <c r="N42" s="606"/>
      <c r="O42" s="606"/>
      <c r="P42" s="481"/>
      <c r="Q42" s="481"/>
      <c r="R42" s="481"/>
      <c r="S42" s="481"/>
      <c r="U42" s="191"/>
      <c r="V42" s="192"/>
      <c r="W42" s="192"/>
      <c r="X42" s="193"/>
    </row>
    <row r="43" spans="2:24" ht="15.75" thickBot="1" x14ac:dyDescent="0.3">
      <c r="B43" s="297" t="s">
        <v>166</v>
      </c>
      <c r="C43" s="298" t="s">
        <v>79</v>
      </c>
      <c r="D43" s="298" t="s">
        <v>149</v>
      </c>
      <c r="E43" s="483"/>
      <c r="F43" s="483"/>
      <c r="G43" s="592" t="s">
        <v>432</v>
      </c>
      <c r="H43" s="596"/>
      <c r="I43" s="595" t="s">
        <v>126</v>
      </c>
      <c r="J43" s="595" t="s">
        <v>80</v>
      </c>
      <c r="K43" s="601">
        <f>IFERROR(VLOOKUP($D43,$Z$9:$AD$10,2,FALSE)/IF($D43="Inhalation",IF($J43="Central Tendency",SUMIFS('Inhalation Exposure'!$K$6:$K$65,'Inhalation Exposure'!$B$6:$B$65,$B43,'Inhalation Exposure'!$D$6:$D$65,$C43),SUMIFS('Inhalation Exposure'!$J$6:$J$65,'Inhalation Exposure'!$B$6:$B$65,$B43,'Inhalation Exposure'!$D$6:$D$65,$C43)),IF($J43="Central Tendency",VLOOKUP($B43,'Dermal Exposure'!$A$6:$T$34,17,FALSE),VLOOKUP($B43,'Dermal Exposure'!$A$6:$T$34,11,FALSE))),"--")</f>
        <v>136.82307692307694</v>
      </c>
      <c r="L43" s="601">
        <f>IFERROR(VLOOKUP($D43,$Z$9:$AD$10,3,FALSE)/IF($D43="Inhalation",IF($J43="Central Tendency",SUMIFS('Inhalation Exposure'!$M$6:$M$65,'Inhalation Exposure'!$B$6:$B$65,$B43,'Inhalation Exposure'!$D$6:$D$65,$C43),SUMIFS('Inhalation Exposure'!$L$6:$L$65,'Inhalation Exposure'!$B$6:$B$65,$B43,'Inhalation Exposure'!$D$6:$D$65,$C43)),IF($J43="Central Tendency",VLOOKUP($B43,'Dermal Exposure'!$A$6:$T$34,18,FALSE),VLOOKUP($B43,'Dermal Exposure'!$A$6:$T$34,12,FALSE))),"--")</f>
        <v>400.90909090909093</v>
      </c>
      <c r="M43" s="601">
        <f>IFERROR(VLOOKUP($D43,$Z$9:$AD$10,4,FALSE)/IF($D43="Inhalation",IF($J43="Central Tendency",SUMIFS('Inhalation Exposure'!$O$6:$O$65,'Inhalation Exposure'!$B$6:$B$65,$B43,'Inhalation Exposure'!$D$6:$D$65,$C43),SUMIFS('Inhalation Exposure'!$N$6:$N$65,'Inhalation Exposure'!$B$6:$B$65,$B43,'Inhalation Exposure'!$D$6:$D$65,$C43)),IF($J43="Central Tendency",VLOOKUP($B43,'Dermal Exposure'!$A$6:$T$34,19,FALSE),VLOOKUP($B43,'Dermal Exposure'!$A$6:$T$34,13,FALSE))),"--")</f>
        <v>429.24</v>
      </c>
      <c r="N43" s="621">
        <f>IFERROR(VLOOKUP(D43,$Z$9:$AD$10,5,FALSE)*IF($D43="Inhalation",IF($J43="Central Tendency",SUMIFS('Inhalation Exposure'!$Q$6:$Q$65,'Inhalation Exposure'!$B$6:$B$65,$B43,'Inhalation Exposure'!$D$6:$D$65,$C43),SUMIFS('Inhalation Exposure'!$P$6:$P$65,'Inhalation Exposure'!$B$6:$B$65,$B43,'Inhalation Exposure'!$D$6:$D$65,$C43)),IF($J43="Central Tendency",VLOOKUP($B43,'Dermal Exposure'!$A$6:$T$34,20,FALSE),VLOOKUP($B43,'Dermal Exposure'!$A$6:$T$34,14,FALSE))),"--")</f>
        <v>1.3962662690647037E-4</v>
      </c>
      <c r="O43" s="607">
        <f>IFERROR(VLOOKUP(D43,$Z$9:$AD$10,5,FALSE)*IF($D43="Inhalation",IF($J43="Central Tendency",SUMIFS('Inhalation Exposure'!$S$6:$S$65,'Inhalation Exposure'!$B$6:$B$65,$B43,'Inhalation Exposure'!$D$6:$D$65,$C43),SUMIFS('Inhalation Exposure'!$R$6:$R$65,'Inhalation Exposure'!$B$6:$B$65,$B43,'Inhalation Exposure'!$D$6:$D$65,$C43)),IF($J43="Central Tendency",VLOOKUP($B43,'Dermal Exposure'!$A$6:$U$34,21,FALSE),VLOOKUP($B43,'Dermal Exposure'!$A$6:$U$34,15,FALSE))),"--")</f>
        <v>4.7743298232535015E-5</v>
      </c>
      <c r="P43" s="481"/>
      <c r="Q43" s="481"/>
      <c r="R43" s="481"/>
      <c r="S43" s="481"/>
      <c r="U43" s="191"/>
      <c r="V43" s="192"/>
      <c r="W43" s="192"/>
      <c r="X43" s="193"/>
    </row>
    <row r="44" spans="2:24" ht="15.75" thickBot="1" x14ac:dyDescent="0.3">
      <c r="B44" s="297" t="s">
        <v>166</v>
      </c>
      <c r="C44" s="298" t="s">
        <v>79</v>
      </c>
      <c r="D44" s="298" t="s">
        <v>149</v>
      </c>
      <c r="E44" s="483"/>
      <c r="F44" s="483"/>
      <c r="G44" s="593"/>
      <c r="H44" s="596"/>
      <c r="I44" s="596"/>
      <c r="J44" s="610"/>
      <c r="K44" s="602"/>
      <c r="L44" s="602"/>
      <c r="M44" s="602"/>
      <c r="N44" s="622"/>
      <c r="O44" s="608"/>
      <c r="P44" s="481"/>
      <c r="Q44" s="481"/>
      <c r="R44" s="481"/>
      <c r="S44" s="481"/>
      <c r="U44" s="191"/>
      <c r="V44" s="192"/>
      <c r="W44" s="192"/>
      <c r="X44" s="193"/>
    </row>
    <row r="45" spans="2:24" ht="15.75" thickBot="1" x14ac:dyDescent="0.3">
      <c r="B45" s="297" t="s">
        <v>166</v>
      </c>
      <c r="C45" s="298" t="s">
        <v>79</v>
      </c>
      <c r="D45" s="298" t="s">
        <v>149</v>
      </c>
      <c r="E45" s="483"/>
      <c r="F45" s="483"/>
      <c r="G45" s="593"/>
      <c r="H45" s="596"/>
      <c r="I45" s="596"/>
      <c r="J45" s="595" t="s">
        <v>153</v>
      </c>
      <c r="K45" s="601">
        <f>IFERROR(VLOOKUP($D45,$Z$9:$AD$10,2,FALSE)/IF($D45="Inhalation",IF($J45="Central Tendency",SUMIFS('Inhalation Exposure'!$K$6:$K$65,'Inhalation Exposure'!$B$6:$B$65,$B45,'Inhalation Exposure'!$D$6:$D$65,$C45),SUMIFS('Inhalation Exposure'!$J$6:$J$65,'Inhalation Exposure'!$B$6:$B$65,$B45,'Inhalation Exposure'!$D$6:$D$65,$C45)),IF($J45="Central Tendency",VLOOKUP($B45,'Dermal Exposure'!$A$6:$T$34,17,FALSE),VLOOKUP($B45,'Dermal Exposure'!$A$6:$T$34,11,FALSE))),"--")</f>
        <v>46.807894736842108</v>
      </c>
      <c r="L45" s="601">
        <f>IFERROR(VLOOKUP($D45,$Z$9:$AD$10,3,FALSE)/IF($D45="Inhalation",IF($J45="Central Tendency",SUMIFS('Inhalation Exposure'!$M$6:$M$65,'Inhalation Exposure'!$B$6:$B$65,$B45,'Inhalation Exposure'!$D$6:$D$65,$C45),SUMIFS('Inhalation Exposure'!$L$6:$L$65,'Inhalation Exposure'!$B$6:$B$65,$B45,'Inhalation Exposure'!$D$6:$D$65,$C45)),IF($J45="Central Tendency",VLOOKUP($B45,'Dermal Exposure'!$A$6:$T$34,18,FALSE),VLOOKUP($B45,'Dermal Exposure'!$A$6:$T$34,12,FALSE))),"--")</f>
        <v>137.15311004784689</v>
      </c>
      <c r="M45" s="601">
        <f>IFERROR(VLOOKUP($D45,$Z$9:$AD$10,4,FALSE)/IF($D45="Inhalation",IF($J45="Central Tendency",SUMIFS('Inhalation Exposure'!$O$6:$O$65,'Inhalation Exposure'!$B$6:$B$65,$B45,'Inhalation Exposure'!$D$6:$D$65,$C45),SUMIFS('Inhalation Exposure'!$N$6:$N$65,'Inhalation Exposure'!$B$6:$B$65,$B45,'Inhalation Exposure'!$D$6:$D$65,$C45)),IF($J45="Central Tendency",VLOOKUP($B45,'Dermal Exposure'!$A$6:$T$34,19,FALSE),VLOOKUP($B45,'Dermal Exposure'!$A$6:$T$34,13,FALSE))),"--")</f>
        <v>146.84526315789475</v>
      </c>
      <c r="N45" s="605">
        <f>IFERROR(VLOOKUP(D45,$Z$9:$AD$10,5,FALSE)*IF($D45="Inhalation",IF($J45="Central Tendency",SUMIFS('Inhalation Exposure'!$Q$6:$Q$65,'Inhalation Exposure'!$B$6:$B$65,$B45,'Inhalation Exposure'!$D$6:$D$65,$C45),SUMIFS('Inhalation Exposure'!$P$6:$P$65,'Inhalation Exposure'!$B$6:$B$65,$B45,'Inhalation Exposure'!$D$6:$D$65,$C45)),IF($J45="Central Tendency",VLOOKUP($B45,'Dermal Exposure'!$A$6:$T$34,20,FALSE),VLOOKUP($B45,'Dermal Exposure'!$A$6:$T$34,14,FALSE))),"--")</f>
        <v>5.2663144639661277E-4</v>
      </c>
      <c r="O45" s="605">
        <f>IFERROR(VLOOKUP(D45,$Z$9:$AD$10,5,FALSE)*IF($D45="Inhalation",IF($J45="Central Tendency",SUMIFS('Inhalation Exposure'!$S$6:$S$65,'Inhalation Exposure'!$B$6:$B$65,$B45,'Inhalation Exposure'!$D$6:$D$65,$C45),SUMIFS('Inhalation Exposure'!$R$6:$R$65,'Inhalation Exposure'!$B$6:$B$65,$B45,'Inhalation Exposure'!$D$6:$D$65,$C45)),IF($J45="Central Tendency",VLOOKUP($B45,'Dermal Exposure'!$A$6:$U$34,21,FALSE),VLOOKUP($B45,'Dermal Exposure'!$A$6:$U$34,15,FALSE))),"--")</f>
        <v>5.2663144639661277E-4</v>
      </c>
      <c r="P45" s="481"/>
      <c r="Q45" s="481"/>
      <c r="R45" s="481"/>
      <c r="S45" s="481"/>
      <c r="U45" s="191"/>
      <c r="V45" s="192"/>
      <c r="W45" s="192"/>
      <c r="X45" s="193"/>
    </row>
    <row r="46" spans="2:24" ht="15.75" thickBot="1" x14ac:dyDescent="0.3">
      <c r="B46" s="297" t="s">
        <v>166</v>
      </c>
      <c r="C46" s="298" t="s">
        <v>79</v>
      </c>
      <c r="D46" s="298" t="s">
        <v>149</v>
      </c>
      <c r="E46" s="483"/>
      <c r="F46" s="483"/>
      <c r="G46" s="594"/>
      <c r="H46" s="596"/>
      <c r="I46" s="597"/>
      <c r="J46" s="597"/>
      <c r="K46" s="602"/>
      <c r="L46" s="602"/>
      <c r="M46" s="602"/>
      <c r="N46" s="606"/>
      <c r="O46" s="606"/>
      <c r="P46" s="481"/>
      <c r="Q46" s="481"/>
      <c r="R46" s="481"/>
      <c r="S46" s="481"/>
      <c r="U46" s="191"/>
      <c r="V46" s="192"/>
      <c r="W46" s="192"/>
      <c r="X46" s="193"/>
    </row>
    <row r="47" spans="2:24" ht="16.5" thickTop="1" thickBot="1" x14ac:dyDescent="0.3">
      <c r="B47" s="297" t="s">
        <v>163</v>
      </c>
      <c r="C47" s="298" t="s">
        <v>79</v>
      </c>
      <c r="D47" s="298" t="s">
        <v>59</v>
      </c>
      <c r="E47" s="483"/>
      <c r="F47" s="483"/>
      <c r="G47" s="592" t="s">
        <v>445</v>
      </c>
      <c r="H47" s="596"/>
      <c r="I47" s="609" t="s">
        <v>59</v>
      </c>
      <c r="J47" s="618" t="s">
        <v>80</v>
      </c>
      <c r="K47" s="601">
        <f>IFERROR(VLOOKUP($D47,$Z$9:$AD$10,2,FALSE)/IF($D47="Inhalation",IF($J47="Central Tendency",SUMIFS('Inhalation Exposure'!$K$6:$K$65,'Inhalation Exposure'!$B$6:$B$65,$B47,'Inhalation Exposure'!$D$6:$D$65,$C47),SUMIFS('Inhalation Exposure'!$J$6:$J$65,'Inhalation Exposure'!$B$6:$B$65,$B47,'Inhalation Exposure'!$D$6:$D$65,$C47)),IF($J47="Central Tendency",VLOOKUP($B47,'Dermal Exposure'!$A$6:$T$34,17,FALSE),VLOOKUP($B47,'Dermal Exposure'!$A$6:$T$34,11,FALSE))),"--")</f>
        <v>497.05560242803324</v>
      </c>
      <c r="L47" s="601">
        <f>IFERROR(VLOOKUP($D47,$Z$9:$AD$10,3,FALSE)/IF($D47="Inhalation",IF($J47="Central Tendency",SUMIFS('Inhalation Exposure'!$M$6:$M$65,'Inhalation Exposure'!$B$6:$B$65,$B47,'Inhalation Exposure'!$D$6:$D$65,$C47),SUMIFS('Inhalation Exposure'!$L$6:$L$65,'Inhalation Exposure'!$B$6:$B$65,$B47,'Inhalation Exposure'!$D$6:$D$65,$C47)),IF($J47="Central Tendency",VLOOKUP($B47,'Dermal Exposure'!$A$6:$T$34,18,FALSE),VLOOKUP($B47,'Dermal Exposure'!$A$6:$T$34,12,FALSE))),"--")</f>
        <v>221.39297047388416</v>
      </c>
      <c r="M47" s="601">
        <f>IFERROR(VLOOKUP($D47,$Z$9:$AD$10,4,FALSE)/IF($D47="Inhalation",IF($J47="Central Tendency",SUMIFS('Inhalation Exposure'!$O$6:$O$65,'Inhalation Exposure'!$B$6:$B$65,$B47,'Inhalation Exposure'!$D$6:$D$65,$C47),SUMIFS('Inhalation Exposure'!$N$6:$N$65,'Inhalation Exposure'!$B$6:$B$65,$B47,'Inhalation Exposure'!$D$6:$D$65,$C47)),IF($J47="Central Tendency",VLOOKUP($B47,'Dermal Exposure'!$A$6:$T$34,19,FALSE),VLOOKUP($B47,'Dermal Exposure'!$A$6:$T$34,13,FALSE))),"--")</f>
        <v>237.03807372070531</v>
      </c>
      <c r="N47" s="605">
        <f>IFERROR(VLOOKUP(D47,$Z$9:$AD$10,5,FALSE)*IF($D47="Inhalation",IF($J47="Central Tendency",SUMIFS('Inhalation Exposure'!$Q$6:$Q$65,'Inhalation Exposure'!$B$6:$B$65,$B47,'Inhalation Exposure'!$D$6:$D$65,$C47),SUMIFS('Inhalation Exposure'!$P$6:$P$65,'Inhalation Exposure'!$B$6:$B$65,$B47,'Inhalation Exposure'!$D$6:$D$65,$C47)),IF($J47="Central Tendency",VLOOKUP($B47,'Dermal Exposure'!$A$6:$T$34,20,FALSE),VLOOKUP($B47,'Dermal Exposure'!$A$6:$T$34,14,FALSE))),"--")</f>
        <v>4.0016403597710763E-4</v>
      </c>
      <c r="O47" s="605">
        <f>IFERROR(VLOOKUP(D47,$Z$9:$AD$10,5,FALSE)*IF($D47="Inhalation",IF($J47="Central Tendency",SUMIFS('Inhalation Exposure'!$S$6:$S$65,'Inhalation Exposure'!$B$6:$B$65,$B47,'Inhalation Exposure'!$D$6:$D$65,$C47),SUMIFS('Inhalation Exposure'!$R$6:$R$65,'Inhalation Exposure'!$B$6:$B$65,$B47,'Inhalation Exposure'!$D$6:$D$65,$C47)),IF($J47="Central Tendency",VLOOKUP($B47,'Dermal Exposure'!$A$6:$U$34,21,FALSE),VLOOKUP($B47,'Dermal Exposure'!$A$6:$U$34,15,FALSE))),"--")</f>
        <v>2.6987667424266572E-4</v>
      </c>
      <c r="P47" s="481"/>
      <c r="Q47" s="481"/>
      <c r="R47" s="481"/>
      <c r="S47" s="481"/>
      <c r="U47" s="191"/>
      <c r="V47" s="192"/>
      <c r="W47" s="192"/>
      <c r="X47" s="193"/>
    </row>
    <row r="48" spans="2:24" ht="15.75" thickBot="1" x14ac:dyDescent="0.3">
      <c r="B48" s="297" t="s">
        <v>163</v>
      </c>
      <c r="C48" s="298" t="s">
        <v>79</v>
      </c>
      <c r="D48" s="298" t="s">
        <v>59</v>
      </c>
      <c r="E48" s="483"/>
      <c r="F48" s="483"/>
      <c r="G48" s="593"/>
      <c r="H48" s="596"/>
      <c r="I48" s="596"/>
      <c r="J48" s="611"/>
      <c r="K48" s="602"/>
      <c r="L48" s="602"/>
      <c r="M48" s="602"/>
      <c r="N48" s="606"/>
      <c r="O48" s="606"/>
      <c r="P48" s="481"/>
      <c r="Q48" s="481"/>
      <c r="R48" s="481"/>
      <c r="S48" s="481"/>
      <c r="U48" s="191"/>
      <c r="V48" s="192"/>
      <c r="W48" s="192"/>
      <c r="X48" s="193"/>
    </row>
    <row r="49" spans="2:24" ht="15.75" thickBot="1" x14ac:dyDescent="0.3">
      <c r="B49" s="297" t="s">
        <v>163</v>
      </c>
      <c r="C49" s="298" t="s">
        <v>79</v>
      </c>
      <c r="D49" s="298" t="s">
        <v>59</v>
      </c>
      <c r="E49" s="483"/>
      <c r="F49" s="483"/>
      <c r="G49" s="593"/>
      <c r="H49" s="596"/>
      <c r="I49" s="596"/>
      <c r="J49" s="598" t="s">
        <v>153</v>
      </c>
      <c r="K49" s="601">
        <f>IFERROR(VLOOKUP($D49,$Z$9:$AD$10,2,FALSE)/IF($D49="Inhalation",IF($J49="Central Tendency",SUMIFS('Inhalation Exposure'!$K$6:$K$65,'Inhalation Exposure'!$B$6:$B$65,$B49,'Inhalation Exposure'!$D$6:$D$65,$C49),SUMIFS('Inhalation Exposure'!$J$6:$J$65,'Inhalation Exposure'!$B$6:$B$65,$B49,'Inhalation Exposure'!$D$6:$D$65,$C49)),IF($J49="Central Tendency",VLOOKUP($B49,'Dermal Exposure'!$A$6:$T$34,17,FALSE),VLOOKUP($B49,'Dermal Exposure'!$A$6:$T$34,11,FALSE))),"--")</f>
        <v>290.41831381067004</v>
      </c>
      <c r="L49" s="601">
        <f>IFERROR(VLOOKUP($D49,$Z$9:$AD$10,3,FALSE)/IF($D49="Inhalation",IF($J49="Central Tendency",SUMIFS('Inhalation Exposure'!$M$6:$M$65,'Inhalation Exposure'!$B$6:$B$65,$B49,'Inhalation Exposure'!$D$6:$D$65,$C49),SUMIFS('Inhalation Exposure'!$L$6:$L$65,'Inhalation Exposure'!$B$6:$B$65,$B49,'Inhalation Exposure'!$D$6:$D$65,$C49)),IF($J49="Central Tendency",VLOOKUP($B49,'Dermal Exposure'!$A$6:$T$34,18,FALSE),VLOOKUP($B49,'Dermal Exposure'!$A$6:$T$34,12,FALSE))),"--")</f>
        <v>129.35489080192016</v>
      </c>
      <c r="M49" s="601">
        <f>IFERROR(VLOOKUP($D49,$Z$9:$AD$10,4,FALSE)/IF($D49="Inhalation",IF($J49="Central Tendency",SUMIFS('Inhalation Exposure'!$O$6:$O$65,'Inhalation Exposure'!$B$6:$B$65,$B49,'Inhalation Exposure'!$D$6:$D$65,$C49),SUMIFS('Inhalation Exposure'!$N$6:$N$65,'Inhalation Exposure'!$B$6:$B$65,$B49,'Inhalation Exposure'!$D$6:$D$65,$C49)),IF($J49="Central Tendency",VLOOKUP($B49,'Dermal Exposure'!$A$6:$T$34,19,FALSE),VLOOKUP($B49,'Dermal Exposure'!$A$6:$T$34,13,FALSE))),"--")</f>
        <v>138.49596975192256</v>
      </c>
      <c r="N49" s="605">
        <f>IFERROR(VLOOKUP(D49,$Z$9:$AD$10,5,FALSE)*IF($D49="Inhalation",IF($J49="Central Tendency",SUMIFS('Inhalation Exposure'!$Q$6:$Q$65,'Inhalation Exposure'!$B$6:$B$65,$B49,'Inhalation Exposure'!$D$6:$D$65,$C49),SUMIFS('Inhalation Exposure'!$P$6:$P$65,'Inhalation Exposure'!$B$6:$B$65,$B49,'Inhalation Exposure'!$D$6:$D$65,$C49)),IF($J49="Central Tendency",VLOOKUP($B49,'Dermal Exposure'!$A$6:$T$34,20,FALSE),VLOOKUP($B49,'Dermal Exposure'!$A$6:$T$34,14,FALSE))),"--")</f>
        <v>7.8168056984073394E-4</v>
      </c>
      <c r="O49" s="605">
        <f>IFERROR(VLOOKUP(D49,$Z$9:$AD$10,5,FALSE)*IF($D49="Inhalation",IF($J49="Central Tendency",SUMIFS('Inhalation Exposure'!$S$6:$S$65,'Inhalation Exposure'!$B$6:$B$65,$B49,'Inhalation Exposure'!$D$6:$D$65,$C49),SUMIFS('Inhalation Exposure'!$R$6:$R$65,'Inhalation Exposure'!$B$6:$B$65,$B49,'Inhalation Exposure'!$D$6:$D$65,$C49)),IF($J49="Central Tendency",VLOOKUP($B49,'Dermal Exposure'!$A$6:$U$34,21,FALSE),VLOOKUP($B49,'Dermal Exposure'!$A$6:$U$34,15,FALSE))),"--")</f>
        <v>5.8847902353401278E-4</v>
      </c>
      <c r="P49" s="481"/>
      <c r="Q49" s="481"/>
      <c r="R49" s="481"/>
      <c r="S49" s="481"/>
      <c r="U49" s="191"/>
      <c r="V49" s="192"/>
      <c r="W49" s="192"/>
      <c r="X49" s="193"/>
    </row>
    <row r="50" spans="2:24" ht="15.75" thickBot="1" x14ac:dyDescent="0.3">
      <c r="B50" s="297" t="s">
        <v>163</v>
      </c>
      <c r="C50" s="298" t="s">
        <v>79</v>
      </c>
      <c r="D50" s="298" t="s">
        <v>59</v>
      </c>
      <c r="E50" s="483"/>
      <c r="F50" s="483"/>
      <c r="G50" s="594"/>
      <c r="H50" s="596"/>
      <c r="I50" s="596"/>
      <c r="J50" s="611"/>
      <c r="K50" s="602"/>
      <c r="L50" s="602"/>
      <c r="M50" s="602"/>
      <c r="N50" s="606"/>
      <c r="O50" s="606"/>
      <c r="P50" s="481"/>
      <c r="Q50" s="481"/>
      <c r="R50" s="481"/>
      <c r="S50" s="481"/>
      <c r="U50" s="191"/>
      <c r="V50" s="192"/>
      <c r="W50" s="192"/>
      <c r="X50" s="193"/>
    </row>
    <row r="51" spans="2:24" ht="26.25" thickBot="1" x14ac:dyDescent="0.3">
      <c r="B51" s="297" t="s">
        <v>438</v>
      </c>
      <c r="C51" s="298" t="s">
        <v>82</v>
      </c>
      <c r="D51" s="298" t="s">
        <v>149</v>
      </c>
      <c r="E51" s="483"/>
      <c r="F51" s="483"/>
      <c r="G51" s="592" t="s">
        <v>445</v>
      </c>
      <c r="H51" s="595" t="s">
        <v>82</v>
      </c>
      <c r="I51" s="598" t="s">
        <v>126</v>
      </c>
      <c r="J51" s="271" t="s">
        <v>80</v>
      </c>
      <c r="K51" s="476">
        <f>IFERROR(VLOOKUP($D51,$Z$9:$AD$10,2,FALSE)/IF($D51="Inhalation",IF($J51="Central Tendency",SUMIFS('Inhalation Exposure'!$K$6:$K$65,'Inhalation Exposure'!$B$6:$B$65,$B51,'Inhalation Exposure'!$D$6:$D$65,$C51),SUMIFS('Inhalation Exposure'!$J$6:$J$65,'Inhalation Exposure'!$B$6:$B$65,$B51,'Inhalation Exposure'!$D$6:$D$65,$C51)),IF($J51="Central Tendency",VLOOKUP($B51,'Dermal Exposure'!$A$6:$T$34,15,FALSE),VLOOKUP($B51,'Dermal Exposure'!$A$6:$T$34,10,FALSE))),"--")</f>
        <v>725.99999999999989</v>
      </c>
      <c r="L51" s="476">
        <f>IFERROR(VLOOKUP($D51,$Z$9:$AD$10,3,FALSE)/IF($D51="Inhalation",IF($J51="Central Tendency",SUMIFS('Inhalation Exposure'!$M$6:$M$65,'Inhalation Exposure'!$B$6:$B$65,$B51,'Inhalation Exposure'!$D$6:$D$65,$C51),SUMIFS('Inhalation Exposure'!$L$6:$L$65,'Inhalation Exposure'!$B$6:$B$65,$B51,'Inhalation Exposure'!$D$6:$D$65,$C51)),IF($J51="Central Tendency",VLOOKUP($B51,'Dermal Exposure'!$A$6:$T$34,16,FALSE),VLOOKUP($B51,'Dermal Exposure'!$A$6:$T$34,11,FALSE))),"--")</f>
        <v>2127.2727272727266</v>
      </c>
      <c r="M51" s="476">
        <f>IFERROR(VLOOKUP($D51,$Z$9:$AD$10,4,FALSE)/IF($D51="Inhalation",IF($J51="Central Tendency",SUMIFS('Inhalation Exposure'!$O$6:$O$65,'Inhalation Exposure'!$B$6:$B$65,$B51,'Inhalation Exposure'!$D$6:$D$65,$C51),SUMIFS('Inhalation Exposure'!$N$6:$N$65,'Inhalation Exposure'!$B$6:$B$65,$B51,'Inhalation Exposure'!$D$6:$D$65,$C51)),IF($J51="Central Tendency",VLOOKUP($B51,'Dermal Exposure'!$A$6:$T$34,17,FALSE),VLOOKUP($B51,'Dermal Exposure'!$A$6:$T$34,12,FALSE))),"--")</f>
        <v>2277.6</v>
      </c>
      <c r="N51" s="477">
        <f>IFERROR(VLOOKUP(D51,$Z$9:$AD$10,5,FALSE)*IF($D51="Inhalation",IF($J51="Central Tendency",SUMIFS('Inhalation Exposure'!$Q$6:$Q$65,'Inhalation Exposure'!$B$6:$B$65,$B51,'Inhalation Exposure'!$D$6:$D$65,$C51),SUMIFS('Inhalation Exposure'!$P$6:$P$65,'Inhalation Exposure'!$B$6:$B$65,$B51,'Inhalation Exposure'!$D$6:$D$65,$C51)),IF($J51="Central Tendency",VLOOKUP($B51,'Dermal Exposure'!$A$6:$T$34,18,FALSE),VLOOKUP($B51,'Dermal Exposure'!$A$6:$T$34,13,FALSE))),"--")</f>
        <v>2.6314248916988647E-5</v>
      </c>
      <c r="O51" s="477">
        <f>IFERROR(VLOOKUP(D51,$Z$9:$AD$10,5,FALSE)*IF($D51="Inhalation",IF($J51="Central Tendency",SUMIFS('Inhalation Exposure'!$S$6:$S$65,'Inhalation Exposure'!$B$6:$B$65,$B51,'Inhalation Exposure'!$D$6:$D$65,$C51),SUMIFS('Inhalation Exposure'!$R$6:$R$65,'Inhalation Exposure'!$B$6:$B$65,$B51,'Inhalation Exposure'!$D$6:$D$65,$C51)),IF($J51="Central Tendency",VLOOKUP($B51,'Dermal Exposure'!$A$6:$U$34,19,FALSE),VLOOKUP($B51,'Dermal Exposure'!$A$6:$U$34,14,FALSE))),"--")</f>
        <v>8.9977754361316017E-6</v>
      </c>
      <c r="P51" s="481"/>
      <c r="Q51" s="481"/>
      <c r="R51" s="481"/>
      <c r="S51" s="481"/>
      <c r="U51" s="191"/>
      <c r="V51" s="192"/>
      <c r="W51" s="192"/>
      <c r="X51" s="193"/>
    </row>
    <row r="52" spans="2:24" ht="22.5" customHeight="1" thickBot="1" x14ac:dyDescent="0.3">
      <c r="B52" s="297" t="s">
        <v>438</v>
      </c>
      <c r="C52" s="298" t="s">
        <v>82</v>
      </c>
      <c r="D52" s="298" t="s">
        <v>149</v>
      </c>
      <c r="E52" s="483"/>
      <c r="F52" s="483"/>
      <c r="G52" s="594"/>
      <c r="H52" s="610"/>
      <c r="I52" s="599"/>
      <c r="J52" s="482" t="s">
        <v>153</v>
      </c>
      <c r="K52" s="476">
        <f>IFERROR(VLOOKUP($D52,$Z$9:$AD$10,2,FALSE)/IF($D52="Inhalation",IF($J52="Central Tendency",SUMIFS('Inhalation Exposure'!$K$6:$K$65,'Inhalation Exposure'!$B$6:$B$65,$B52,'Inhalation Exposure'!$D$6:$D$65,$C52),SUMIFS('Inhalation Exposure'!$J$6:$J$65,'Inhalation Exposure'!$B$6:$B$65,$B52,'Inhalation Exposure'!$D$6:$D$65,$C52)),IF($J52="Central Tendency",VLOOKUP($B52,'Dermal Exposure'!$A$6:$T$34,15,FALSE),VLOOKUP($B52,'Dermal Exposure'!$A$6:$T$34,10,FALSE))),"--")</f>
        <v>22.233749999999997</v>
      </c>
      <c r="L52" s="476">
        <f>IFERROR(VLOOKUP($D52,$Z$9:$AD$10,3,FALSE)/IF($D52="Inhalation",IF($J52="Central Tendency",SUMIFS('Inhalation Exposure'!$M$6:$M$65,'Inhalation Exposure'!$B$6:$B$65,$B52,'Inhalation Exposure'!$D$6:$D$65,$C52),SUMIFS('Inhalation Exposure'!$L$6:$L$65,'Inhalation Exposure'!$B$6:$B$65,$B52,'Inhalation Exposure'!$D$6:$D$65,$C52)),IF($J52="Central Tendency",VLOOKUP($B52,'Dermal Exposure'!$A$6:$T$34,16,FALSE),VLOOKUP($B52,'Dermal Exposure'!$A$6:$T$34,11,FALSE))),"--")</f>
        <v>65.14772727272728</v>
      </c>
      <c r="M52" s="476">
        <f>IFERROR(VLOOKUP($D52,$Z$9:$AD$10,4,FALSE)/IF($D52="Inhalation",IF($J52="Central Tendency",SUMIFS('Inhalation Exposure'!$O$6:$O$65,'Inhalation Exposure'!$B$6:$B$65,$B52,'Inhalation Exposure'!$D$6:$D$65,$C52),SUMIFS('Inhalation Exposure'!$N$6:$N$65,'Inhalation Exposure'!$B$6:$B$65,$B52,'Inhalation Exposure'!$D$6:$D$65,$C52)),IF($J52="Central Tendency",VLOOKUP($B52,'Dermal Exposure'!$A$6:$T$34,17,FALSE),VLOOKUP($B52,'Dermal Exposure'!$A$6:$T$34,12,FALSE))),"--")</f>
        <v>69.751500000000007</v>
      </c>
      <c r="N52" s="477">
        <f>IFERROR(VLOOKUP(D52,$Z$9:$AD$10,5,FALSE)*IF($D52="Inhalation",IF($J52="Central Tendency",SUMIFS('Inhalation Exposure'!$Q$6:$Q$65,'Inhalation Exposure'!$B$6:$B$65,$B52,'Inhalation Exposure'!$D$6:$D$65,$C52),SUMIFS('Inhalation Exposure'!$P$6:$P$65,'Inhalation Exposure'!$B$6:$B$65,$B52,'Inhalation Exposure'!$D$6:$D$65,$C52)),IF($J52="Central Tendency",VLOOKUP($B52,'Dermal Exposure'!$A$6:$T$34,18,FALSE),VLOOKUP($B52,'Dermal Exposure'!$A$6:$T$34,13,FALSE))),"--")</f>
        <v>1.1086977818876059E-3</v>
      </c>
      <c r="O52" s="477">
        <f>IFERROR(VLOOKUP(D52,$Z$9:$AD$10,5,FALSE)*IF($D52="Inhalation",IF($J52="Central Tendency",SUMIFS('Inhalation Exposure'!$S$6:$S$65,'Inhalation Exposure'!$B$6:$B$65,$B52,'Inhalation Exposure'!$D$6:$D$65,$C52),SUMIFS('Inhalation Exposure'!$R$6:$R$65,'Inhalation Exposure'!$B$6:$B$65,$B52,'Inhalation Exposure'!$D$6:$D$65,$C52)),IF($J52="Central Tendency",VLOOKUP($B52,'Dermal Exposure'!$A$6:$U$34,19,FALSE),VLOOKUP($B52,'Dermal Exposure'!$A$6:$U$34,14,FALSE))),"--")</f>
        <v>1.1086977818876059E-3</v>
      </c>
      <c r="P52" s="481"/>
      <c r="Q52" s="481"/>
      <c r="R52" s="481"/>
      <c r="S52" s="481"/>
      <c r="U52" s="191"/>
      <c r="V52" s="192"/>
      <c r="W52" s="192"/>
      <c r="X52" s="193"/>
    </row>
    <row r="53" spans="2:24" ht="15.75" customHeight="1" thickBot="1" x14ac:dyDescent="0.3">
      <c r="B53" s="297" t="s">
        <v>439</v>
      </c>
      <c r="C53" s="298" t="s">
        <v>79</v>
      </c>
      <c r="D53" s="298" t="s">
        <v>149</v>
      </c>
      <c r="E53" s="483"/>
      <c r="F53" s="483"/>
      <c r="G53" s="592" t="s">
        <v>433</v>
      </c>
      <c r="H53" s="595" t="s">
        <v>79</v>
      </c>
      <c r="I53" s="595" t="s">
        <v>126</v>
      </c>
      <c r="J53" s="595" t="s">
        <v>80</v>
      </c>
      <c r="K53" s="601">
        <f>IFERROR(VLOOKUP($D53,$Z$9:$AD$10,2,FALSE)/IF($D53="Inhalation",IF($J53="Central Tendency",SUMIFS('Inhalation Exposure'!$K$6:$K$65,'Inhalation Exposure'!$B$6:$B$65,$B53,'Inhalation Exposure'!$D$6:$D$65,$C53),SUMIFS('Inhalation Exposure'!$J$6:$J$65,'Inhalation Exposure'!$B$6:$B$65,$B53,'Inhalation Exposure'!$D$6:$D$65,$C53)),IF($J53="Central Tendency",VLOOKUP($B53,'Dermal Exposure'!$A$6:$T$34,17,FALSE),VLOOKUP($B53,'Dermal Exposure'!$A$6:$T$34,11,FALSE))),"--")</f>
        <v>4566.9324324324316</v>
      </c>
      <c r="L53" s="601">
        <f>IFERROR(VLOOKUP($D53,$Z$9:$AD$10,3,FALSE)/IF($D53="Inhalation",IF($J53="Central Tendency",SUMIFS('Inhalation Exposure'!$M$6:$M$65,'Inhalation Exposure'!$B$6:$B$65,$B53,'Inhalation Exposure'!$D$6:$D$65,$C53),SUMIFS('Inhalation Exposure'!$L$6:$L$65,'Inhalation Exposure'!$B$6:$B$65,$B53,'Inhalation Exposure'!$D$6:$D$65,$C53)),IF($J53="Central Tendency",VLOOKUP($B53,'Dermal Exposure'!$A$6:$T$34,18,FALSE),VLOOKUP($B53,'Dermal Exposure'!$A$6:$T$34,12,FALSE))),"--")</f>
        <v>13381.69533169533</v>
      </c>
      <c r="M53" s="601">
        <f>IFERROR(VLOOKUP($D53,$Z$9:$AD$10,4,FALSE)/IF($D53="Inhalation",IF($J53="Central Tendency",SUMIFS('Inhalation Exposure'!$O$6:$O$65,'Inhalation Exposure'!$B$6:$B$65,$B53,'Inhalation Exposure'!$D$6:$D$65,$C53),SUMIFS('Inhalation Exposure'!$N$6:$N$65,'Inhalation Exposure'!$B$6:$B$65,$B53,'Inhalation Exposure'!$D$6:$D$65,$C53)),IF($J53="Central Tendency",VLOOKUP($B53,'Dermal Exposure'!$A$6:$T$34,19,FALSE),VLOOKUP($B53,'Dermal Exposure'!$A$6:$T$34,13,FALSE))),"--")</f>
        <v>14327.335135135138</v>
      </c>
      <c r="N53" s="605">
        <f>IFERROR(VLOOKUP(D53,$Z$9:$AD$10,5,FALSE)*IF($D53="Inhalation",IF($J53="Central Tendency",SUMIFS('Inhalation Exposure'!$Q$6:$Q$65,'Inhalation Exposure'!$B$6:$B$65,$B53,'Inhalation Exposure'!$D$6:$D$65,$C53),SUMIFS('Inhalation Exposure'!$P$6:$P$65,'Inhalation Exposure'!$B$6:$B$65,$B53,'Inhalation Exposure'!$D$6:$D$65,$C53)),IF($J53="Central Tendency",VLOOKUP($B53,'Dermal Exposure'!$A$6:$T$34,20,FALSE),VLOOKUP($B53,'Dermal Exposure'!$A$6:$T$34,14,FALSE))),"--")</f>
        <v>4.1831459073193547E-6</v>
      </c>
      <c r="O53" s="605">
        <f>IFERROR(VLOOKUP(D53,$Z$9:$AD$10,5,FALSE)*IF($D53="Inhalation",IF($J53="Central Tendency",SUMIFS('Inhalation Exposure'!$S$6:$S$65,'Inhalation Exposure'!$B$6:$B$65,$B53,'Inhalation Exposure'!$D$6:$D$65,$C53),SUMIFS('Inhalation Exposure'!$R$6:$R$65,'Inhalation Exposure'!$B$6:$B$65,$B53,'Inhalation Exposure'!$D$6:$D$65,$C53)),IF($J53="Central Tendency",VLOOKUP($B53,'Dermal Exposure'!$A$6:$U$34,21,FALSE),VLOOKUP($B53,'Dermal Exposure'!$A$6:$U$34,15,FALSE))),"--")</f>
        <v>1.4303660199221019E-6</v>
      </c>
      <c r="P53" s="481"/>
      <c r="Q53" s="481"/>
      <c r="R53" s="481"/>
      <c r="S53" s="481"/>
      <c r="U53" s="191"/>
      <c r="V53" s="192"/>
      <c r="W53" s="192"/>
      <c r="X53" s="193"/>
    </row>
    <row r="54" spans="2:24" ht="15.75" thickBot="1" x14ac:dyDescent="0.3">
      <c r="B54" s="297" t="s">
        <v>439</v>
      </c>
      <c r="C54" s="298" t="s">
        <v>79</v>
      </c>
      <c r="D54" s="298" t="s">
        <v>149</v>
      </c>
      <c r="E54" s="483"/>
      <c r="F54" s="483"/>
      <c r="G54" s="593"/>
      <c r="H54" s="596"/>
      <c r="I54" s="596"/>
      <c r="J54" s="610"/>
      <c r="K54" s="602"/>
      <c r="L54" s="602"/>
      <c r="M54" s="602"/>
      <c r="N54" s="606"/>
      <c r="O54" s="606"/>
      <c r="P54" s="481"/>
      <c r="Q54" s="481"/>
      <c r="R54" s="481"/>
      <c r="S54" s="481"/>
      <c r="U54" s="191"/>
      <c r="V54" s="192"/>
      <c r="W54" s="192"/>
      <c r="X54" s="193"/>
    </row>
    <row r="55" spans="2:24" ht="15.75" thickBot="1" x14ac:dyDescent="0.3">
      <c r="B55" s="297" t="s">
        <v>439</v>
      </c>
      <c r="C55" s="298" t="s">
        <v>79</v>
      </c>
      <c r="D55" s="298" t="s">
        <v>149</v>
      </c>
      <c r="E55" s="483"/>
      <c r="F55" s="483"/>
      <c r="G55" s="593"/>
      <c r="H55" s="596"/>
      <c r="I55" s="596"/>
      <c r="J55" s="595" t="s">
        <v>153</v>
      </c>
      <c r="K55" s="601">
        <f>IFERROR(VLOOKUP($D55,$Z$9:$AD$10,2,FALSE)/IF($D55="Inhalation",IF($J55="Central Tendency",SUMIFS('Inhalation Exposure'!$K$6:$K$65,'Inhalation Exposure'!$B$6:$B$65,$B55,'Inhalation Exposure'!$D$6:$D$65,$C55),SUMIFS('Inhalation Exposure'!$J$6:$J$65,'Inhalation Exposure'!$B$6:$B$65,$B55,'Inhalation Exposure'!$D$6:$D$65,$C55)),IF($J55="Central Tendency",VLOOKUP($B55,'Dermal Exposure'!$A$6:$T$34,17,FALSE),VLOOKUP($B55,'Dermal Exposure'!$A$6:$T$34,11,FALSE))),"--")</f>
        <v>1251.6777777777777</v>
      </c>
      <c r="L55" s="601">
        <f>IFERROR(VLOOKUP($D55,$Z$9:$AD$10,3,FALSE)/IF($D55="Inhalation",IF($J55="Central Tendency",SUMIFS('Inhalation Exposure'!$M$6:$M$65,'Inhalation Exposure'!$B$6:$B$65,$B55,'Inhalation Exposure'!$D$6:$D$65,$C55),SUMIFS('Inhalation Exposure'!$L$6:$L$65,'Inhalation Exposure'!$B$6:$B$65,$B55,'Inhalation Exposure'!$D$6:$D$65,$C55)),IF($J55="Central Tendency",VLOOKUP($B55,'Dermal Exposure'!$A$6:$T$34,18,FALSE),VLOOKUP($B55,'Dermal Exposure'!$A$6:$T$34,12,FALSE))),"--")</f>
        <v>3667.5757575757571</v>
      </c>
      <c r="M55" s="601">
        <f>IFERROR(VLOOKUP($D55,$Z$9:$AD$10,4,FALSE)/IF($D55="Inhalation",IF($J55="Central Tendency",SUMIFS('Inhalation Exposure'!$O$6:$O$65,'Inhalation Exposure'!$B$6:$B$65,$B55,'Inhalation Exposure'!$D$6:$D$65,$C55),SUMIFS('Inhalation Exposure'!$N$6:$N$65,'Inhalation Exposure'!$B$6:$B$65,$B55,'Inhalation Exposure'!$D$6:$D$65,$C55)),IF($J55="Central Tendency",VLOOKUP($B55,'Dermal Exposure'!$A$6:$T$34,19,FALSE),VLOOKUP($B55,'Dermal Exposure'!$A$6:$T$34,13,FALSE))),"--")</f>
        <v>3926.7511111111098</v>
      </c>
      <c r="N55" s="605">
        <f>IFERROR(VLOOKUP(D55,$Z$9:$AD$10,5,FALSE)*IF($D55="Inhalation",IF($J55="Central Tendency",SUMIFS('Inhalation Exposure'!$Q$6:$Q$65,'Inhalation Exposure'!$B$6:$B$65,$B55,'Inhalation Exposure'!$D$6:$D$65,$C55),SUMIFS('Inhalation Exposure'!$P$6:$P$65,'Inhalation Exposure'!$B$6:$B$65,$B55,'Inhalation Exposure'!$D$6:$D$65,$C55)),IF($J55="Central Tendency",VLOOKUP($B55,'Dermal Exposure'!$A$6:$T$34,20,FALSE),VLOOKUP($B55,'Dermal Exposure'!$A$6:$T$34,14,FALSE))),"--")</f>
        <v>1.9693973757214056E-5</v>
      </c>
      <c r="O55" s="605">
        <f>IFERROR(VLOOKUP(D55,$Z$9:$AD$10,5,FALSE)*IF($D55="Inhalation",IF($J55="Central Tendency",SUMIFS('Inhalation Exposure'!$S$6:$S$65,'Inhalation Exposure'!$B$6:$B$65,$B55,'Inhalation Exposure'!$D$6:$D$65,$C55),SUMIFS('Inhalation Exposure'!$R$6:$R$65,'Inhalation Exposure'!$B$6:$B$65,$B55,'Inhalation Exposure'!$D$6:$D$65,$C55)),IF($J55="Central Tendency",VLOOKUP($B55,'Dermal Exposure'!$A$6:$U$34,21,FALSE),VLOOKUP($B55,'Dermal Exposure'!$A$6:$U$34,15,FALSE))),"--")</f>
        <v>1.9693973757214056E-5</v>
      </c>
      <c r="P55" s="481"/>
      <c r="Q55" s="481"/>
      <c r="R55" s="481"/>
      <c r="S55" s="481"/>
      <c r="U55" s="191"/>
      <c r="V55" s="192"/>
      <c r="W55" s="192"/>
      <c r="X55" s="193"/>
    </row>
    <row r="56" spans="2:24" ht="15.75" thickBot="1" x14ac:dyDescent="0.3">
      <c r="B56" s="297" t="s">
        <v>439</v>
      </c>
      <c r="C56" s="298" t="s">
        <v>79</v>
      </c>
      <c r="D56" s="298" t="s">
        <v>149</v>
      </c>
      <c r="E56" s="483"/>
      <c r="F56" s="483"/>
      <c r="G56" s="594"/>
      <c r="H56" s="596"/>
      <c r="I56" s="597"/>
      <c r="J56" s="597"/>
      <c r="K56" s="602"/>
      <c r="L56" s="602"/>
      <c r="M56" s="602"/>
      <c r="N56" s="606"/>
      <c r="O56" s="606"/>
      <c r="P56" s="481"/>
      <c r="Q56" s="481"/>
      <c r="R56" s="481"/>
      <c r="S56" s="481"/>
      <c r="U56" s="191"/>
      <c r="V56" s="192"/>
      <c r="W56" s="192"/>
      <c r="X56" s="193"/>
    </row>
    <row r="57" spans="2:24" ht="15.75" thickBot="1" x14ac:dyDescent="0.3">
      <c r="B57" s="297" t="s">
        <v>441</v>
      </c>
      <c r="C57" s="298" t="s">
        <v>79</v>
      </c>
      <c r="D57" s="298" t="s">
        <v>149</v>
      </c>
      <c r="E57" s="483"/>
      <c r="F57" s="483"/>
      <c r="G57" s="592" t="s">
        <v>434</v>
      </c>
      <c r="H57" s="596"/>
      <c r="I57" s="595" t="s">
        <v>126</v>
      </c>
      <c r="J57" s="595" t="s">
        <v>80</v>
      </c>
      <c r="K57" s="601">
        <f>IFERROR(VLOOKUP($D57,$Z$9:$AD$10,2,FALSE)/IF($D57="Inhalation",IF($J57="Central Tendency",SUMIFS('Inhalation Exposure'!$K$6:$K$65,'Inhalation Exposure'!$B$6:$B$65,$B57,'Inhalation Exposure'!$D$6:$D$65,$C57),SUMIFS('Inhalation Exposure'!$J$6:$J$65,'Inhalation Exposure'!$B$6:$B$65,$B57,'Inhalation Exposure'!$D$6:$D$65,$C57)),IF($J57="Central Tendency",VLOOKUP($B57,'Dermal Exposure'!$A$6:$T$34,17,FALSE),VLOOKUP($B57,'Dermal Exposure'!$A$6:$T$34,11,FALSE))),"--")</f>
        <v>5199.2769230769227</v>
      </c>
      <c r="L57" s="601">
        <f>IFERROR(VLOOKUP($D57,$Z$9:$AD$10,3,FALSE)/IF($D57="Inhalation",IF($J57="Central Tendency",SUMIFS('Inhalation Exposure'!$M$6:$M$65,'Inhalation Exposure'!$B$6:$B$65,$B57,'Inhalation Exposure'!$D$6:$D$65,$C57),SUMIFS('Inhalation Exposure'!$L$6:$L$65,'Inhalation Exposure'!$B$6:$B$65,$B57,'Inhalation Exposure'!$D$6:$D$65,$C57)),IF($J57="Central Tendency",VLOOKUP($B57,'Dermal Exposure'!$A$6:$T$34,18,FALSE),VLOOKUP($B57,'Dermal Exposure'!$A$6:$T$34,12,FALSE))),"--")</f>
        <v>15234.545454545454</v>
      </c>
      <c r="M57" s="601">
        <f>IFERROR(VLOOKUP($D57,$Z$9:$AD$10,4,FALSE)/IF($D57="Inhalation",IF($J57="Central Tendency",SUMIFS('Inhalation Exposure'!$O$6:$O$65,'Inhalation Exposure'!$B$6:$B$65,$B57,'Inhalation Exposure'!$D$6:$D$65,$C57),SUMIFS('Inhalation Exposure'!$N$6:$N$65,'Inhalation Exposure'!$B$6:$B$65,$B57,'Inhalation Exposure'!$D$6:$D$65,$C57)),IF($J57="Central Tendency",VLOOKUP($B57,'Dermal Exposure'!$A$6:$T$34,19,FALSE),VLOOKUP($B57,'Dermal Exposure'!$A$6:$T$34,13,FALSE))),"--")</f>
        <v>16311.119999999999</v>
      </c>
      <c r="N57" s="605">
        <f>IFERROR(VLOOKUP(D57,$Z$9:$AD$10,5,FALSE)*IF($D57="Inhalation",IF($J57="Central Tendency",SUMIFS('Inhalation Exposure'!$Q$6:$Q$65,'Inhalation Exposure'!$B$6:$B$65,$B57,'Inhalation Exposure'!$D$6:$D$65,$C57),SUMIFS('Inhalation Exposure'!$P$6:$P$65,'Inhalation Exposure'!$B$6:$B$65,$B57,'Inhalation Exposure'!$D$6:$D$65,$C57)),IF($J57="Central Tendency",VLOOKUP($B57,'Dermal Exposure'!$A$6:$T$34,20,FALSE),VLOOKUP($B57,'Dermal Exposure'!$A$6:$T$34,14,FALSE))),"--")</f>
        <v>3.6743849185913243E-6</v>
      </c>
      <c r="O57" s="605">
        <f>IFERROR(VLOOKUP(D57,$Z$9:$AD$10,5,FALSE)*IF($D57="Inhalation",IF($J57="Central Tendency",SUMIFS('Inhalation Exposure'!$S$6:$S$65,'Inhalation Exposure'!$B$6:$B$65,$B57,'Inhalation Exposure'!$D$6:$D$65,$C57),SUMIFS('Inhalation Exposure'!$R$6:$R$65,'Inhalation Exposure'!$B$6:$B$65,$B57,'Inhalation Exposure'!$D$6:$D$65,$C57)),IF($J57="Central Tendency",VLOOKUP($B57,'Dermal Exposure'!$A$6:$U$34,21,FALSE),VLOOKUP($B57,'Dermal Exposure'!$A$6:$U$34,15,FALSE))),"--")</f>
        <v>1.2564025850667114E-6</v>
      </c>
      <c r="P57" s="481"/>
      <c r="Q57" s="481"/>
      <c r="R57" s="481"/>
      <c r="S57" s="481"/>
      <c r="U57" s="191"/>
      <c r="V57" s="192"/>
      <c r="W57" s="192"/>
      <c r="X57" s="193"/>
    </row>
    <row r="58" spans="2:24" ht="15.75" thickBot="1" x14ac:dyDescent="0.3">
      <c r="B58" s="297" t="s">
        <v>441</v>
      </c>
      <c r="C58" s="298" t="s">
        <v>79</v>
      </c>
      <c r="D58" s="298" t="s">
        <v>149</v>
      </c>
      <c r="E58" s="483"/>
      <c r="F58" s="483"/>
      <c r="G58" s="593"/>
      <c r="H58" s="596"/>
      <c r="I58" s="596"/>
      <c r="J58" s="610"/>
      <c r="K58" s="602"/>
      <c r="L58" s="602"/>
      <c r="M58" s="602"/>
      <c r="N58" s="606"/>
      <c r="O58" s="606"/>
      <c r="P58" s="481"/>
      <c r="Q58" s="481"/>
      <c r="R58" s="481"/>
      <c r="S58" s="481"/>
      <c r="U58" s="191"/>
      <c r="V58" s="192"/>
      <c r="W58" s="192"/>
      <c r="X58" s="193"/>
    </row>
    <row r="59" spans="2:24" ht="15.75" thickBot="1" x14ac:dyDescent="0.3">
      <c r="B59" s="297" t="s">
        <v>441</v>
      </c>
      <c r="C59" s="298" t="s">
        <v>79</v>
      </c>
      <c r="D59" s="298" t="s">
        <v>149</v>
      </c>
      <c r="E59" s="483"/>
      <c r="F59" s="483"/>
      <c r="G59" s="593"/>
      <c r="H59" s="596"/>
      <c r="I59" s="596"/>
      <c r="J59" s="595" t="s">
        <v>153</v>
      </c>
      <c r="K59" s="601">
        <f>IFERROR(VLOOKUP($D59,$Z$9:$AD$10,2,FALSE)/IF($D59="Inhalation",IF($J59="Central Tendency",SUMIFS('Inhalation Exposure'!$K$6:$K$65,'Inhalation Exposure'!$B$6:$B$65,$B59,'Inhalation Exposure'!$D$6:$D$65,$C59),SUMIFS('Inhalation Exposure'!$J$6:$J$65,'Inhalation Exposure'!$B$6:$B$65,$B59,'Inhalation Exposure'!$D$6:$D$65,$C59)),IF($J59="Central Tendency",VLOOKUP($B59,'Dermal Exposure'!$A$6:$T$34,17,FALSE),VLOOKUP($B59,'Dermal Exposure'!$A$6:$T$34,11,FALSE))),"--")</f>
        <v>198.79588235294113</v>
      </c>
      <c r="L59" s="601">
        <f>IFERROR(VLOOKUP($D59,$Z$9:$AD$10,3,FALSE)/IF($D59="Inhalation",IF($J59="Central Tendency",SUMIFS('Inhalation Exposure'!$M$6:$M$65,'Inhalation Exposure'!$B$6:$B$65,$B59,'Inhalation Exposure'!$D$6:$D$65,$C59),SUMIFS('Inhalation Exposure'!$L$6:$L$65,'Inhalation Exposure'!$B$6:$B$65,$B59,'Inhalation Exposure'!$D$6:$D$65,$C59)),IF($J59="Central Tendency",VLOOKUP($B59,'Dermal Exposure'!$A$6:$T$34,18,FALSE),VLOOKUP($B59,'Dermal Exposure'!$A$6:$T$34,12,FALSE))),"--")</f>
        <v>582.49732620320844</v>
      </c>
      <c r="M59" s="601">
        <f>IFERROR(VLOOKUP($D59,$Z$9:$AD$10,4,FALSE)/IF($D59="Inhalation",IF($J59="Central Tendency",SUMIFS('Inhalation Exposure'!$O$6:$O$65,'Inhalation Exposure'!$B$6:$B$65,$B59,'Inhalation Exposure'!$D$6:$D$65,$C59),SUMIFS('Inhalation Exposure'!$N$6:$N$65,'Inhalation Exposure'!$B$6:$B$65,$B59,'Inhalation Exposure'!$D$6:$D$65,$C59)),IF($J59="Central Tendency",VLOOKUP($B59,'Dermal Exposure'!$A$6:$T$34,19,FALSE),VLOOKUP($B59,'Dermal Exposure'!$A$6:$T$34,13,FALSE))),"--")</f>
        <v>623.66047058823528</v>
      </c>
      <c r="N59" s="605">
        <f>IFERROR(VLOOKUP(D59,$Z$9:$AD$10,5,FALSE)*IF($D59="Inhalation",IF($J59="Central Tendency",SUMIFS('Inhalation Exposure'!$Q$6:$Q$65,'Inhalation Exposure'!$B$6:$B$65,$B59,'Inhalation Exposure'!$D$6:$D$65,$C59),SUMIFS('Inhalation Exposure'!$P$6:$P$65,'Inhalation Exposure'!$B$6:$B$65,$B59,'Inhalation Exposure'!$D$6:$D$65,$C59)),IF($J59="Central Tendency",VLOOKUP($B59,'Dermal Exposure'!$A$6:$T$34,20,FALSE),VLOOKUP($B59,'Dermal Exposure'!$A$6:$T$34,14,FALSE))),"--")</f>
        <v>1.2399909402690328E-4</v>
      </c>
      <c r="O59" s="605">
        <f>IFERROR(VLOOKUP(D59,$Z$9:$AD$10,5,FALSE)*IF($D59="Inhalation",IF($J59="Central Tendency",SUMIFS('Inhalation Exposure'!$S$6:$S$65,'Inhalation Exposure'!$B$6:$B$65,$B59,'Inhalation Exposure'!$D$6:$D$65,$C59),SUMIFS('Inhalation Exposure'!$R$6:$R$65,'Inhalation Exposure'!$B$6:$B$65,$B59,'Inhalation Exposure'!$D$6:$D$65,$C59)),IF($J59="Central Tendency",VLOOKUP($B59,'Dermal Exposure'!$A$6:$U$34,21,FALSE),VLOOKUP($B59,'Dermal Exposure'!$A$6:$U$34,15,FALSE))),"--")</f>
        <v>1.2399909402690328E-4</v>
      </c>
      <c r="P59" s="481"/>
      <c r="Q59" s="481"/>
      <c r="R59" s="481"/>
      <c r="S59" s="481"/>
      <c r="U59" s="191"/>
      <c r="V59" s="192"/>
      <c r="W59" s="192"/>
      <c r="X59" s="193"/>
    </row>
    <row r="60" spans="2:24" ht="15.75" thickBot="1" x14ac:dyDescent="0.3">
      <c r="B60" s="297" t="s">
        <v>441</v>
      </c>
      <c r="C60" s="298" t="s">
        <v>79</v>
      </c>
      <c r="D60" s="298" t="s">
        <v>149</v>
      </c>
      <c r="E60" s="483"/>
      <c r="F60" s="483"/>
      <c r="G60" s="594"/>
      <c r="H60" s="596"/>
      <c r="I60" s="597"/>
      <c r="J60" s="597"/>
      <c r="K60" s="602"/>
      <c r="L60" s="602"/>
      <c r="M60" s="602"/>
      <c r="N60" s="606"/>
      <c r="O60" s="606"/>
      <c r="P60" s="481"/>
      <c r="Q60" s="481"/>
      <c r="R60" s="481"/>
      <c r="S60" s="481"/>
      <c r="U60" s="191"/>
      <c r="V60" s="192"/>
      <c r="W60" s="192"/>
      <c r="X60" s="193"/>
    </row>
    <row r="61" spans="2:24" ht="15.75" thickBot="1" x14ac:dyDescent="0.3">
      <c r="B61" s="297" t="s">
        <v>442</v>
      </c>
      <c r="C61" s="298" t="s">
        <v>79</v>
      </c>
      <c r="D61" s="298" t="s">
        <v>149</v>
      </c>
      <c r="E61" s="483"/>
      <c r="F61" s="483"/>
      <c r="G61" s="592" t="s">
        <v>435</v>
      </c>
      <c r="H61" s="596"/>
      <c r="I61" s="595" t="s">
        <v>126</v>
      </c>
      <c r="J61" s="595" t="s">
        <v>80</v>
      </c>
      <c r="K61" s="601">
        <f>IFERROR(VLOOKUP($D61,$Z$9:$AD$10,2,FALSE)/IF($D61="Inhalation",IF($J61="Central Tendency",SUMIFS('Inhalation Exposure'!$K$6:$K$65,'Inhalation Exposure'!$B$6:$B$65,$B61,'Inhalation Exposure'!$D$6:$D$65,$C61),SUMIFS('Inhalation Exposure'!$J$6:$J$65,'Inhalation Exposure'!$B$6:$B$65,$B61,'Inhalation Exposure'!$D$6:$D$65,$C61)),IF($J61="Central Tendency",VLOOKUP($B61,'Dermal Exposure'!$A$6:$T$34,17,FALSE),VLOOKUP($B61,'Dermal Exposure'!$A$6:$T$34,11,FALSE))),"--")</f>
        <v>16093</v>
      </c>
      <c r="L61" s="601">
        <f>IFERROR(VLOOKUP($D61,$Z$9:$AD$10,3,FALSE)/IF($D61="Inhalation",IF($J61="Central Tendency",SUMIFS('Inhalation Exposure'!$M$6:$M$65,'Inhalation Exposure'!$B$6:$B$65,$B61,'Inhalation Exposure'!$D$6:$D$65,$C61),SUMIFS('Inhalation Exposure'!$L$6:$L$65,'Inhalation Exposure'!$B$6:$B$65,$B61,'Inhalation Exposure'!$D$6:$D$65,$C61)),IF($J61="Central Tendency",VLOOKUP($B61,'Dermal Exposure'!$A$6:$T$34,18,FALSE),VLOOKUP($B61,'Dermal Exposure'!$A$6:$T$34,12,FALSE))),"--")</f>
        <v>47154.545454545456</v>
      </c>
      <c r="M61" s="601">
        <f>IFERROR(VLOOKUP($D61,$Z$9:$AD$10,4,FALSE)/IF($D61="Inhalation",IF($J61="Central Tendency",SUMIFS('Inhalation Exposure'!$O$6:$O$65,'Inhalation Exposure'!$B$6:$B$65,$B61,'Inhalation Exposure'!$D$6:$D$65,$C61),SUMIFS('Inhalation Exposure'!$N$6:$N$65,'Inhalation Exposure'!$B$6:$B$65,$B61,'Inhalation Exposure'!$D$6:$D$65,$C61)),IF($J61="Central Tendency",VLOOKUP($B61,'Dermal Exposure'!$A$6:$T$34,19,FALSE),VLOOKUP($B61,'Dermal Exposure'!$A$6:$T$34,13,FALSE))),"--")</f>
        <v>50486.799999999996</v>
      </c>
      <c r="N61" s="607">
        <f>IFERROR(VLOOKUP(D61,$Z$9:$AD$10,5,FALSE)*IF($D61="Inhalation",IF($J61="Central Tendency",SUMIFS('Inhalation Exposure'!$Q$6:$Q$65,'Inhalation Exposure'!$B$6:$B$65,$B61,'Inhalation Exposure'!$D$6:$D$65,$C61),SUMIFS('Inhalation Exposure'!$P$6:$P$65,'Inhalation Exposure'!$B$6:$B$65,$B61,'Inhalation Exposure'!$D$6:$D$65,$C61)),IF($J61="Central Tendency",VLOOKUP($B61,'Dermal Exposure'!$A$6:$T$34,20,FALSE),VLOOKUP($B61,'Dermal Exposure'!$A$6:$T$34,14,FALSE))),"--")</f>
        <v>1.187108973698736E-6</v>
      </c>
      <c r="O61" s="607">
        <f>IFERROR(VLOOKUP(D61,$Z$9:$AD$10,5,FALSE)*IF($D61="Inhalation",IF($J61="Central Tendency",SUMIFS('Inhalation Exposure'!$S$6:$S$65,'Inhalation Exposure'!$B$6:$B$65,$B61,'Inhalation Exposure'!$D$6:$D$65,$C61),SUMIFS('Inhalation Exposure'!$R$6:$R$65,'Inhalation Exposure'!$B$6:$B$65,$B61,'Inhalation Exposure'!$D$6:$D$65,$C61)),IF($J61="Central Tendency",VLOOKUP($B61,'Dermal Exposure'!$A$6:$U$34,21,FALSE),VLOOKUP($B61,'Dermal Exposure'!$A$6:$U$34,15,FALSE))),"--")</f>
        <v>4.0591468132924515E-7</v>
      </c>
      <c r="P61" s="481"/>
      <c r="Q61" s="481"/>
      <c r="R61" s="481"/>
      <c r="S61" s="481"/>
      <c r="U61" s="191"/>
      <c r="V61" s="192"/>
      <c r="W61" s="192"/>
      <c r="X61" s="193"/>
    </row>
    <row r="62" spans="2:24" ht="15.75" thickBot="1" x14ac:dyDescent="0.3">
      <c r="B62" s="297" t="s">
        <v>442</v>
      </c>
      <c r="C62" s="298" t="s">
        <v>79</v>
      </c>
      <c r="D62" s="298" t="s">
        <v>149</v>
      </c>
      <c r="E62" s="483"/>
      <c r="F62" s="483"/>
      <c r="G62" s="593"/>
      <c r="H62" s="596"/>
      <c r="I62" s="596"/>
      <c r="J62" s="610"/>
      <c r="K62" s="602"/>
      <c r="L62" s="602"/>
      <c r="M62" s="602"/>
      <c r="N62" s="608"/>
      <c r="O62" s="608"/>
      <c r="P62" s="481"/>
      <c r="Q62" s="481"/>
      <c r="R62" s="481"/>
      <c r="S62" s="481"/>
      <c r="U62" s="191"/>
      <c r="V62" s="192"/>
      <c r="W62" s="192"/>
      <c r="X62" s="193"/>
    </row>
    <row r="63" spans="2:24" ht="15.75" thickBot="1" x14ac:dyDescent="0.3">
      <c r="B63" s="297" t="s">
        <v>442</v>
      </c>
      <c r="C63" s="298" t="s">
        <v>79</v>
      </c>
      <c r="D63" s="298" t="s">
        <v>149</v>
      </c>
      <c r="E63" s="483"/>
      <c r="F63" s="483"/>
      <c r="G63" s="593"/>
      <c r="H63" s="596"/>
      <c r="I63" s="596"/>
      <c r="J63" s="595" t="s">
        <v>153</v>
      </c>
      <c r="K63" s="601">
        <f>IFERROR(VLOOKUP($D63,$Z$9:$AD$10,2,FALSE)/IF($D63="Inhalation",IF($J63="Central Tendency",SUMIFS('Inhalation Exposure'!$K$6:$K$65,'Inhalation Exposure'!$B$6:$B$65,$B63,'Inhalation Exposure'!$D$6:$D$65,$C63),SUMIFS('Inhalation Exposure'!$J$6:$J$65,'Inhalation Exposure'!$B$6:$B$65,$B63,'Inhalation Exposure'!$D$6:$D$65,$C63)),IF($J63="Central Tendency",VLOOKUP($B63,'Dermal Exposure'!$A$6:$T$34,17,FALSE),VLOOKUP($B63,'Dermal Exposure'!$A$6:$T$34,11,FALSE))),"--")</f>
        <v>938.75833333333321</v>
      </c>
      <c r="L63" s="601">
        <f>IFERROR(VLOOKUP($D63,$Z$9:$AD$10,3,FALSE)/IF($D63="Inhalation",IF($J63="Central Tendency",SUMIFS('Inhalation Exposure'!$M$6:$M$65,'Inhalation Exposure'!$B$6:$B$65,$B63,'Inhalation Exposure'!$D$6:$D$65,$C63),SUMIFS('Inhalation Exposure'!$L$6:$L$65,'Inhalation Exposure'!$B$6:$B$65,$B63,'Inhalation Exposure'!$D$6:$D$65,$C63)),IF($J63="Central Tendency",VLOOKUP($B63,'Dermal Exposure'!$A$6:$T$34,18,FALSE),VLOOKUP($B63,'Dermal Exposure'!$A$6:$T$34,12,FALSE))),"--")</f>
        <v>2750.6818181818176</v>
      </c>
      <c r="M63" s="601">
        <f>IFERROR(VLOOKUP($D63,$Z$9:$AD$10,4,FALSE)/IF($D63="Inhalation",IF($J63="Central Tendency",SUMIFS('Inhalation Exposure'!$O$6:$O$65,'Inhalation Exposure'!$B$6:$B$65,$B63,'Inhalation Exposure'!$D$6:$D$65,$C63),SUMIFS('Inhalation Exposure'!$N$6:$N$65,'Inhalation Exposure'!$B$6:$B$65,$B63,'Inhalation Exposure'!$D$6:$D$65,$C63)),IF($J63="Central Tendency",VLOOKUP($B63,'Dermal Exposure'!$A$6:$T$34,19,FALSE),VLOOKUP($B63,'Dermal Exposure'!$A$6:$T$34,13,FALSE))),"--")</f>
        <v>2945.063333333333</v>
      </c>
      <c r="N63" s="605">
        <f>IFERROR(VLOOKUP(D63,$Z$9:$AD$10,5,FALSE)*IF($D63="Inhalation",IF($J63="Central Tendency",SUMIFS('Inhalation Exposure'!$Q$6:$Q$65,'Inhalation Exposure'!$B$6:$B$65,$B63,'Inhalation Exposure'!$D$6:$D$65,$C63),SUMIFS('Inhalation Exposure'!$P$6:$P$65,'Inhalation Exposure'!$B$6:$B$65,$B63,'Inhalation Exposure'!$D$6:$D$65,$C63)),IF($J63="Central Tendency",VLOOKUP($B63,'Dermal Exposure'!$A$6:$T$34,20,FALSE),VLOOKUP($B63,'Dermal Exposure'!$A$6:$T$34,14,FALSE))),"--")</f>
        <v>2.6258631676285401E-5</v>
      </c>
      <c r="O63" s="605">
        <f>IFERROR(VLOOKUP(D63,$Z$9:$AD$10,5,FALSE)*IF($D63="Inhalation",IF($J63="Central Tendency",SUMIFS('Inhalation Exposure'!$S$6:$S$65,'Inhalation Exposure'!$B$6:$B$65,$B63,'Inhalation Exposure'!$D$6:$D$65,$C63),SUMIFS('Inhalation Exposure'!$R$6:$R$65,'Inhalation Exposure'!$B$6:$B$65,$B63,'Inhalation Exposure'!$D$6:$D$65,$C63)),IF($J63="Central Tendency",VLOOKUP($B63,'Dermal Exposure'!$A$6:$U$34,21,FALSE),VLOOKUP($B63,'Dermal Exposure'!$A$6:$U$34,15,FALSE))),"--")</f>
        <v>2.6258631676285401E-5</v>
      </c>
      <c r="P63" s="481"/>
      <c r="Q63" s="481"/>
      <c r="R63" s="481"/>
      <c r="S63" s="481"/>
      <c r="U63" s="191"/>
      <c r="V63" s="192"/>
      <c r="W63" s="192"/>
      <c r="X63" s="193"/>
    </row>
    <row r="64" spans="2:24" ht="15.75" thickBot="1" x14ac:dyDescent="0.3">
      <c r="B64" s="297" t="s">
        <v>442</v>
      </c>
      <c r="C64" s="298" t="s">
        <v>79</v>
      </c>
      <c r="D64" s="298" t="s">
        <v>149</v>
      </c>
      <c r="E64" s="483"/>
      <c r="F64" s="483"/>
      <c r="G64" s="594"/>
      <c r="H64" s="596"/>
      <c r="I64" s="597"/>
      <c r="J64" s="597"/>
      <c r="K64" s="602"/>
      <c r="L64" s="602"/>
      <c r="M64" s="602"/>
      <c r="N64" s="606"/>
      <c r="O64" s="606"/>
      <c r="P64" s="481"/>
      <c r="Q64" s="481"/>
      <c r="R64" s="481"/>
      <c r="S64" s="481"/>
      <c r="U64" s="191"/>
      <c r="V64" s="192"/>
      <c r="W64" s="192"/>
      <c r="X64" s="193"/>
    </row>
    <row r="65" spans="2:30" ht="15.75" thickBot="1" x14ac:dyDescent="0.3">
      <c r="B65" s="297" t="s">
        <v>443</v>
      </c>
      <c r="C65" s="298" t="s">
        <v>79</v>
      </c>
      <c r="D65" s="298" t="s">
        <v>149</v>
      </c>
      <c r="E65" s="483"/>
      <c r="F65" s="483"/>
      <c r="G65" s="592" t="s">
        <v>436</v>
      </c>
      <c r="H65" s="596"/>
      <c r="I65" s="595" t="s">
        <v>126</v>
      </c>
      <c r="J65" s="595" t="s">
        <v>80</v>
      </c>
      <c r="K65" s="601">
        <f>IFERROR(VLOOKUP($D65,$Z$9:$AD$10,2,FALSE)/IF($D65="Inhalation",IF($J65="Central Tendency",SUMIFS('Inhalation Exposure'!$K$6:$K$65,'Inhalation Exposure'!$B$6:$B$65,$B65,'Inhalation Exposure'!$D$6:$D$65,$C65),SUMIFS('Inhalation Exposure'!$J$6:$J$65,'Inhalation Exposure'!$B$6:$B$65,$B65,'Inhalation Exposure'!$D$6:$D$65,$C65)),IF($J65="Central Tendency",VLOOKUP($B65,'Dermal Exposure'!$A$6:$T$34,17,FALSE),VLOOKUP($B65,'Dermal Exposure'!$A$6:$T$34,11,FALSE))),"--")</f>
        <v>12998.192307692307</v>
      </c>
      <c r="L65" s="601">
        <f>IFERROR(VLOOKUP($D65,$Z$9:$AD$10,3,FALSE)/IF($D65="Inhalation",IF($J65="Central Tendency",SUMIFS('Inhalation Exposure'!$M$6:$M$65,'Inhalation Exposure'!$B$6:$B$65,$B65,'Inhalation Exposure'!$D$6:$D$65,$C65),SUMIFS('Inhalation Exposure'!$L$6:$L$65,'Inhalation Exposure'!$B$6:$B$65,$B65,'Inhalation Exposure'!$D$6:$D$65,$C65)),IF($J65="Central Tendency",VLOOKUP($B65,'Dermal Exposure'!$A$6:$T$34,18,FALSE),VLOOKUP($B65,'Dermal Exposure'!$A$6:$T$34,12,FALSE))),"--")</f>
        <v>38086.363636363632</v>
      </c>
      <c r="M65" s="601">
        <f>IFERROR(VLOOKUP($D65,$Z$9:$AD$10,4,FALSE)/IF($D65="Inhalation",IF($J65="Central Tendency",SUMIFS('Inhalation Exposure'!$O$6:$O$65,'Inhalation Exposure'!$B$6:$B$65,$B65,'Inhalation Exposure'!$D$6:$D$65,$C65),SUMIFS('Inhalation Exposure'!$N$6:$N$65,'Inhalation Exposure'!$B$6:$B$65,$B65,'Inhalation Exposure'!$D$6:$D$65,$C65)),IF($J65="Central Tendency",VLOOKUP($B65,'Dermal Exposure'!$A$6:$T$34,19,FALSE),VLOOKUP($B65,'Dermal Exposure'!$A$6:$T$34,13,FALSE))),"--")</f>
        <v>40777.800000000003</v>
      </c>
      <c r="N65" s="607">
        <f>IFERROR(VLOOKUP(D65,$Z$9:$AD$10,5,FALSE)*IF($D65="Inhalation",IF($J65="Central Tendency",SUMIFS('Inhalation Exposure'!$Q$6:$Q$65,'Inhalation Exposure'!$B$6:$B$65,$B65,'Inhalation Exposure'!$D$6:$D$65,$C65),SUMIFS('Inhalation Exposure'!$P$6:$P$65,'Inhalation Exposure'!$B$6:$B$65,$B65,'Inhalation Exposure'!$D$6:$D$65,$C65)),IF($J65="Central Tendency",VLOOKUP($B65,'Dermal Exposure'!$A$6:$T$34,20,FALSE),VLOOKUP($B65,'Dermal Exposure'!$A$6:$T$34,14,FALSE))),"--")</f>
        <v>1.4697539674365302E-6</v>
      </c>
      <c r="O65" s="607">
        <f>IFERROR(VLOOKUP(D65,$Z$9:$AD$10,5,FALSE)*IF($D65="Inhalation",IF($J65="Central Tendency",SUMIFS('Inhalation Exposure'!$S$6:$S$65,'Inhalation Exposure'!$B$6:$B$65,$B65,'Inhalation Exposure'!$D$6:$D$65,$C65),SUMIFS('Inhalation Exposure'!$R$6:$R$65,'Inhalation Exposure'!$B$6:$B$65,$B65,'Inhalation Exposure'!$D$6:$D$65,$C65)),IF($J65="Central Tendency",VLOOKUP($B65,'Dermal Exposure'!$A$6:$U$34,21,FALSE),VLOOKUP($B65,'Dermal Exposure'!$A$6:$U$34,15,FALSE))),"--")</f>
        <v>5.0256103402668457E-7</v>
      </c>
      <c r="P65" s="481"/>
      <c r="Q65" s="481"/>
      <c r="R65" s="481"/>
      <c r="S65" s="481"/>
      <c r="U65" s="191"/>
      <c r="V65" s="192"/>
      <c r="W65" s="192"/>
      <c r="X65" s="193"/>
    </row>
    <row r="66" spans="2:30" ht="15.75" thickBot="1" x14ac:dyDescent="0.3">
      <c r="B66" s="297" t="s">
        <v>443</v>
      </c>
      <c r="C66" s="298" t="s">
        <v>79</v>
      </c>
      <c r="D66" s="298" t="s">
        <v>149</v>
      </c>
      <c r="E66" s="483"/>
      <c r="F66" s="483"/>
      <c r="G66" s="593"/>
      <c r="H66" s="596"/>
      <c r="I66" s="596"/>
      <c r="J66" s="610"/>
      <c r="K66" s="602"/>
      <c r="L66" s="602"/>
      <c r="M66" s="602"/>
      <c r="N66" s="608"/>
      <c r="O66" s="608"/>
      <c r="P66" s="481"/>
      <c r="Q66" s="481"/>
      <c r="R66" s="481"/>
      <c r="S66" s="481"/>
      <c r="U66" s="191"/>
      <c r="V66" s="192"/>
      <c r="W66" s="192"/>
      <c r="X66" s="193"/>
    </row>
    <row r="67" spans="2:30" ht="15.75" thickBot="1" x14ac:dyDescent="0.3">
      <c r="B67" s="297" t="s">
        <v>443</v>
      </c>
      <c r="C67" s="298" t="s">
        <v>79</v>
      </c>
      <c r="D67" s="298" t="s">
        <v>149</v>
      </c>
      <c r="E67" s="483"/>
      <c r="F67" s="483"/>
      <c r="G67" s="593"/>
      <c r="H67" s="596"/>
      <c r="I67" s="596"/>
      <c r="J67" s="595" t="s">
        <v>153</v>
      </c>
      <c r="K67" s="601">
        <f>IFERROR(VLOOKUP($D67,$Z$9:$AD$10,2,FALSE)/IF($D67="Inhalation",IF($J67="Central Tendency",SUMIFS('Inhalation Exposure'!$K$6:$K$65,'Inhalation Exposure'!$B$6:$B$65,$B67,'Inhalation Exposure'!$D$6:$D$65,$C67),SUMIFS('Inhalation Exposure'!$J$6:$J$65,'Inhalation Exposure'!$B$6:$B$65,$B67,'Inhalation Exposure'!$D$6:$D$65,$C67)),IF($J67="Central Tendency",VLOOKUP($B67,'Dermal Exposure'!$A$6:$T$34,17,FALSE),VLOOKUP($B67,'Dermal Exposure'!$A$6:$T$34,11,FALSE))),"--")</f>
        <v>4446.75</v>
      </c>
      <c r="L67" s="601">
        <f>IFERROR(VLOOKUP($D67,$Z$9:$AD$10,3,FALSE)/IF($D67="Inhalation",IF($J67="Central Tendency",SUMIFS('Inhalation Exposure'!$M$6:$M$65,'Inhalation Exposure'!$B$6:$B$65,$B67,'Inhalation Exposure'!$D$6:$D$65,$C67),SUMIFS('Inhalation Exposure'!$L$6:$L$65,'Inhalation Exposure'!$B$6:$B$65,$B67,'Inhalation Exposure'!$D$6:$D$65,$C67)),IF($J67="Central Tendency",VLOOKUP($B67,'Dermal Exposure'!$A$6:$T$34,18,FALSE),VLOOKUP($B67,'Dermal Exposure'!$A$6:$T$34,12,FALSE))),"--")</f>
        <v>13029.545454545454</v>
      </c>
      <c r="M67" s="601">
        <f>IFERROR(VLOOKUP($D67,$Z$9:$AD$10,4,FALSE)/IF($D67="Inhalation",IF($J67="Central Tendency",SUMIFS('Inhalation Exposure'!$O$6:$O$65,'Inhalation Exposure'!$B$6:$B$65,$B67,'Inhalation Exposure'!$D$6:$D$65,$C67),SUMIFS('Inhalation Exposure'!$N$6:$N$65,'Inhalation Exposure'!$B$6:$B$65,$B67,'Inhalation Exposure'!$D$6:$D$65,$C67)),IF($J67="Central Tendency",VLOOKUP($B67,'Dermal Exposure'!$A$6:$T$34,19,FALSE),VLOOKUP($B67,'Dermal Exposure'!$A$6:$T$34,13,FALSE))),"--")</f>
        <v>13950.3</v>
      </c>
      <c r="N67" s="605">
        <f>IFERROR(VLOOKUP(D67,$Z$9:$AD$10,5,FALSE)*IF($D67="Inhalation",IF($J67="Central Tendency",SUMIFS('Inhalation Exposure'!$Q$6:$Q$65,'Inhalation Exposure'!$B$6:$B$65,$B67,'Inhalation Exposure'!$D$6:$D$65,$C67),SUMIFS('Inhalation Exposure'!$P$6:$P$65,'Inhalation Exposure'!$B$6:$B$65,$B67,'Inhalation Exposure'!$D$6:$D$65,$C67)),IF($J67="Central Tendency",VLOOKUP($B67,'Dermal Exposure'!$A$6:$T$34,20,FALSE),VLOOKUP($B67,'Dermal Exposure'!$A$6:$T$34,14,FALSE))),"--")</f>
        <v>5.5434889094380294E-6</v>
      </c>
      <c r="O67" s="605">
        <f>IFERROR(VLOOKUP(D67,$Z$9:$AD$10,5,FALSE)*IF($D67="Inhalation",IF($J67="Central Tendency",SUMIFS('Inhalation Exposure'!$S$6:$S$65,'Inhalation Exposure'!$B$6:$B$65,$B67,'Inhalation Exposure'!$D$6:$D$65,$C67),SUMIFS('Inhalation Exposure'!$R$6:$R$65,'Inhalation Exposure'!$B$6:$B$65,$B67,'Inhalation Exposure'!$D$6:$D$65,$C67)),IF($J67="Central Tendency",VLOOKUP($B67,'Dermal Exposure'!$A$6:$U$34,21,FALSE),VLOOKUP($B67,'Dermal Exposure'!$A$6:$U$34,15,FALSE))),"--")</f>
        <v>5.5434889094380294E-6</v>
      </c>
      <c r="P67" s="481"/>
      <c r="Q67" s="481"/>
      <c r="R67" s="481"/>
      <c r="S67" s="481"/>
      <c r="U67" s="191"/>
      <c r="V67" s="192"/>
      <c r="W67" s="192"/>
      <c r="X67" s="193"/>
    </row>
    <row r="68" spans="2:30" ht="15.75" thickBot="1" x14ac:dyDescent="0.3">
      <c r="B68" s="297" t="s">
        <v>443</v>
      </c>
      <c r="C68" s="298" t="s">
        <v>79</v>
      </c>
      <c r="D68" s="298" t="s">
        <v>149</v>
      </c>
      <c r="E68" s="483"/>
      <c r="F68" s="483"/>
      <c r="G68" s="594"/>
      <c r="H68" s="596"/>
      <c r="I68" s="597"/>
      <c r="J68" s="597"/>
      <c r="K68" s="602"/>
      <c r="L68" s="602"/>
      <c r="M68" s="602"/>
      <c r="N68" s="606"/>
      <c r="O68" s="606"/>
      <c r="P68" s="481"/>
      <c r="Q68" s="481"/>
      <c r="R68" s="481"/>
      <c r="S68" s="481"/>
      <c r="U68" s="191"/>
      <c r="V68" s="192"/>
      <c r="W68" s="192"/>
      <c r="X68" s="193"/>
    </row>
    <row r="69" spans="2:30" ht="16.5" customHeight="1" thickTop="1" thickBot="1" x14ac:dyDescent="0.3">
      <c r="B69" s="297" t="s">
        <v>439</v>
      </c>
      <c r="C69" s="298" t="s">
        <v>79</v>
      </c>
      <c r="D69" s="298" t="s">
        <v>59</v>
      </c>
      <c r="E69" s="483"/>
      <c r="F69" s="483"/>
      <c r="G69" s="592" t="s">
        <v>446</v>
      </c>
      <c r="H69" s="596"/>
      <c r="I69" s="609" t="s">
        <v>59</v>
      </c>
      <c r="J69" s="618" t="s">
        <v>80</v>
      </c>
      <c r="K69" s="601">
        <f>IFERROR(VLOOKUP($D69,$Z$9:$AD$10,2,FALSE)/IF($D69="Inhalation",IF($J69="Central Tendency",SUMIFS('Inhalation Exposure'!$K$6:$K$65,'Inhalation Exposure'!$B$6:$B$65,$B69,'Inhalation Exposure'!$D$6:$D$65,$C69),SUMIFS('Inhalation Exposure'!$J$6:$J$65,'Inhalation Exposure'!$B$6:$B$65,$B69,'Inhalation Exposure'!$D$6:$D$65,$C69)),IF($J69="Central Tendency",VLOOKUP($B69,'Dermal Exposure'!$A$6:$T$34,17,FALSE),VLOOKUP($B69,'Dermal Exposure'!$A$6:$T$34,11,FALSE))),"--")</f>
        <v>49736.264084968032</v>
      </c>
      <c r="L69" s="601">
        <f>IFERROR(VLOOKUP($D69,$Z$9:$AD$10,3,FALSE)/IF($D69="Inhalation",IF($J69="Central Tendency",SUMIFS('Inhalation Exposure'!$M$6:$M$65,'Inhalation Exposure'!$B$6:$B$65,$B69,'Inhalation Exposure'!$D$6:$D$65,$C69),SUMIFS('Inhalation Exposure'!$L$6:$L$65,'Inhalation Exposure'!$B$6:$B$65,$B69,'Inhalation Exposure'!$D$6:$D$65,$C69)),IF($J69="Central Tendency",VLOOKUP($B69,'Dermal Exposure'!$A$6:$T$34,18,FALSE),VLOOKUP($B69,'Dermal Exposure'!$A$6:$T$34,12,FALSE))),"--")</f>
        <v>22152.972810801202</v>
      </c>
      <c r="M69" s="601">
        <f>IFERROR(VLOOKUP($D69,$Z$9:$AD$10,4,FALSE)/IF($D69="Inhalation",IF($J69="Central Tendency",SUMIFS('Inhalation Exposure'!$O$6:$O$65,'Inhalation Exposure'!$B$6:$B$65,$B69,'Inhalation Exposure'!$D$6:$D$65,$C69),SUMIFS('Inhalation Exposure'!$N$6:$N$65,'Inhalation Exposure'!$B$6:$B$65,$B69,'Inhalation Exposure'!$D$6:$D$65,$C69)),IF($J69="Central Tendency",VLOOKUP($B69,'Dermal Exposure'!$A$6:$T$34,19,FALSE),VLOOKUP($B69,'Dermal Exposure'!$A$6:$T$34,13,FALSE))),"--")</f>
        <v>23718.449556097825</v>
      </c>
      <c r="N69" s="605">
        <f>IFERROR(VLOOKUP(D69,$Z$9:$AD$10,5,FALSE)*IF($D69="Inhalation",IF($J69="Central Tendency",SUMIFS('Inhalation Exposure'!$Q$6:$Q$65,'Inhalation Exposure'!$B$6:$B$65,$B69,'Inhalation Exposure'!$D$6:$D$65,$C69),SUMIFS('Inhalation Exposure'!$P$6:$P$65,'Inhalation Exposure'!$B$6:$B$65,$B69,'Inhalation Exposure'!$D$6:$D$65,$C69)),IF($J69="Central Tendency",VLOOKUP($B69,'Dermal Exposure'!$A$6:$T$34,20,FALSE),VLOOKUP($B69,'Dermal Exposure'!$A$6:$T$34,14,FALSE))),"--")</f>
        <v>4.0072361988967171E-6</v>
      </c>
      <c r="O69" s="605">
        <f>IFERROR(VLOOKUP(D69,$Z$9:$AD$10,5,FALSE)*IF($D69="Inhalation",IF($J69="Central Tendency",SUMIFS('Inhalation Exposure'!$S$6:$S$65,'Inhalation Exposure'!$B$6:$B$65,$B69,'Inhalation Exposure'!$D$6:$D$65,$C69),SUMIFS('Inhalation Exposure'!$R$6:$R$65,'Inhalation Exposure'!$B$6:$B$65,$B69,'Inhalation Exposure'!$D$6:$D$65,$C69)),IF($J69="Central Tendency",VLOOKUP($B69,'Dermal Exposure'!$A$6:$U$34,21,FALSE),VLOOKUP($B69,'Dermal Exposure'!$A$6:$U$34,15,FALSE))),"--")</f>
        <v>2.6902717154912108E-6</v>
      </c>
      <c r="P69" s="481"/>
      <c r="Q69" s="481"/>
      <c r="R69" s="481"/>
      <c r="S69" s="481"/>
      <c r="U69" s="191"/>
      <c r="V69" s="192"/>
      <c r="W69" s="192"/>
      <c r="X69" s="193"/>
    </row>
    <row r="70" spans="2:30" ht="15.75" thickBot="1" x14ac:dyDescent="0.3">
      <c r="B70" s="297" t="s">
        <v>439</v>
      </c>
      <c r="C70" s="298" t="s">
        <v>79</v>
      </c>
      <c r="D70" s="298" t="s">
        <v>59</v>
      </c>
      <c r="E70" s="483"/>
      <c r="F70" s="483"/>
      <c r="G70" s="593"/>
      <c r="H70" s="596"/>
      <c r="I70" s="596"/>
      <c r="J70" s="611"/>
      <c r="K70" s="602"/>
      <c r="L70" s="602"/>
      <c r="M70" s="602"/>
      <c r="N70" s="606"/>
      <c r="O70" s="606"/>
      <c r="P70" s="481"/>
      <c r="Q70" s="481"/>
      <c r="R70" s="481"/>
      <c r="S70" s="481"/>
      <c r="U70" s="191"/>
      <c r="V70" s="192"/>
      <c r="W70" s="192"/>
      <c r="X70" s="193"/>
    </row>
    <row r="71" spans="2:30" ht="15.75" thickBot="1" x14ac:dyDescent="0.3">
      <c r="B71" s="297" t="s">
        <v>439</v>
      </c>
      <c r="C71" s="298" t="s">
        <v>79</v>
      </c>
      <c r="D71" s="298" t="s">
        <v>59</v>
      </c>
      <c r="E71" s="483"/>
      <c r="F71" s="483"/>
      <c r="G71" s="593"/>
      <c r="H71" s="596"/>
      <c r="I71" s="596"/>
      <c r="J71" s="598" t="s">
        <v>153</v>
      </c>
      <c r="K71" s="601">
        <f>IFERROR(VLOOKUP($D71,$Z$9:$AD$10,2,FALSE)/IF($D71="Inhalation",IF($J71="Central Tendency",SUMIFS('Inhalation Exposure'!$K$6:$K$65,'Inhalation Exposure'!$B$6:$B$65,$B71,'Inhalation Exposure'!$D$6:$D$65,$C71),SUMIFS('Inhalation Exposure'!$J$6:$J$65,'Inhalation Exposure'!$B$6:$B$65,$B71,'Inhalation Exposure'!$D$6:$D$65,$C71)),IF($J71="Central Tendency",VLOOKUP($B71,'Dermal Exposure'!$A$6:$T$34,17,FALSE),VLOOKUP($B71,'Dermal Exposure'!$A$6:$T$34,11,FALSE))),"--")</f>
        <v>28948.099229762312</v>
      </c>
      <c r="L71" s="601">
        <f>IFERROR(VLOOKUP($D71,$Z$9:$AD$10,3,FALSE)/IF($D71="Inhalation",IF($J71="Central Tendency",SUMIFS('Inhalation Exposure'!$M$6:$M$65,'Inhalation Exposure'!$B$6:$B$65,$B71,'Inhalation Exposure'!$D$6:$D$65,$C71),SUMIFS('Inhalation Exposure'!$L$6:$L$65,'Inhalation Exposure'!$B$6:$B$65,$B71,'Inhalation Exposure'!$D$6:$D$65,$C71)),IF($J71="Central Tendency",VLOOKUP($B71,'Dermal Exposure'!$A$6:$T$34,18,FALSE),VLOOKUP($B71,'Dermal Exposure'!$A$6:$T$34,12,FALSE))),"--")</f>
        <v>12893.739949300254</v>
      </c>
      <c r="M71" s="601">
        <f>IFERROR(VLOOKUP($D71,$Z$9:$AD$10,4,FALSE)/IF($D71="Inhalation",IF($J71="Central Tendency",SUMIFS('Inhalation Exposure'!$O$6:$O$65,'Inhalation Exposure'!$B$6:$B$65,$B71,'Inhalation Exposure'!$D$6:$D$65,$C71),SUMIFS('Inhalation Exposure'!$N$6:$N$65,'Inhalation Exposure'!$B$6:$B$65,$B71,'Inhalation Exposure'!$D$6:$D$65,$C71)),IF($J71="Central Tendency",VLOOKUP($B71,'Dermal Exposure'!$A$6:$T$34,19,FALSE),VLOOKUP($B71,'Dermal Exposure'!$A$6:$T$34,13,FALSE))),"--")</f>
        <v>13804.897572384139</v>
      </c>
      <c r="N71" s="605">
        <f>IFERROR(VLOOKUP(D71,$Z$9:$AD$10,5,FALSE)*IF($D71="Inhalation",IF($J71="Central Tendency",SUMIFS('Inhalation Exposure'!$Q$6:$Q$65,'Inhalation Exposure'!$B$6:$B$65,$B71,'Inhalation Exposure'!$D$6:$D$65,$C71),SUMIFS('Inhalation Exposure'!$P$6:$P$65,'Inhalation Exposure'!$B$6:$B$65,$B71,'Inhalation Exposure'!$D$6:$D$65,$C71)),IF($J71="Central Tendency",VLOOKUP($B71,'Dermal Exposure'!$A$6:$T$34,20,FALSE),VLOOKUP($B71,'Dermal Exposure'!$A$6:$T$34,14,FALSE))),"--")</f>
        <v>7.8221160084853961E-6</v>
      </c>
      <c r="O71" s="605">
        <f>IFERROR(VLOOKUP(D71,$Z$9:$AD$10,5,FALSE)*IF($D71="Inhalation",IF($J71="Central Tendency",SUMIFS('Inhalation Exposure'!$S$6:$S$65,'Inhalation Exposure'!$B$6:$B$65,$B71,'Inhalation Exposure'!$D$6:$D$65,$C71),SUMIFS('Inhalation Exposure'!$R$6:$R$65,'Inhalation Exposure'!$B$6:$B$65,$B71,'Inhalation Exposure'!$D$6:$D$65,$C71)),IF($J71="Central Tendency",VLOOKUP($B71,'Dermal Exposure'!$A$6:$U$34,21,FALSE),VLOOKUP($B71,'Dermal Exposure'!$A$6:$U$34,15,FALSE))),"--")</f>
        <v>5.8881875624642556E-6</v>
      </c>
      <c r="P71" s="481"/>
      <c r="Q71" s="481"/>
      <c r="R71" s="481"/>
      <c r="S71" s="481"/>
      <c r="U71" s="191"/>
      <c r="V71" s="192"/>
      <c r="W71" s="192"/>
      <c r="X71" s="193"/>
    </row>
    <row r="72" spans="2:30" ht="15.75" thickBot="1" x14ac:dyDescent="0.3">
      <c r="B72" s="297" t="s">
        <v>439</v>
      </c>
      <c r="C72" s="298" t="s">
        <v>79</v>
      </c>
      <c r="D72" s="298" t="s">
        <v>59</v>
      </c>
      <c r="E72" s="483"/>
      <c r="F72" s="483"/>
      <c r="G72" s="594"/>
      <c r="H72" s="596"/>
      <c r="I72" s="596"/>
      <c r="J72" s="611"/>
      <c r="K72" s="602"/>
      <c r="L72" s="602"/>
      <c r="M72" s="602"/>
      <c r="N72" s="606"/>
      <c r="O72" s="606"/>
      <c r="P72" s="481"/>
      <c r="Q72" s="481"/>
      <c r="R72" s="481"/>
      <c r="S72" s="481"/>
      <c r="U72" s="191"/>
      <c r="V72" s="192"/>
      <c r="W72" s="192"/>
      <c r="X72" s="193"/>
    </row>
    <row r="73" spans="2:30" ht="26.25" thickBot="1" x14ac:dyDescent="0.3">
      <c r="B73" s="297" t="s">
        <v>444</v>
      </c>
      <c r="C73" s="298" t="s">
        <v>82</v>
      </c>
      <c r="D73" s="298" t="s">
        <v>149</v>
      </c>
      <c r="E73" s="483"/>
      <c r="F73" s="483"/>
      <c r="G73" s="592" t="s">
        <v>446</v>
      </c>
      <c r="H73" s="595" t="s">
        <v>82</v>
      </c>
      <c r="I73" s="598" t="s">
        <v>126</v>
      </c>
      <c r="J73" s="271" t="s">
        <v>80</v>
      </c>
      <c r="K73" s="476">
        <f>IFERROR(VLOOKUP($D73,$Z$9:$AD$10,2,FALSE)/IF($D73="Inhalation",IF($J73="Central Tendency",SUMIFS('Inhalation Exposure'!$K$6:$K$65,'Inhalation Exposure'!$B$6:$B$65,$B73,'Inhalation Exposure'!$D$6:$D$65,$C73),SUMIFS('Inhalation Exposure'!$J$6:$J$65,'Inhalation Exposure'!$B$6:$B$65,$B73,'Inhalation Exposure'!$D$6:$D$65,$C73)),IF($J73="Central Tendency",VLOOKUP($B73,'Dermal Exposure'!$A$6:$T$34,15,FALSE),VLOOKUP($B73,'Dermal Exposure'!$A$6:$T$34,10,FALSE))),"--")</f>
        <v>68969.999999999971</v>
      </c>
      <c r="L73" s="476">
        <f>IFERROR(VLOOKUP($D73,$Z$9:$AD$10,3,FALSE)/IF($D73="Inhalation",IF($J73="Central Tendency",SUMIFS('Inhalation Exposure'!$M$6:$M$65,'Inhalation Exposure'!$B$6:$B$65,$B73,'Inhalation Exposure'!$D$6:$D$65,$C73),SUMIFS('Inhalation Exposure'!$L$6:$L$65,'Inhalation Exposure'!$B$6:$B$65,$B73,'Inhalation Exposure'!$D$6:$D$65,$C73)),IF($J73="Central Tendency",VLOOKUP($B73,'Dermal Exposure'!$A$6:$T$34,16,FALSE),VLOOKUP($B73,'Dermal Exposure'!$A$6:$T$34,11,FALSE))),"--")</f>
        <v>202090.90909090906</v>
      </c>
      <c r="M73" s="476">
        <f>IFERROR(VLOOKUP($D73,$Z$9:$AD$10,4,FALSE)/IF($D73="Inhalation",IF($J73="Central Tendency",SUMIFS('Inhalation Exposure'!$O$6:$O$65,'Inhalation Exposure'!$B$6:$B$65,$B73,'Inhalation Exposure'!$D$6:$D$65,$C73),SUMIFS('Inhalation Exposure'!$N$6:$N$65,'Inhalation Exposure'!$B$6:$B$65,$B73,'Inhalation Exposure'!$D$6:$D$65,$C73)),IF($J73="Central Tendency",VLOOKUP($B73,'Dermal Exposure'!$A$6:$T$34,17,FALSE),VLOOKUP($B73,'Dermal Exposure'!$A$6:$T$34,12,FALSE))),"--")</f>
        <v>216372</v>
      </c>
      <c r="N73" s="477">
        <f>IFERROR(VLOOKUP(D73,$Z$9:$AD$10,5,FALSE)*IF($D73="Inhalation",IF($J73="Central Tendency",SUMIFS('Inhalation Exposure'!$Q$6:$Q$65,'Inhalation Exposure'!$B$6:$B$65,$B73,'Inhalation Exposure'!$D$6:$D$65,$C73),SUMIFS('Inhalation Exposure'!$P$6:$P$65,'Inhalation Exposure'!$B$6:$B$65,$B73,'Inhalation Exposure'!$D$6:$D$65,$C73)),IF($J73="Central Tendency",VLOOKUP($B73,'Dermal Exposure'!$A$6:$T$34,18,FALSE),VLOOKUP($B73,'Dermal Exposure'!$A$6:$T$34,13,FALSE))),"--")</f>
        <v>2.7699209386303844E-7</v>
      </c>
      <c r="O73" s="477">
        <f>IFERROR(VLOOKUP(D73,$Z$9:$AD$10,5,FALSE)*IF($D73="Inhalation",IF($J73="Central Tendency",SUMIFS('Inhalation Exposure'!$S$6:$S$65,'Inhalation Exposure'!$B$6:$B$65,$B73,'Inhalation Exposure'!$D$6:$D$65,$C73),SUMIFS('Inhalation Exposure'!$R$6:$R$65,'Inhalation Exposure'!$B$6:$B$65,$B73,'Inhalation Exposure'!$D$6:$D$65,$C73)),IF($J73="Central Tendency",VLOOKUP($B73,'Dermal Exposure'!$A$6:$U$34,19,FALSE),VLOOKUP($B73,'Dermal Exposure'!$A$6:$U$34,14,FALSE))),"--")</f>
        <v>9.4713425643490562E-8</v>
      </c>
      <c r="P73" s="481"/>
      <c r="Q73" s="481"/>
      <c r="R73" s="481"/>
      <c r="S73" s="481"/>
      <c r="U73" s="191"/>
      <c r="V73" s="192"/>
      <c r="W73" s="192"/>
      <c r="X73" s="193"/>
    </row>
    <row r="74" spans="2:30" ht="22.5" customHeight="1" thickBot="1" x14ac:dyDescent="0.3">
      <c r="B74" s="297" t="s">
        <v>444</v>
      </c>
      <c r="C74" s="298" t="s">
        <v>82</v>
      </c>
      <c r="D74" s="298" t="s">
        <v>149</v>
      </c>
      <c r="E74" s="483"/>
      <c r="F74" s="483"/>
      <c r="G74" s="594"/>
      <c r="H74" s="610"/>
      <c r="I74" s="599"/>
      <c r="J74" s="482" t="s">
        <v>153</v>
      </c>
      <c r="K74" s="476">
        <f>IFERROR(VLOOKUP($D74,$Z$9:$AD$10,2,FALSE)/IF($D74="Inhalation",IF($J74="Central Tendency",SUMIFS('Inhalation Exposure'!$K$6:$K$65,'Inhalation Exposure'!$B$6:$B$65,$B74,'Inhalation Exposure'!$D$6:$D$65,$C74),SUMIFS('Inhalation Exposure'!$J$6:$J$65,'Inhalation Exposure'!$B$6:$B$65,$B74,'Inhalation Exposure'!$D$6:$D$65,$C74)),IF($J74="Central Tendency",VLOOKUP($B74,'Dermal Exposure'!$A$6:$T$34,15,FALSE),VLOOKUP($B74,'Dermal Exposure'!$A$6:$T$34,10,FALSE))),"--")</f>
        <v>2112.2062499999997</v>
      </c>
      <c r="L74" s="476">
        <f>IFERROR(VLOOKUP($D74,$Z$9:$AD$10,3,FALSE)/IF($D74="Inhalation",IF($J74="Central Tendency",SUMIFS('Inhalation Exposure'!$M$6:$M$65,'Inhalation Exposure'!$B$6:$B$65,$B74,'Inhalation Exposure'!$D$6:$D$65,$C74),SUMIFS('Inhalation Exposure'!$L$6:$L$65,'Inhalation Exposure'!$B$6:$B$65,$B74,'Inhalation Exposure'!$D$6:$D$65,$C74)),IF($J74="Central Tendency",VLOOKUP($B74,'Dermal Exposure'!$A$6:$T$34,16,FALSE),VLOOKUP($B74,'Dermal Exposure'!$A$6:$T$34,11,FALSE))),"--")</f>
        <v>6189.0340909090901</v>
      </c>
      <c r="M74" s="476">
        <f>IFERROR(VLOOKUP($D74,$Z$9:$AD$10,4,FALSE)/IF($D74="Inhalation",IF($J74="Central Tendency",SUMIFS('Inhalation Exposure'!$O$6:$O$65,'Inhalation Exposure'!$B$6:$B$65,$B74,'Inhalation Exposure'!$D$6:$D$65,$C74),SUMIFS('Inhalation Exposure'!$N$6:$N$65,'Inhalation Exposure'!$B$6:$B$65,$B74,'Inhalation Exposure'!$D$6:$D$65,$C74)),IF($J74="Central Tendency",VLOOKUP($B74,'Dermal Exposure'!$A$6:$T$34,17,FALSE),VLOOKUP($B74,'Dermal Exposure'!$A$6:$T$34,12,FALSE))),"--")</f>
        <v>6626.392499999999</v>
      </c>
      <c r="N74" s="477">
        <f>IFERROR(VLOOKUP(D74,$Z$9:$AD$10,5,FALSE)*IF($D74="Inhalation",IF($J74="Central Tendency",SUMIFS('Inhalation Exposure'!$Q$6:$Q$65,'Inhalation Exposure'!$B$6:$B$65,$B74,'Inhalation Exposure'!$D$6:$D$65,$C74),SUMIFS('Inhalation Exposure'!$P$6:$P$65,'Inhalation Exposure'!$B$6:$B$65,$B74,'Inhalation Exposure'!$D$6:$D$65,$C74)),IF($J74="Central Tendency",VLOOKUP($B74,'Dermal Exposure'!$A$6:$T$34,18,FALSE),VLOOKUP($B74,'Dermal Exposure'!$A$6:$T$34,13,FALSE))),"--")</f>
        <v>1.1670502967237958E-5</v>
      </c>
      <c r="O74" s="477">
        <f>IFERROR(VLOOKUP(D74,$Z$9:$AD$10,5,FALSE)*IF($D74="Inhalation",IF($J74="Central Tendency",SUMIFS('Inhalation Exposure'!$S$6:$S$65,'Inhalation Exposure'!$B$6:$B$65,$B74,'Inhalation Exposure'!$D$6:$D$65,$C74),SUMIFS('Inhalation Exposure'!$R$6:$R$65,'Inhalation Exposure'!$B$6:$B$65,$B74,'Inhalation Exposure'!$D$6:$D$65,$C74)),IF($J74="Central Tendency",VLOOKUP($B74,'Dermal Exposure'!$A$6:$U$34,19,FALSE),VLOOKUP($B74,'Dermal Exposure'!$A$6:$U$34,14,FALSE))),"--")</f>
        <v>1.1670502967237958E-5</v>
      </c>
      <c r="P74" s="481"/>
      <c r="Q74" s="481"/>
      <c r="R74" s="481"/>
      <c r="S74" s="481"/>
      <c r="U74" s="191"/>
      <c r="V74" s="192"/>
      <c r="W74" s="192"/>
      <c r="X74" s="193"/>
    </row>
    <row r="75" spans="2:30" ht="15.75" thickBot="1" x14ac:dyDescent="0.3">
      <c r="B75" s="297" t="s">
        <v>167</v>
      </c>
      <c r="C75" s="298" t="s">
        <v>79</v>
      </c>
      <c r="D75" s="298" t="s">
        <v>149</v>
      </c>
      <c r="E75" s="615" t="s">
        <v>168</v>
      </c>
      <c r="F75" s="615" t="s">
        <v>169</v>
      </c>
      <c r="G75" s="612" t="s">
        <v>170</v>
      </c>
      <c r="H75" s="595" t="s">
        <v>79</v>
      </c>
      <c r="I75" s="595" t="s">
        <v>126</v>
      </c>
      <c r="J75" s="598" t="s">
        <v>80</v>
      </c>
      <c r="K75" s="601">
        <f>IFERROR(VLOOKUP($D75,$Z$9:$AD$10,2,FALSE)/IF($D75="Inhalation",IF($J75="Central Tendency",SUMIFS('Inhalation Exposure'!$K$6:$K$65,'Inhalation Exposure'!$B$6:$B$65,$B75,'Inhalation Exposure'!$D$6:$D$65,$C75),SUMIFS('Inhalation Exposure'!$J$6:$J$65,'Inhalation Exposure'!$B$6:$B$65,$B75,'Inhalation Exposure'!$D$6:$D$65,$C75)),IF($J75="Central Tendency",VLOOKUP($B75,'Dermal Exposure'!$A$6:$T$34,17,FALSE),VLOOKUP($B75,'Dermal Exposure'!$A$6:$T$34,11,FALSE))),"--")</f>
        <v>71.217734031238919</v>
      </c>
      <c r="L75" s="601">
        <f>IFERROR(VLOOKUP($D75,$Z$9:$AD$10,3,FALSE)/IF($D75="Inhalation",IF($J75="Central Tendency",SUMIFS('Inhalation Exposure'!$M$6:$M$65,'Inhalation Exposure'!$B$6:$B$65,$B75,'Inhalation Exposure'!$D$6:$D$65,$C75),SUMIFS('Inhalation Exposure'!$L$6:$L$65,'Inhalation Exposure'!$B$6:$B$65,$B75,'Inhalation Exposure'!$D$6:$D$65,$C75)),IF($J75="Central Tendency",VLOOKUP($B75,'Dermal Exposure'!$A$6:$T$34,18,FALSE),VLOOKUP($B75,'Dermal Exposure'!$A$6:$T$34,12,FALSE))),"--")</f>
        <v>208.67705689093296</v>
      </c>
      <c r="M75" s="625">
        <f>IFERROR(VLOOKUP($D75,$Z$9:$AD$10,4,FALSE)/IF($D75="Inhalation",IF($J75="Central Tendency",SUMIFS('Inhalation Exposure'!$O$6:$O$65,'Inhalation Exposure'!$B$6:$B$65,$B75,'Inhalation Exposure'!$D$6:$D$65,$C75),SUMIFS('Inhalation Exposure'!$N$6:$N$65,'Inhalation Exposure'!$B$6:$B$65,$B75,'Inhalation Exposure'!$D$6:$D$65,$C75)),IF($J75="Central Tendency",VLOOKUP($B75,'Dermal Exposure'!$A$6:$T$34,19,FALSE),VLOOKUP($B75,'Dermal Exposure'!$A$6:$T$34,13,FALSE))),"--")</f>
        <v>223.42356891122557</v>
      </c>
      <c r="N75" s="627">
        <f>IFERROR(VLOOKUP(D75,$Z$9:$AD$10,5,FALSE)*IF($D75="Inhalation",IF($J75="Central Tendency",SUMIFS('Inhalation Exposure'!$Q$6:$Q$65,'Inhalation Exposure'!$B$6:$B$65,$B75,'Inhalation Exposure'!$D$6:$D$65,$C75),SUMIFS('Inhalation Exposure'!$P$6:$P$65,'Inhalation Exposure'!$B$6:$B$65,$B75,'Inhalation Exposure'!$D$6:$D$65,$C75)),IF($J75="Central Tendency",VLOOKUP($B75,'Dermal Exposure'!$A$6:$T$34,20,FALSE),VLOOKUP($B75,'Dermal Exposure'!$A$6:$T$34,14,FALSE))),"--")</f>
        <v>2.682498253223547E-4</v>
      </c>
      <c r="O75" s="526"/>
      <c r="P75" s="183">
        <f>IFERROR(K75*U75, "--")</f>
        <v>712.17734031238922</v>
      </c>
      <c r="Q75" s="183">
        <f>IFERROR(L75*V75, "--")</f>
        <v>2086.7705689093295</v>
      </c>
      <c r="R75" s="183">
        <f>IFERROR(M75*W75, "--")</f>
        <v>2234.2356891122558</v>
      </c>
      <c r="S75" s="184">
        <f>IFERROR(N75/X75, "--")</f>
        <v>2.6824982532235469E-5</v>
      </c>
      <c r="U75" s="185">
        <v>10</v>
      </c>
      <c r="V75" s="186">
        <v>10</v>
      </c>
      <c r="W75" s="186">
        <v>10</v>
      </c>
      <c r="X75" s="187">
        <v>10</v>
      </c>
    </row>
    <row r="76" spans="2:30" ht="15.75" thickBot="1" x14ac:dyDescent="0.3">
      <c r="B76" s="297" t="s">
        <v>167</v>
      </c>
      <c r="C76" s="298" t="s">
        <v>79</v>
      </c>
      <c r="D76" s="298" t="s">
        <v>149</v>
      </c>
      <c r="E76" s="616"/>
      <c r="F76" s="616"/>
      <c r="G76" s="613"/>
      <c r="H76" s="596"/>
      <c r="I76" s="596"/>
      <c r="J76" s="599"/>
      <c r="K76" s="602"/>
      <c r="L76" s="602"/>
      <c r="M76" s="626"/>
      <c r="N76" s="628"/>
      <c r="O76" s="527"/>
      <c r="P76" s="482" t="str">
        <f>CONCATENATE("(APF ",U75,")")</f>
        <v>(APF 10)</v>
      </c>
      <c r="Q76" s="482" t="str">
        <f>CONCATENATE("(APF ",V75,")")</f>
        <v>(APF 10)</v>
      </c>
      <c r="R76" s="482" t="str">
        <f>CONCATENATE("(APF ",W75,")")</f>
        <v>(APF 10)</v>
      </c>
      <c r="S76" s="482" t="str">
        <f>CONCATENATE("(APF ",X75,")")</f>
        <v>(APF 10)</v>
      </c>
      <c r="U76" s="191" t="s">
        <v>152</v>
      </c>
      <c r="V76" s="192" t="s">
        <v>152</v>
      </c>
      <c r="W76" s="192" t="s">
        <v>152</v>
      </c>
      <c r="X76" s="193" t="s">
        <v>152</v>
      </c>
    </row>
    <row r="77" spans="2:30" ht="15.75" thickBot="1" x14ac:dyDescent="0.3">
      <c r="B77" s="297" t="s">
        <v>167</v>
      </c>
      <c r="C77" s="298" t="s">
        <v>79</v>
      </c>
      <c r="D77" s="298" t="s">
        <v>149</v>
      </c>
      <c r="E77" s="616"/>
      <c r="F77" s="616"/>
      <c r="G77" s="613"/>
      <c r="H77" s="596"/>
      <c r="I77" s="596"/>
      <c r="J77" s="598" t="s">
        <v>153</v>
      </c>
      <c r="K77" s="601">
        <f>IFERROR(VLOOKUP($D77,$Z$9:$AD$10,2,FALSE)/IF($D77="Inhalation",IF($J77="Central Tendency",SUMIFS('Inhalation Exposure'!$K$6:$K$65,'Inhalation Exposure'!$B$6:$B$65,$B77,'Inhalation Exposure'!$D$6:$D$65,$C77),SUMIFS('Inhalation Exposure'!$J$6:$J$65,'Inhalation Exposure'!$B$6:$B$65,$B77,'Inhalation Exposure'!$D$6:$D$65,$C77)),IF($J77="Central Tendency",VLOOKUP($B77,'Dermal Exposure'!$A$6:$T$34,17,FALSE),VLOOKUP($B77,'Dermal Exposure'!$A$6:$T$34,11,FALSE))),"--")</f>
        <v>1.4822500000000001</v>
      </c>
      <c r="L77" s="601">
        <f>IFERROR(VLOOKUP($D77,$Z$9:$AD$10,3,FALSE)/IF($D77="Inhalation",IF($J77="Central Tendency",SUMIFS('Inhalation Exposure'!$M$6:$M$65,'Inhalation Exposure'!$B$6:$B$65,$B77,'Inhalation Exposure'!$D$6:$D$65,$C77),SUMIFS('Inhalation Exposure'!$L$6:$L$65,'Inhalation Exposure'!$B$6:$B$65,$B77,'Inhalation Exposure'!$D$6:$D$65,$C77)),IF($J77="Central Tendency",VLOOKUP($B77,'Dermal Exposure'!$A$6:$T$34,18,FALSE),VLOOKUP($B77,'Dermal Exposure'!$A$6:$T$34,12,FALSE))),"--")</f>
        <v>4.3431818181818187</v>
      </c>
      <c r="M77" s="601">
        <f>IFERROR(VLOOKUP($D77,$Z$9:$AD$10,4,FALSE)/IF($D77="Inhalation",IF($J77="Central Tendency",SUMIFS('Inhalation Exposure'!$O$6:$O$65,'Inhalation Exposure'!$B$6:$B$65,$B77,'Inhalation Exposure'!$D$6:$D$65,$C77),SUMIFS('Inhalation Exposure'!$N$6:$N$65,'Inhalation Exposure'!$B$6:$B$65,$B77,'Inhalation Exposure'!$D$6:$D$65,$C77)),IF($J77="Central Tendency",VLOOKUP($B77,'Dermal Exposure'!$A$6:$T$34,19,FALSE),VLOOKUP($B77,'Dermal Exposure'!$A$6:$T$34,13,FALSE))),"--")</f>
        <v>4.6501000000000001</v>
      </c>
      <c r="N77" s="605">
        <f>IFERROR(VLOOKUP(D77,$Z$9:$AD$10,5,FALSE)*IF($D77="Inhalation",IF($J77="Central Tendency",SUMIFS('Inhalation Exposure'!$Q$6:$Q$65,'Inhalation Exposure'!$B$6:$B$65,$B77,'Inhalation Exposure'!$D$6:$D$65,$C77),SUMIFS('Inhalation Exposure'!$P$6:$P$65,'Inhalation Exposure'!$B$6:$B$65,$B77,'Inhalation Exposure'!$D$6:$D$65,$C77)),IF($J77="Central Tendency",VLOOKUP($B77,'Dermal Exposure'!$A$6:$T$34,20,FALSE),VLOOKUP($B77,'Dermal Exposure'!$A$6:$T$34,14,FALSE))),"--")</f>
        <v>1.663046672831409E-2</v>
      </c>
      <c r="O77" s="527"/>
      <c r="P77" s="183">
        <f>IFERROR(K77*U77, "--")</f>
        <v>14.822500000000002</v>
      </c>
      <c r="Q77" s="183">
        <f>IFERROR(L77*V77, "--")</f>
        <v>43.431818181818187</v>
      </c>
      <c r="R77" s="183">
        <f>IFERROR(M77*W77, "--")</f>
        <v>46.501000000000005</v>
      </c>
      <c r="S77" s="184">
        <f>IFERROR(N77/X77, "--")</f>
        <v>3.3260933456628178E-4</v>
      </c>
      <c r="U77" s="194">
        <v>10</v>
      </c>
      <c r="V77" s="195">
        <v>10</v>
      </c>
      <c r="W77" s="195">
        <v>10</v>
      </c>
      <c r="X77" s="196">
        <v>50</v>
      </c>
      <c r="AD77" s="197"/>
    </row>
    <row r="78" spans="2:30" ht="15.75" thickBot="1" x14ac:dyDescent="0.3">
      <c r="B78" s="297" t="s">
        <v>167</v>
      </c>
      <c r="C78" s="298" t="s">
        <v>79</v>
      </c>
      <c r="D78" s="298" t="s">
        <v>149</v>
      </c>
      <c r="E78" s="616"/>
      <c r="F78" s="616"/>
      <c r="G78" s="613"/>
      <c r="H78" s="596"/>
      <c r="I78" s="597"/>
      <c r="J78" s="600"/>
      <c r="K78" s="602"/>
      <c r="L78" s="602"/>
      <c r="M78" s="602"/>
      <c r="N78" s="606"/>
      <c r="O78" s="527"/>
      <c r="P78" s="480" t="str">
        <f>CONCATENATE("(APF ",U77,")")</f>
        <v>(APF 10)</v>
      </c>
      <c r="Q78" s="480" t="str">
        <f>CONCATENATE("(APF ",V77,")")</f>
        <v>(APF 10)</v>
      </c>
      <c r="R78" s="480" t="str">
        <f>CONCATENATE("(APF ",W77,")")</f>
        <v>(APF 10)</v>
      </c>
      <c r="S78" s="480" t="str">
        <f>CONCATENATE("(APF ",X77,")")</f>
        <v>(APF 50)</v>
      </c>
      <c r="U78" s="199" t="s">
        <v>152</v>
      </c>
      <c r="V78" s="200" t="s">
        <v>152</v>
      </c>
      <c r="W78" s="200" t="s">
        <v>152</v>
      </c>
      <c r="X78" s="201" t="s">
        <v>152</v>
      </c>
    </row>
    <row r="79" spans="2:30" ht="16.5" thickTop="1" thickBot="1" x14ac:dyDescent="0.3">
      <c r="B79" s="297">
        <v>3</v>
      </c>
      <c r="C79" s="298" t="s">
        <v>79</v>
      </c>
      <c r="D79" s="298" t="s">
        <v>59</v>
      </c>
      <c r="E79" s="616"/>
      <c r="F79" s="616"/>
      <c r="G79" s="613"/>
      <c r="H79" s="596"/>
      <c r="I79" s="609" t="s">
        <v>59</v>
      </c>
      <c r="J79" s="609" t="s">
        <v>80</v>
      </c>
      <c r="K79" s="601">
        <f>IFERROR(VLOOKUP($D79,$Z$9:$AD$10,2,FALSE)/IF($D79="Inhalation",IF($J79="Central Tendency",SUMIFS('Inhalation Exposure'!$K$6:$K$65,'Inhalation Exposure'!$B$6:$B$65,$B79,'Inhalation Exposure'!$D$6:$D$65,$C79),SUMIFS('Inhalation Exposure'!$J$6:$J$65,'Inhalation Exposure'!$B$6:$B$65,$B79,'Inhalation Exposure'!$D$6:$D$65,$C79)),IF($J79="Central Tendency",VLOOKUP($B79,'Dermal Exposure'!$A$6:$T$34,17,FALSE),VLOOKUP($B79,'Dermal Exposure'!$A$6:$T$34,11,FALSE))),"--")</f>
        <v>497.05560242803324</v>
      </c>
      <c r="L79" s="601">
        <f>IFERROR(VLOOKUP($D79,$Z$9:$AD$10,3,FALSE)/IF($D79="Inhalation",IF($J79="Central Tendency",SUMIFS('Inhalation Exposure'!$M$6:$M$65,'Inhalation Exposure'!$B$6:$B$65,$B79,'Inhalation Exposure'!$D$6:$D$65,$C79),SUMIFS('Inhalation Exposure'!$L$6:$L$65,'Inhalation Exposure'!$B$6:$B$65,$B79,'Inhalation Exposure'!$D$6:$D$65,$C79)),IF($J79="Central Tendency",VLOOKUP($B79,'Dermal Exposure'!$A$6:$T$34,18,FALSE),VLOOKUP($B79,'Dermal Exposure'!$A$6:$T$34,12,FALSE))),"--")</f>
        <v>221.39297047388416</v>
      </c>
      <c r="M79" s="601">
        <f>IFERROR(VLOOKUP($D79,$Z$9:$AD$10,4,FALSE)/IF($D79="Inhalation",IF($J79="Central Tendency",SUMIFS('Inhalation Exposure'!$O$6:$O$65,'Inhalation Exposure'!$B$6:$B$65,$B79,'Inhalation Exposure'!$D$6:$D$65,$C79),SUMIFS('Inhalation Exposure'!$N$6:$N$65,'Inhalation Exposure'!$B$6:$B$65,$B79,'Inhalation Exposure'!$D$6:$D$65,$C79)),IF($J79="Central Tendency",VLOOKUP($B79,'Dermal Exposure'!$A$6:$T$34,19,FALSE),VLOOKUP($B79,'Dermal Exposure'!$A$6:$T$34,13,FALSE))),"--")</f>
        <v>257.89320944884628</v>
      </c>
      <c r="N79" s="605">
        <f>IFERROR(VLOOKUP(D79,$Z$9:$AD$10,5,FALSE)*IF($D79="Inhalation",IF($J79="Central Tendency",SUMIFS('Inhalation Exposure'!$Q$6:$Q$65,'Inhalation Exposure'!$B$6:$B$65,$B79,'Inhalation Exposure'!$D$6:$D$65,$C79),SUMIFS('Inhalation Exposure'!$P$6:$P$65,'Inhalation Exposure'!$B$6:$B$65,$B79,'Inhalation Exposure'!$D$6:$D$65,$C79)),IF($J79="Central Tendency",VLOOKUP($B79,'Dermal Exposure'!$A$6:$T$34,20,FALSE),VLOOKUP($B79,'Dermal Exposure'!$A$6:$T$34,14,FALSE))),"--")</f>
        <v>3.69196837127683E-4</v>
      </c>
      <c r="O79" s="527"/>
      <c r="P79" s="183">
        <f>IFERROR(K79*U79, "--")</f>
        <v>2485.2780121401661</v>
      </c>
      <c r="Q79" s="183">
        <f>IFERROR(L79*V79, "--")</f>
        <v>1106.9648523694209</v>
      </c>
      <c r="R79" s="183">
        <f>IFERROR(M79*W79, "--")</f>
        <v>1289.4660472442315</v>
      </c>
      <c r="S79" s="202">
        <f>IFERROR(N79/X79, "--")</f>
        <v>7.3839367425536606E-5</v>
      </c>
      <c r="U79" s="191">
        <v>5</v>
      </c>
      <c r="V79" s="192">
        <v>5</v>
      </c>
      <c r="W79" s="192">
        <v>5</v>
      </c>
      <c r="X79" s="193">
        <v>5</v>
      </c>
    </row>
    <row r="80" spans="2:30" ht="15.75" thickBot="1" x14ac:dyDescent="0.3">
      <c r="B80" s="297">
        <v>3</v>
      </c>
      <c r="C80" s="298" t="s">
        <v>79</v>
      </c>
      <c r="D80" s="298" t="s">
        <v>59</v>
      </c>
      <c r="E80" s="616"/>
      <c r="F80" s="616"/>
      <c r="G80" s="613"/>
      <c r="H80" s="596"/>
      <c r="I80" s="596"/>
      <c r="J80" s="610"/>
      <c r="K80" s="602"/>
      <c r="L80" s="602"/>
      <c r="M80" s="602"/>
      <c r="N80" s="606"/>
      <c r="O80" s="527"/>
      <c r="P80" s="183" t="str">
        <f>CONCATENATE("(PF ",U79,")")</f>
        <v>(PF 5)</v>
      </c>
      <c r="Q80" s="183" t="str">
        <f>CONCATENATE("(PF ",V79,")")</f>
        <v>(PF 5)</v>
      </c>
      <c r="R80" s="183" t="str">
        <f>CONCATENATE("(PF ",W79,")")</f>
        <v>(PF 5)</v>
      </c>
      <c r="S80" s="202" t="str">
        <f>CONCATENATE("(PF ",X79,")")</f>
        <v>(PF 5)</v>
      </c>
      <c r="U80" s="199" t="s">
        <v>161</v>
      </c>
      <c r="V80" s="200" t="s">
        <v>161</v>
      </c>
      <c r="W80" s="200" t="s">
        <v>161</v>
      </c>
      <c r="X80" s="201" t="s">
        <v>161</v>
      </c>
    </row>
    <row r="81" spans="2:24" ht="15.75" thickBot="1" x14ac:dyDescent="0.3">
      <c r="B81" s="297">
        <v>3</v>
      </c>
      <c r="C81" s="298" t="s">
        <v>79</v>
      </c>
      <c r="D81" s="298" t="s">
        <v>59</v>
      </c>
      <c r="E81" s="616"/>
      <c r="F81" s="616"/>
      <c r="G81" s="613"/>
      <c r="H81" s="596"/>
      <c r="I81" s="596"/>
      <c r="J81" s="611" t="s">
        <v>153</v>
      </c>
      <c r="K81" s="601">
        <f>IFERROR(VLOOKUP($D81,$Z$9:$AD$10,2,FALSE)/IF($D81="Inhalation",IF($J81="Central Tendency",SUMIFS('Inhalation Exposure'!$K$6:$K$65,'Inhalation Exposure'!$B$6:$B$65,$B81,'Inhalation Exposure'!$D$6:$D$65,$C81),SUMIFS('Inhalation Exposure'!$J$6:$J$65,'Inhalation Exposure'!$B$6:$B$65,$B81,'Inhalation Exposure'!$D$6:$D$65,$C81)),IF($J81="Central Tendency",VLOOKUP($B81,'Dermal Exposure'!$A$6:$T$34,17,FALSE),VLOOKUP($B81,'Dermal Exposure'!$A$6:$T$34,11,FALSE))),"--")</f>
        <v>290.41831381067004</v>
      </c>
      <c r="L81" s="601">
        <f>IFERROR(VLOOKUP($D81,$Z$9:$AD$10,3,FALSE)/IF($D81="Inhalation",IF($J81="Central Tendency",SUMIFS('Inhalation Exposure'!$M$6:$M$65,'Inhalation Exposure'!$B$6:$B$65,$B81,'Inhalation Exposure'!$D$6:$D$65,$C81),SUMIFS('Inhalation Exposure'!$L$6:$L$65,'Inhalation Exposure'!$B$6:$B$65,$B81,'Inhalation Exposure'!$D$6:$D$65,$C81)),IF($J81="Central Tendency",VLOOKUP($B81,'Dermal Exposure'!$A$6:$T$34,18,FALSE),VLOOKUP($B81,'Dermal Exposure'!$A$6:$T$34,12,FALSE))),"--")</f>
        <v>129.35489080192016</v>
      </c>
      <c r="M81" s="601">
        <f>IFERROR(VLOOKUP($D81,$Z$9:$AD$10,4,FALSE)/IF($D81="Inhalation",IF($J81="Central Tendency",SUMIFS('Inhalation Exposure'!$O$6:$O$65,'Inhalation Exposure'!$B$6:$B$65,$B81,'Inhalation Exposure'!$D$6:$D$65,$C81),SUMIFS('Inhalation Exposure'!$N$6:$N$65,'Inhalation Exposure'!$B$6:$B$65,$B81,'Inhalation Exposure'!$D$6:$D$65,$C81)),IF($J81="Central Tendency",VLOOKUP($B81,'Dermal Exposure'!$A$6:$T$34,19,FALSE),VLOOKUP($B81,'Dermal Exposure'!$A$6:$T$34,13,FALSE))),"--")</f>
        <v>147.29526984221192</v>
      </c>
      <c r="N81" s="605">
        <f>IFERROR(VLOOKUP(D81,$Z$9:$AD$10,5,FALSE)*IF($D81="Inhalation",IF($J81="Central Tendency",SUMIFS('Inhalation Exposure'!$Q$6:$Q$65,'Inhalation Exposure'!$B$6:$B$65,$B81,'Inhalation Exposure'!$D$6:$D$65,$C81),SUMIFS('Inhalation Exposure'!$P$6:$P$65,'Inhalation Exposure'!$B$6:$B$65,$B81,'Inhalation Exposure'!$D$6:$D$65,$C81)),IF($J81="Central Tendency",VLOOKUP($B81,'Dermal Exposure'!$A$6:$T$34,20,FALSE),VLOOKUP($B81,'Dermal Exposure'!$A$6:$T$34,14,FALSE))),"--")</f>
        <v>7.330713366035461E-4</v>
      </c>
      <c r="O81" s="527"/>
      <c r="P81" s="476">
        <f>IFERROR(K81*U81, "--")</f>
        <v>1452.0915690533502</v>
      </c>
      <c r="Q81" s="476">
        <f>IFERROR(L81*V81, "--")</f>
        <v>646.77445400960084</v>
      </c>
      <c r="R81" s="476">
        <f>IFERROR(M81*W81, "--")</f>
        <v>736.47634921105964</v>
      </c>
      <c r="S81" s="203">
        <f>IFERROR(N81/X81, "--")</f>
        <v>1.4661426732070923E-4</v>
      </c>
      <c r="U81" s="191">
        <v>5</v>
      </c>
      <c r="V81" s="192">
        <v>5</v>
      </c>
      <c r="W81" s="192">
        <v>5</v>
      </c>
      <c r="X81" s="193">
        <v>5</v>
      </c>
    </row>
    <row r="82" spans="2:24" ht="15.75" thickBot="1" x14ac:dyDescent="0.3">
      <c r="B82" s="297">
        <v>3</v>
      </c>
      <c r="C82" s="298" t="s">
        <v>79</v>
      </c>
      <c r="D82" s="298" t="s">
        <v>59</v>
      </c>
      <c r="E82" s="616"/>
      <c r="F82" s="616"/>
      <c r="G82" s="613"/>
      <c r="H82" s="597"/>
      <c r="I82" s="597"/>
      <c r="J82" s="600"/>
      <c r="K82" s="602"/>
      <c r="L82" s="602"/>
      <c r="M82" s="602"/>
      <c r="N82" s="606"/>
      <c r="O82" s="527"/>
      <c r="P82" s="480" t="str">
        <f>CONCATENATE("(PF ",U81,")")</f>
        <v>(PF 5)</v>
      </c>
      <c r="Q82" s="480" t="str">
        <f>CONCATENATE("(PF ",V81,")")</f>
        <v>(PF 5)</v>
      </c>
      <c r="R82" s="480" t="str">
        <f>CONCATENATE("(PF ",W81,")")</f>
        <v>(PF 5)</v>
      </c>
      <c r="S82" s="198" t="str">
        <f>CONCATENATE("(PF ",X81,")")</f>
        <v>(PF 5)</v>
      </c>
      <c r="U82" s="199" t="s">
        <v>161</v>
      </c>
      <c r="V82" s="200" t="s">
        <v>161</v>
      </c>
      <c r="W82" s="200" t="s">
        <v>161</v>
      </c>
      <c r="X82" s="201" t="s">
        <v>161</v>
      </c>
    </row>
    <row r="83" spans="2:24" ht="27" thickTop="1" thickBot="1" x14ac:dyDescent="0.3">
      <c r="B83" s="297" t="s">
        <v>167</v>
      </c>
      <c r="C83" s="298" t="s">
        <v>82</v>
      </c>
      <c r="D83" s="298" t="s">
        <v>149</v>
      </c>
      <c r="E83" s="616"/>
      <c r="F83" s="616"/>
      <c r="G83" s="613"/>
      <c r="H83" s="609" t="s">
        <v>82</v>
      </c>
      <c r="I83" s="609" t="s">
        <v>126</v>
      </c>
      <c r="J83" s="208" t="s">
        <v>80</v>
      </c>
      <c r="K83" s="476">
        <f>IFERROR(VLOOKUP($D83,$Z$9:$AD$10,2,FALSE)/IF($D83="Inhalation",IF($J83="Central Tendency",SUMIFS('Inhalation Exposure'!$K$6:$K$65,'Inhalation Exposure'!$B$6:$B$65,$B83,'Inhalation Exposure'!$D$6:$D$65,$C83),SUMIFS('Inhalation Exposure'!$J$6:$J$65,'Inhalation Exposure'!$B$6:$B$65,$B83,'Inhalation Exposure'!$D$6:$D$65,$C83)),IF($J83="Central Tendency",VLOOKUP($B83,'Dermal Exposure'!$A$6:$T$34,17,FALSE),VLOOKUP($B83,'Dermal Exposure'!$A$6:$T$34,11,FALSE))),"--")</f>
        <v>71.217734031238862</v>
      </c>
      <c r="L83" s="476">
        <f>IFERROR(VLOOKUP($D83,$Z$9:$AD$10,3,FALSE)/IF($D83="Inhalation",IF($J83="Central Tendency",SUMIFS('Inhalation Exposure'!$M$6:$M$65,'Inhalation Exposure'!$B$6:$B$65,$B83,'Inhalation Exposure'!$D$6:$D$65,$C83),SUMIFS('Inhalation Exposure'!$L$6:$L$65,'Inhalation Exposure'!$B$6:$B$65,$B83,'Inhalation Exposure'!$D$6:$D$65,$C83)),IF($J83="Central Tendency",VLOOKUP($B83,'Dermal Exposure'!$A$6:$T$34,18,FALSE),VLOOKUP($B83,'Dermal Exposure'!$A$6:$T$34,12,FALSE))),"--")</f>
        <v>208.67705689093282</v>
      </c>
      <c r="M83" s="476">
        <f>IFERROR(VLOOKUP($D83,$Z$9:$AD$10,4,FALSE)/IF($D83="Inhalation",IF($J83="Central Tendency",SUMIFS('Inhalation Exposure'!$O$6:$O$65,'Inhalation Exposure'!$B$6:$B$65,$B83,'Inhalation Exposure'!$D$6:$D$65,$C83),SUMIFS('Inhalation Exposure'!$N$6:$N$65,'Inhalation Exposure'!$B$6:$B$65,$B83,'Inhalation Exposure'!$D$6:$D$65,$C83)),IF($J83="Central Tendency",VLOOKUP($B83,'Dermal Exposure'!$A$6:$T$34,19,FALSE),VLOOKUP($B83,'Dermal Exposure'!$A$6:$T$34,13,FALSE))),"--")</f>
        <v>223.4235689112254</v>
      </c>
      <c r="N83" s="477">
        <f>IFERROR(VLOOKUP(D83,$Z$9:$AD$10,5,FALSE)*IF($D83="Inhalation",IF($J83="Central Tendency",SUMIFS('Inhalation Exposure'!$Q$6:$Q$65,'Inhalation Exposure'!$B$6:$B$65,$B83,'Inhalation Exposure'!$D$6:$D$65,$C83),SUMIFS('Inhalation Exposure'!$P$6:$P$65,'Inhalation Exposure'!$B$6:$B$65,$B83,'Inhalation Exposure'!$D$6:$D$65,$C83)),IF($J83="Central Tendency",VLOOKUP($B83,'Dermal Exposure'!$A$6:$T$34,20,FALSE),VLOOKUP($B83,'Dermal Exposure'!$A$6:$T$34,14,FALSE))),"--")</f>
        <v>2.6824982532235492E-4</v>
      </c>
      <c r="O83" s="527"/>
      <c r="P83" s="482" t="s">
        <v>162</v>
      </c>
      <c r="Q83" s="482" t="s">
        <v>162</v>
      </c>
      <c r="R83" s="482" t="s">
        <v>162</v>
      </c>
      <c r="S83" s="482" t="s">
        <v>162</v>
      </c>
      <c r="U83" s="191" t="s">
        <v>162</v>
      </c>
      <c r="V83" s="192" t="s">
        <v>162</v>
      </c>
      <c r="W83" s="192" t="s">
        <v>162</v>
      </c>
      <c r="X83" s="193" t="s">
        <v>162</v>
      </c>
    </row>
    <row r="84" spans="2:24" ht="15.75" thickBot="1" x14ac:dyDescent="0.3">
      <c r="B84" s="297" t="s">
        <v>167</v>
      </c>
      <c r="C84" s="298" t="s">
        <v>82</v>
      </c>
      <c r="D84" s="298" t="s">
        <v>149</v>
      </c>
      <c r="E84" s="616"/>
      <c r="F84" s="616"/>
      <c r="G84" s="614"/>
      <c r="H84" s="596"/>
      <c r="I84" s="610"/>
      <c r="J84" s="482" t="s">
        <v>153</v>
      </c>
      <c r="K84" s="476">
        <f>IFERROR(VLOOKUP($D84,$Z$9:$AD$10,2,FALSE)/IF($D84="Inhalation",IF($J84="Central Tendency",SUMIFS('Inhalation Exposure'!$K$6:$K$65,'Inhalation Exposure'!$B$6:$B$65,$B84,'Inhalation Exposure'!$D$6:$D$65,$C84),SUMIFS('Inhalation Exposure'!$J$6:$J$65,'Inhalation Exposure'!$B$6:$B$65,$B84,'Inhalation Exposure'!$D$6:$D$65,$C84)),IF($J84="Central Tendency",VLOOKUP($B84,'Dermal Exposure'!$A$6:$T$34,17,FALSE),VLOOKUP($B84,'Dermal Exposure'!$A$6:$T$34,11,FALSE))),"--")</f>
        <v>71.217734031238862</v>
      </c>
      <c r="L84" s="476">
        <f>IFERROR(VLOOKUP($D84,$Z$9:$AD$10,3,FALSE)/IF($D84="Inhalation",IF($J84="Central Tendency",SUMIFS('Inhalation Exposure'!$M$6:$M$65,'Inhalation Exposure'!$B$6:$B$65,$B84,'Inhalation Exposure'!$D$6:$D$65,$C84),SUMIFS('Inhalation Exposure'!$L$6:$L$65,'Inhalation Exposure'!$B$6:$B$65,$B84,'Inhalation Exposure'!$D$6:$D$65,$C84)),IF($J84="Central Tendency",VLOOKUP($B84,'Dermal Exposure'!$A$6:$T$34,18,FALSE),VLOOKUP($B84,'Dermal Exposure'!$A$6:$T$34,12,FALSE))),"--")</f>
        <v>208.67705689093282</v>
      </c>
      <c r="M84" s="476">
        <f>IFERROR(VLOOKUP($D84,$Z$9:$AD$10,4,FALSE)/IF($D84="Inhalation",IF($J84="Central Tendency",SUMIFS('Inhalation Exposure'!$O$6:$O$65,'Inhalation Exposure'!$B$6:$B$65,$B84,'Inhalation Exposure'!$D$6:$D$65,$C84),SUMIFS('Inhalation Exposure'!$N$6:$N$65,'Inhalation Exposure'!$B$6:$B$65,$B84,'Inhalation Exposure'!$D$6:$D$65,$C84)),IF($J84="Central Tendency",VLOOKUP($B84,'Dermal Exposure'!$A$6:$T$34,19,FALSE),VLOOKUP($B84,'Dermal Exposure'!$A$6:$T$34,13,FALSE))),"--")</f>
        <v>223.4235689112254</v>
      </c>
      <c r="N84" s="477">
        <f>IFERROR(VLOOKUP(D84,$Z$9:$AD$10,5,FALSE)*IF($D84="Inhalation",IF($J84="Central Tendency",SUMIFS('Inhalation Exposure'!$Q$6:$Q$65,'Inhalation Exposure'!$B$6:$B$65,$B84,'Inhalation Exposure'!$D$6:$D$65,$C84),SUMIFS('Inhalation Exposure'!$P$6:$P$65,'Inhalation Exposure'!$B$6:$B$65,$B84,'Inhalation Exposure'!$D$6:$D$65,$C84)),IF($J84="Central Tendency",VLOOKUP($B84,'Dermal Exposure'!$A$6:$T$34,20,FALSE),VLOOKUP($B84,'Dermal Exposure'!$A$6:$T$34,14,FALSE))),"--")</f>
        <v>3.4612880686755467E-4</v>
      </c>
      <c r="O84" s="528"/>
      <c r="P84" s="204" t="s">
        <v>162</v>
      </c>
      <c r="Q84" s="204" t="s">
        <v>162</v>
      </c>
      <c r="R84" s="204" t="s">
        <v>162</v>
      </c>
      <c r="S84" s="204" t="s">
        <v>162</v>
      </c>
      <c r="U84" s="205" t="s">
        <v>162</v>
      </c>
      <c r="V84" s="206" t="s">
        <v>162</v>
      </c>
      <c r="W84" s="206" t="s">
        <v>162</v>
      </c>
      <c r="X84" s="207" t="s">
        <v>162</v>
      </c>
    </row>
    <row r="85" spans="2:24" ht="15.75" customHeight="1" thickBot="1" x14ac:dyDescent="0.3">
      <c r="B85" s="297" t="s">
        <v>171</v>
      </c>
      <c r="C85" s="298" t="s">
        <v>79</v>
      </c>
      <c r="D85" s="298" t="s">
        <v>149</v>
      </c>
      <c r="E85" s="616"/>
      <c r="F85" s="616"/>
      <c r="G85" s="612" t="s">
        <v>172</v>
      </c>
      <c r="H85" s="595" t="s">
        <v>79</v>
      </c>
      <c r="I85" s="595" t="s">
        <v>126</v>
      </c>
      <c r="J85" s="598" t="s">
        <v>80</v>
      </c>
      <c r="K85" s="601">
        <f>IFERROR(VLOOKUP($D85,$Z$9:$AD$10,2,FALSE)/IF($D85="Inhalation",IF($J85="Central Tendency",SUMIFS('Inhalation Exposure'!$K$6:$K$65,'Inhalation Exposure'!$B$6:$B$65,$B85,'Inhalation Exposure'!$D$6:$D$65,$C85),SUMIFS('Inhalation Exposure'!$J$6:$J$65,'Inhalation Exposure'!$B$6:$B$65,$B85,'Inhalation Exposure'!$D$6:$D$65,$C85)),IF($J85="Central Tendency",VLOOKUP($B85,'Dermal Exposure'!$A$6:$T$34,17,FALSE),VLOOKUP($B85,'Dermal Exposure'!$A$6:$T$34,11,FALSE))),"--")</f>
        <v>0.72158215010141991</v>
      </c>
      <c r="L85" s="601">
        <f>IFERROR(VLOOKUP($D85,$Z$9:$AD$10,3,FALSE)/IF($D85="Inhalation",IF($J85="Central Tendency",SUMIFS('Inhalation Exposure'!$M$6:$M$65,'Inhalation Exposure'!$B$6:$B$65,$B85,'Inhalation Exposure'!$D$6:$D$65,$C85),SUMIFS('Inhalation Exposure'!$L$6:$L$65,'Inhalation Exposure'!$B$6:$B$65,$B85,'Inhalation Exposure'!$D$6:$D$65,$C85)),IF($J85="Central Tendency",VLOOKUP($B85,'Dermal Exposure'!$A$6:$T$34,18,FALSE),VLOOKUP($B85,'Dermal Exposure'!$A$6:$T$34,12,FALSE))),"--")</f>
        <v>5.8188671507169705</v>
      </c>
      <c r="M85" s="625">
        <f>IFERROR(VLOOKUP($D85,$Z$9:$AD$10,4,FALSE)/IF($D85="Inhalation",IF($J85="Central Tendency",SUMIFS('Inhalation Exposure'!$O$6:$O$65,'Inhalation Exposure'!$B$6:$B$65,$B85,'Inhalation Exposure'!$D$6:$D$65,$C85),SUMIFS('Inhalation Exposure'!$N$6:$N$65,'Inhalation Exposure'!$B$6:$B$65,$B85,'Inhalation Exposure'!$D$6:$D$65,$C85)),IF($J85="Central Tendency",VLOOKUP($B85,'Dermal Exposure'!$A$6:$T$34,19,FALSE),VLOOKUP($B85,'Dermal Exposure'!$A$6:$T$34,13,FALSE))),"--")</f>
        <v>109.50734254711071</v>
      </c>
      <c r="N85" s="627">
        <f>IFERROR(VLOOKUP(D85,$Z$9:$AD$10,5,FALSE)*IF($D85="Inhalation",IF($J85="Central Tendency",SUMIFS('Inhalation Exposure'!$Q$6:$Q$65,'Inhalation Exposure'!$B$6:$B$65,$B85,'Inhalation Exposure'!$D$6:$D$65,$C85),SUMIFS('Inhalation Exposure'!$P$6:$P$65,'Inhalation Exposure'!$B$6:$B$65,$B85,'Inhalation Exposure'!$D$6:$D$65,$C85)),IF($J85="Central Tendency",VLOOKUP($B85,'Dermal Exposure'!$A$6:$T$34,20,FALSE),VLOOKUP($B85,'Dermal Exposure'!$A$6:$T$34,14,FALSE))),"--")</f>
        <v>5.2170779189293485E-4</v>
      </c>
      <c r="O85" s="527"/>
      <c r="P85" s="481"/>
      <c r="Q85" s="481"/>
      <c r="R85" s="481"/>
      <c r="S85" s="481"/>
      <c r="U85" s="191"/>
      <c r="V85" s="192"/>
      <c r="W85" s="192"/>
      <c r="X85" s="193"/>
    </row>
    <row r="86" spans="2:24" ht="15.75" thickBot="1" x14ac:dyDescent="0.3">
      <c r="B86" s="297" t="s">
        <v>171</v>
      </c>
      <c r="C86" s="298" t="s">
        <v>79</v>
      </c>
      <c r="D86" s="298" t="s">
        <v>149</v>
      </c>
      <c r="E86" s="616"/>
      <c r="F86" s="616"/>
      <c r="G86" s="613"/>
      <c r="H86" s="596"/>
      <c r="I86" s="596"/>
      <c r="J86" s="599"/>
      <c r="K86" s="602"/>
      <c r="L86" s="602"/>
      <c r="M86" s="626"/>
      <c r="N86" s="628"/>
      <c r="O86" s="527"/>
      <c r="P86" s="481"/>
      <c r="Q86" s="481"/>
      <c r="R86" s="481"/>
      <c r="S86" s="481"/>
      <c r="U86" s="191"/>
      <c r="V86" s="192"/>
      <c r="W86" s="192"/>
      <c r="X86" s="193"/>
    </row>
    <row r="87" spans="2:24" ht="15.75" thickBot="1" x14ac:dyDescent="0.3">
      <c r="B87" s="297" t="s">
        <v>171</v>
      </c>
      <c r="C87" s="298" t="s">
        <v>79</v>
      </c>
      <c r="D87" s="298" t="s">
        <v>149</v>
      </c>
      <c r="E87" s="616"/>
      <c r="F87" s="616"/>
      <c r="G87" s="613"/>
      <c r="H87" s="596"/>
      <c r="I87" s="596"/>
      <c r="J87" s="598" t="s">
        <v>153</v>
      </c>
      <c r="K87" s="601">
        <f>IFERROR(VLOOKUP($D87,$Z$9:$AD$10,2,FALSE)/IF($D87="Inhalation",IF($J87="Central Tendency",SUMIFS('Inhalation Exposure'!$K$6:$K$65,'Inhalation Exposure'!$B$6:$B$65,$B87,'Inhalation Exposure'!$D$6:$D$65,$C87),SUMIFS('Inhalation Exposure'!$J$6:$J$65,'Inhalation Exposure'!$B$6:$B$65,$B87,'Inhalation Exposure'!$D$6:$D$65,$C87)),IF($J87="Central Tendency",VLOOKUP($B87,'Dermal Exposure'!$A$6:$T$34,17,FALSE),VLOOKUP($B87,'Dermal Exposure'!$A$6:$T$34,11,FALSE))),"--")</f>
        <v>0.1943934426229508</v>
      </c>
      <c r="L87" s="601">
        <f>IFERROR(VLOOKUP($D87,$Z$9:$AD$10,3,FALSE)/IF($D87="Inhalation",IF($J87="Central Tendency",SUMIFS('Inhalation Exposure'!$M$6:$M$65,'Inhalation Exposure'!$B$6:$B$65,$B87,'Inhalation Exposure'!$D$6:$D$65,$C87),SUMIFS('Inhalation Exposure'!$L$6:$L$65,'Inhalation Exposure'!$B$6:$B$65,$B87,'Inhalation Exposure'!$D$6:$D$65,$C87)),IF($J87="Central Tendency",VLOOKUP($B87,'Dermal Exposure'!$A$6:$T$34,18,FALSE),VLOOKUP($B87,'Dermal Exposure'!$A$6:$T$34,12,FALSE))),"--")</f>
        <v>1.565200101115763</v>
      </c>
      <c r="M87" s="601">
        <f>IFERROR(VLOOKUP($D87,$Z$9:$AD$10,4,FALSE)/IF($D87="Inhalation",IF($J87="Central Tendency",SUMIFS('Inhalation Exposure'!$O$6:$O$65,'Inhalation Exposure'!$B$6:$B$65,$B87,'Inhalation Exposure'!$D$6:$D$65,$C87),SUMIFS('Inhalation Exposure'!$N$6:$N$65,'Inhalation Exposure'!$B$6:$B$65,$B87,'Inhalation Exposure'!$D$6:$D$65,$C87)),IF($J87="Central Tendency",VLOOKUP($B87,'Dermal Exposure'!$A$6:$T$34,19,FALSE),VLOOKUP($B87,'Dermal Exposure'!$A$6:$T$34,13,FALSE))),"--")</f>
        <v>31.657896219054685</v>
      </c>
      <c r="N87" s="605">
        <f>IFERROR(VLOOKUP(D87,$Z$9:$AD$10,5,FALSE)*IF($D87="Inhalation",IF($J87="Central Tendency",SUMIFS('Inhalation Exposure'!$Q$6:$Q$65,'Inhalation Exposure'!$B$6:$B$65,$B87,'Inhalation Exposure'!$D$6:$D$65,$C87),SUMIFS('Inhalation Exposure'!$P$6:$P$65,'Inhalation Exposure'!$B$6:$B$65,$B87,'Inhalation Exposure'!$D$6:$D$65,$C87)),IF($J87="Central Tendency",VLOOKUP($B87,'Dermal Exposure'!$A$6:$T$34,20,FALSE),VLOOKUP($B87,'Dermal Exposure'!$A$6:$T$34,14,FALSE))),"--")</f>
        <v>1.892773322431232E-3</v>
      </c>
      <c r="O87" s="527"/>
      <c r="P87" s="481"/>
      <c r="Q87" s="481"/>
      <c r="R87" s="481"/>
      <c r="S87" s="481"/>
      <c r="U87" s="191"/>
      <c r="V87" s="192"/>
      <c r="W87" s="192"/>
      <c r="X87" s="193"/>
    </row>
    <row r="88" spans="2:24" ht="15.75" thickBot="1" x14ac:dyDescent="0.3">
      <c r="B88" s="297" t="s">
        <v>171</v>
      </c>
      <c r="C88" s="298" t="s">
        <v>79</v>
      </c>
      <c r="D88" s="298" t="s">
        <v>149</v>
      </c>
      <c r="E88" s="616"/>
      <c r="F88" s="616"/>
      <c r="G88" s="613"/>
      <c r="H88" s="596"/>
      <c r="I88" s="597"/>
      <c r="J88" s="600"/>
      <c r="K88" s="602"/>
      <c r="L88" s="602"/>
      <c r="M88" s="602"/>
      <c r="N88" s="606"/>
      <c r="O88" s="527"/>
      <c r="P88" s="481"/>
      <c r="Q88" s="481"/>
      <c r="R88" s="481"/>
      <c r="S88" s="481"/>
      <c r="U88" s="191"/>
      <c r="V88" s="192"/>
      <c r="W88" s="192"/>
      <c r="X88" s="193"/>
    </row>
    <row r="89" spans="2:24" ht="16.5" thickTop="1" thickBot="1" x14ac:dyDescent="0.3">
      <c r="B89" s="297">
        <v>3</v>
      </c>
      <c r="C89" s="298" t="s">
        <v>79</v>
      </c>
      <c r="D89" s="298" t="s">
        <v>59</v>
      </c>
      <c r="E89" s="616"/>
      <c r="F89" s="616"/>
      <c r="G89" s="613"/>
      <c r="H89" s="596"/>
      <c r="I89" s="609" t="s">
        <v>59</v>
      </c>
      <c r="J89" s="609" t="s">
        <v>80</v>
      </c>
      <c r="K89" s="601">
        <f>IFERROR(VLOOKUP($D89,$Z$9:$AD$10,2,FALSE)/IF($D89="Inhalation",IF($J89="Central Tendency",SUMIFS('Inhalation Exposure'!$K$6:$K$65,'Inhalation Exposure'!$B$6:$B$65,$B89,'Inhalation Exposure'!$D$6:$D$65,$C89),SUMIFS('Inhalation Exposure'!$J$6:$J$65,'Inhalation Exposure'!$B$6:$B$65,$B89,'Inhalation Exposure'!$D$6:$D$65,$C89)),IF($J89="Central Tendency",VLOOKUP($B89,'Dermal Exposure'!$A$6:$T$34,17,FALSE),VLOOKUP($B89,'Dermal Exposure'!$A$6:$T$34,11,FALSE))),"--")</f>
        <v>497.05560242803324</v>
      </c>
      <c r="L89" s="601">
        <f>IFERROR(VLOOKUP($D89,$Z$9:$AD$10,3,FALSE)/IF($D89="Inhalation",IF($J89="Central Tendency",SUMIFS('Inhalation Exposure'!$M$6:$M$65,'Inhalation Exposure'!$B$6:$B$65,$B89,'Inhalation Exposure'!$D$6:$D$65,$C89),SUMIFS('Inhalation Exposure'!$L$6:$L$65,'Inhalation Exposure'!$B$6:$B$65,$B89,'Inhalation Exposure'!$D$6:$D$65,$C89)),IF($J89="Central Tendency",VLOOKUP($B89,'Dermal Exposure'!$A$6:$T$34,18,FALSE),VLOOKUP($B89,'Dermal Exposure'!$A$6:$T$34,12,FALSE))),"--")</f>
        <v>221.39297047388416</v>
      </c>
      <c r="M89" s="601">
        <f>IFERROR(VLOOKUP($D89,$Z$9:$AD$10,4,FALSE)/IF($D89="Inhalation",IF($J89="Central Tendency",SUMIFS('Inhalation Exposure'!$O$6:$O$65,'Inhalation Exposure'!$B$6:$B$65,$B89,'Inhalation Exposure'!$D$6:$D$65,$C89),SUMIFS('Inhalation Exposure'!$N$6:$N$65,'Inhalation Exposure'!$B$6:$B$65,$B89,'Inhalation Exposure'!$D$6:$D$65,$C89)),IF($J89="Central Tendency",VLOOKUP($B89,'Dermal Exposure'!$A$6:$T$34,19,FALSE),VLOOKUP($B89,'Dermal Exposure'!$A$6:$T$34,13,FALSE))),"--")</f>
        <v>257.89320944884628</v>
      </c>
      <c r="N89" s="605">
        <f>IFERROR(VLOOKUP(D89,$Z$9:$AD$10,5,FALSE)*IF($D89="Inhalation",IF($J89="Central Tendency",SUMIFS('Inhalation Exposure'!$Q$6:$Q$65,'Inhalation Exposure'!$B$6:$B$65,$B89,'Inhalation Exposure'!$D$6:$D$65,$C89),SUMIFS('Inhalation Exposure'!$P$6:$P$65,'Inhalation Exposure'!$B$6:$B$65,$B89,'Inhalation Exposure'!$D$6:$D$65,$C89)),IF($J89="Central Tendency",VLOOKUP($B89,'Dermal Exposure'!$A$6:$T$34,20,FALSE),VLOOKUP($B89,'Dermal Exposure'!$A$6:$T$34,14,FALSE))),"--")</f>
        <v>3.69196837127683E-4</v>
      </c>
      <c r="O89" s="527"/>
      <c r="P89" s="481"/>
      <c r="Q89" s="481"/>
      <c r="R89" s="481"/>
      <c r="S89" s="481"/>
      <c r="U89" s="191"/>
      <c r="V89" s="192"/>
      <c r="W89" s="192"/>
      <c r="X89" s="193"/>
    </row>
    <row r="90" spans="2:24" ht="15.75" thickBot="1" x14ac:dyDescent="0.3">
      <c r="B90" s="297">
        <v>3</v>
      </c>
      <c r="C90" s="298" t="s">
        <v>79</v>
      </c>
      <c r="D90" s="298" t="s">
        <v>59</v>
      </c>
      <c r="E90" s="616"/>
      <c r="F90" s="616"/>
      <c r="G90" s="613"/>
      <c r="H90" s="596"/>
      <c r="I90" s="596"/>
      <c r="J90" s="610"/>
      <c r="K90" s="602"/>
      <c r="L90" s="602"/>
      <c r="M90" s="602"/>
      <c r="N90" s="606"/>
      <c r="O90" s="527"/>
      <c r="P90" s="481"/>
      <c r="Q90" s="481"/>
      <c r="R90" s="481"/>
      <c r="S90" s="481"/>
      <c r="U90" s="191"/>
      <c r="V90" s="192"/>
      <c r="W90" s="192"/>
      <c r="X90" s="193"/>
    </row>
    <row r="91" spans="2:24" ht="15.75" thickBot="1" x14ac:dyDescent="0.3">
      <c r="B91" s="297">
        <v>3</v>
      </c>
      <c r="C91" s="298" t="s">
        <v>79</v>
      </c>
      <c r="D91" s="298" t="s">
        <v>59</v>
      </c>
      <c r="E91" s="616"/>
      <c r="F91" s="616"/>
      <c r="G91" s="613"/>
      <c r="H91" s="596"/>
      <c r="I91" s="596"/>
      <c r="J91" s="611" t="s">
        <v>153</v>
      </c>
      <c r="K91" s="601">
        <f>IFERROR(VLOOKUP($D91,$Z$9:$AD$10,2,FALSE)/IF($D91="Inhalation",IF($J91="Central Tendency",SUMIFS('Inhalation Exposure'!$K$6:$K$65,'Inhalation Exposure'!$B$6:$B$65,$B91,'Inhalation Exposure'!$D$6:$D$65,$C91),SUMIFS('Inhalation Exposure'!$J$6:$J$65,'Inhalation Exposure'!$B$6:$B$65,$B91,'Inhalation Exposure'!$D$6:$D$65,$C91)),IF($J91="Central Tendency",VLOOKUP($B91,'Dermal Exposure'!$A$6:$T$34,17,FALSE),VLOOKUP($B91,'Dermal Exposure'!$A$6:$T$34,11,FALSE))),"--")</f>
        <v>290.41831381067004</v>
      </c>
      <c r="L91" s="601">
        <f>IFERROR(VLOOKUP($D91,$Z$9:$AD$10,3,FALSE)/IF($D91="Inhalation",IF($J91="Central Tendency",SUMIFS('Inhalation Exposure'!$M$6:$M$65,'Inhalation Exposure'!$B$6:$B$65,$B91,'Inhalation Exposure'!$D$6:$D$65,$C91),SUMIFS('Inhalation Exposure'!$L$6:$L$65,'Inhalation Exposure'!$B$6:$B$65,$B91,'Inhalation Exposure'!$D$6:$D$65,$C91)),IF($J91="Central Tendency",VLOOKUP($B91,'Dermal Exposure'!$A$6:$T$34,18,FALSE),VLOOKUP($B91,'Dermal Exposure'!$A$6:$T$34,12,FALSE))),"--")</f>
        <v>129.35489080192016</v>
      </c>
      <c r="M91" s="601">
        <f>IFERROR(VLOOKUP($D91,$Z$9:$AD$10,4,FALSE)/IF($D91="Inhalation",IF($J91="Central Tendency",SUMIFS('Inhalation Exposure'!$O$6:$O$65,'Inhalation Exposure'!$B$6:$B$65,$B91,'Inhalation Exposure'!$D$6:$D$65,$C91),SUMIFS('Inhalation Exposure'!$N$6:$N$65,'Inhalation Exposure'!$B$6:$B$65,$B91,'Inhalation Exposure'!$D$6:$D$65,$C91)),IF($J91="Central Tendency",VLOOKUP($B91,'Dermal Exposure'!$A$6:$T$34,19,FALSE),VLOOKUP($B91,'Dermal Exposure'!$A$6:$T$34,13,FALSE))),"--")</f>
        <v>147.29526984221192</v>
      </c>
      <c r="N91" s="605">
        <f>IFERROR(VLOOKUP(D91,$Z$9:$AD$10,5,FALSE)*IF($D91="Inhalation",IF($J91="Central Tendency",SUMIFS('Inhalation Exposure'!$Q$6:$Q$65,'Inhalation Exposure'!$B$6:$B$65,$B91,'Inhalation Exposure'!$D$6:$D$65,$C91),SUMIFS('Inhalation Exposure'!$P$6:$P$65,'Inhalation Exposure'!$B$6:$B$65,$B91,'Inhalation Exposure'!$D$6:$D$65,$C91)),IF($J91="Central Tendency",VLOOKUP($B91,'Dermal Exposure'!$A$6:$T$34,20,FALSE),VLOOKUP($B91,'Dermal Exposure'!$A$6:$T$34,14,FALSE))),"--")</f>
        <v>7.330713366035461E-4</v>
      </c>
      <c r="O91" s="527"/>
      <c r="P91" s="481"/>
      <c r="Q91" s="481"/>
      <c r="R91" s="481"/>
      <c r="S91" s="481"/>
      <c r="U91" s="191"/>
      <c r="V91" s="192"/>
      <c r="W91" s="192"/>
      <c r="X91" s="193"/>
    </row>
    <row r="92" spans="2:24" ht="15.75" thickBot="1" x14ac:dyDescent="0.3">
      <c r="B92" s="297">
        <v>3</v>
      </c>
      <c r="C92" s="298" t="s">
        <v>79</v>
      </c>
      <c r="D92" s="298" t="s">
        <v>59</v>
      </c>
      <c r="E92" s="616"/>
      <c r="F92" s="616"/>
      <c r="G92" s="613"/>
      <c r="H92" s="597"/>
      <c r="I92" s="597"/>
      <c r="J92" s="600"/>
      <c r="K92" s="602"/>
      <c r="L92" s="602"/>
      <c r="M92" s="602"/>
      <c r="N92" s="606"/>
      <c r="O92" s="527"/>
      <c r="P92" s="481"/>
      <c r="Q92" s="481"/>
      <c r="R92" s="481"/>
      <c r="S92" s="481"/>
      <c r="U92" s="191"/>
      <c r="V92" s="192"/>
      <c r="W92" s="192"/>
      <c r="X92" s="193"/>
    </row>
    <row r="93" spans="2:24" ht="27" thickTop="1" thickBot="1" x14ac:dyDescent="0.3">
      <c r="B93" s="297" t="s">
        <v>171</v>
      </c>
      <c r="C93" s="298" t="s">
        <v>82</v>
      </c>
      <c r="D93" s="298" t="s">
        <v>149</v>
      </c>
      <c r="E93" s="616"/>
      <c r="F93" s="616"/>
      <c r="G93" s="613"/>
      <c r="H93" s="609" t="s">
        <v>82</v>
      </c>
      <c r="I93" s="609" t="s">
        <v>126</v>
      </c>
      <c r="J93" s="208" t="s">
        <v>80</v>
      </c>
      <c r="K93" s="476">
        <f>IFERROR(VLOOKUP($D93,$Z$9:$AD$10,2,FALSE)/IF($D93="Inhalation",IF($J93="Central Tendency",SUMIFS('Inhalation Exposure'!$K$6:$K$65,'Inhalation Exposure'!$B$6:$B$65,$B93,'Inhalation Exposure'!$D$6:$D$65,$C93),SUMIFS('Inhalation Exposure'!$J$6:$J$65,'Inhalation Exposure'!$B$6:$B$65,$B93,'Inhalation Exposure'!$D$6:$D$65,$C93)),IF($J93="Central Tendency",VLOOKUP($B93,'Dermal Exposure'!$A$6:$T$34,17,FALSE),VLOOKUP($B93,'Dermal Exposure'!$A$6:$T$34,11,FALSE))),"--")</f>
        <v>0.72158215010141991</v>
      </c>
      <c r="L93" s="476">
        <f>IFERROR(VLOOKUP($D93,$Z$9:$AD$10,3,FALSE)/IF($D93="Inhalation",IF($J93="Central Tendency",SUMIFS('Inhalation Exposure'!$M$6:$M$65,'Inhalation Exposure'!$B$6:$B$65,$B93,'Inhalation Exposure'!$D$6:$D$65,$C93),SUMIFS('Inhalation Exposure'!$L$6:$L$65,'Inhalation Exposure'!$B$6:$B$65,$B93,'Inhalation Exposure'!$D$6:$D$65,$C93)),IF($J93="Central Tendency",VLOOKUP($B93,'Dermal Exposure'!$A$6:$T$34,18,FALSE),VLOOKUP($B93,'Dermal Exposure'!$A$6:$T$34,12,FALSE))),"--")</f>
        <v>5.8188671507169705</v>
      </c>
      <c r="M93" s="476">
        <f>IFERROR(VLOOKUP($D93,$Z$9:$AD$10,4,FALSE)/IF($D93="Inhalation",IF($J93="Central Tendency",SUMIFS('Inhalation Exposure'!$O$6:$O$65,'Inhalation Exposure'!$B$6:$B$65,$B93,'Inhalation Exposure'!$D$6:$D$65,$C93),SUMIFS('Inhalation Exposure'!$N$6:$N$65,'Inhalation Exposure'!$B$6:$B$65,$B93,'Inhalation Exposure'!$D$6:$D$65,$C93)),IF($J93="Central Tendency",VLOOKUP($B93,'Dermal Exposure'!$A$6:$T$34,19,FALSE),VLOOKUP($B93,'Dermal Exposure'!$A$6:$T$34,13,FALSE))),"--")</f>
        <v>109.50734254711071</v>
      </c>
      <c r="N93" s="477">
        <f>IFERROR(VLOOKUP(D93,$Z$9:$AD$10,5,FALSE)*IF($D93="Inhalation",IF($J93="Central Tendency",SUMIFS('Inhalation Exposure'!$Q$6:$Q$65,'Inhalation Exposure'!$B$6:$B$65,$B93,'Inhalation Exposure'!$D$6:$D$65,$C93),SUMIFS('Inhalation Exposure'!$P$6:$P$65,'Inhalation Exposure'!$B$6:$B$65,$B93,'Inhalation Exposure'!$D$6:$D$65,$C93)),IF($J93="Central Tendency",VLOOKUP($B93,'Dermal Exposure'!$A$6:$T$34,20,FALSE),VLOOKUP($B93,'Dermal Exposure'!$A$6:$T$34,14,FALSE))),"--")</f>
        <v>5.2170779189293485E-4</v>
      </c>
      <c r="O93" s="527"/>
      <c r="P93" s="481"/>
      <c r="Q93" s="481"/>
      <c r="R93" s="481"/>
      <c r="S93" s="481"/>
      <c r="U93" s="191"/>
      <c r="V93" s="192"/>
      <c r="W93" s="192"/>
      <c r="X93" s="193"/>
    </row>
    <row r="94" spans="2:24" ht="15.75" thickBot="1" x14ac:dyDescent="0.3">
      <c r="B94" s="297" t="s">
        <v>171</v>
      </c>
      <c r="C94" s="298" t="s">
        <v>82</v>
      </c>
      <c r="D94" s="298" t="s">
        <v>149</v>
      </c>
      <c r="E94" s="617"/>
      <c r="F94" s="617"/>
      <c r="G94" s="614"/>
      <c r="H94" s="596"/>
      <c r="I94" s="610"/>
      <c r="J94" s="482" t="s">
        <v>153</v>
      </c>
      <c r="K94" s="476">
        <f>IFERROR(VLOOKUP($D94,$Z$9:$AD$10,2,FALSE)/IF($D94="Inhalation",IF($J94="Central Tendency",SUMIFS('Inhalation Exposure'!$K$6:$K$65,'Inhalation Exposure'!$B$6:$B$65,$B94,'Inhalation Exposure'!$D$6:$D$65,$C94),SUMIFS('Inhalation Exposure'!$J$6:$J$65,'Inhalation Exposure'!$B$6:$B$65,$B94,'Inhalation Exposure'!$D$6:$D$65,$C94)),IF($J94="Central Tendency",VLOOKUP($B94,'Dermal Exposure'!$A$6:$T$34,17,FALSE),VLOOKUP($B94,'Dermal Exposure'!$A$6:$T$34,11,FALSE))),"--")</f>
        <v>0.72158215010141991</v>
      </c>
      <c r="L94" s="476">
        <f>IFERROR(VLOOKUP($D94,$Z$9:$AD$10,3,FALSE)/IF($D94="Inhalation",IF($J94="Central Tendency",SUMIFS('Inhalation Exposure'!$M$6:$M$65,'Inhalation Exposure'!$B$6:$B$65,$B94,'Inhalation Exposure'!$D$6:$D$65,$C94),SUMIFS('Inhalation Exposure'!$L$6:$L$65,'Inhalation Exposure'!$B$6:$B$65,$B94,'Inhalation Exposure'!$D$6:$D$65,$C94)),IF($J94="Central Tendency",VLOOKUP($B94,'Dermal Exposure'!$A$6:$T$34,18,FALSE),VLOOKUP($B94,'Dermal Exposure'!$A$6:$T$34,12,FALSE))),"--")</f>
        <v>5.8188671507169705</v>
      </c>
      <c r="M94" s="476">
        <f>IFERROR(VLOOKUP($D94,$Z$9:$AD$10,4,FALSE)/IF($D94="Inhalation",IF($J94="Central Tendency",SUMIFS('Inhalation Exposure'!$O$6:$O$65,'Inhalation Exposure'!$B$6:$B$65,$B94,'Inhalation Exposure'!$D$6:$D$65,$C94),SUMIFS('Inhalation Exposure'!$N$6:$N$65,'Inhalation Exposure'!$B$6:$B$65,$B94,'Inhalation Exposure'!$D$6:$D$65,$C94)),IF($J94="Central Tendency",VLOOKUP($B94,'Dermal Exposure'!$A$6:$T$34,19,FALSE),VLOOKUP($B94,'Dermal Exposure'!$A$6:$T$34,13,FALSE))),"--")</f>
        <v>109.50734254711071</v>
      </c>
      <c r="N94" s="477">
        <f>IFERROR(VLOOKUP(D94,$Z$9:$AD$10,5,FALSE)*IF($D94="Inhalation",IF($J94="Central Tendency",SUMIFS('Inhalation Exposure'!$Q$6:$Q$65,'Inhalation Exposure'!$B$6:$B$65,$B94,'Inhalation Exposure'!$D$6:$D$65,$C94),SUMIFS('Inhalation Exposure'!$P$6:$P$65,'Inhalation Exposure'!$B$6:$B$65,$B94,'Inhalation Exposure'!$D$6:$D$65,$C94)),IF($J94="Central Tendency",VLOOKUP($B94,'Dermal Exposure'!$A$6:$T$34,20,FALSE),VLOOKUP($B94,'Dermal Exposure'!$A$6:$T$34,14,FALSE))),"--")</f>
        <v>5.2170779189293485E-4</v>
      </c>
      <c r="O94" s="528"/>
      <c r="P94" s="481"/>
      <c r="Q94" s="481"/>
      <c r="R94" s="481"/>
      <c r="S94" s="481"/>
      <c r="U94" s="191"/>
      <c r="V94" s="192"/>
      <c r="W94" s="192"/>
      <c r="X94" s="193"/>
    </row>
    <row r="95" spans="2:24" ht="15.75" customHeight="1" thickBot="1" x14ac:dyDescent="0.3">
      <c r="B95" s="297" t="s">
        <v>173</v>
      </c>
      <c r="C95" s="298" t="s">
        <v>79</v>
      </c>
      <c r="D95" s="298" t="s">
        <v>149</v>
      </c>
      <c r="E95" s="615" t="s">
        <v>174</v>
      </c>
      <c r="F95" s="615" t="s">
        <v>175</v>
      </c>
      <c r="G95" s="592" t="s">
        <v>176</v>
      </c>
      <c r="H95" s="595" t="s">
        <v>79</v>
      </c>
      <c r="I95" s="595" t="s">
        <v>126</v>
      </c>
      <c r="J95" s="598" t="s">
        <v>80</v>
      </c>
      <c r="K95" s="601">
        <f>IFERROR(VLOOKUP($D95,$Z$9:$AD$10,2,FALSE)/IF($D95="Inhalation",IF($J95="Central Tendency",SUMIFS('Inhalation Exposure'!$K$6:$K$65,'Inhalation Exposure'!$B$6:$B$65,$B95,'Inhalation Exposure'!$D$6:$D$65,$C95),SUMIFS('Inhalation Exposure'!$J$6:$J$65,'Inhalation Exposure'!$B$6:$B$65,$B95,'Inhalation Exposure'!$D$6:$D$65,$C95)),IF($J95="Central Tendency",VLOOKUP($B95,'Dermal Exposure'!$A$6:$T$34,17,FALSE),VLOOKUP($B95,'Dermal Exposure'!$A$6:$T$34,11,FALSE))),"--")</f>
        <v>2736.4615384615381</v>
      </c>
      <c r="L95" s="601">
        <f>IFERROR(VLOOKUP($D95,$Z$9:$AD$10,3,FALSE)/IF($D95="Inhalation",IF($J95="Central Tendency",SUMIFS('Inhalation Exposure'!$M$6:$M$65,'Inhalation Exposure'!$B$6:$B$65,$B95,'Inhalation Exposure'!$D$6:$D$65,$C95),SUMIFS('Inhalation Exposure'!$L$6:$L$65,'Inhalation Exposure'!$B$6:$B$65,$B95,'Inhalation Exposure'!$D$6:$D$65,$C95)),IF($J95="Central Tendency",VLOOKUP($B95,'Dermal Exposure'!$A$6:$T$34,18,FALSE),VLOOKUP($B95,'Dermal Exposure'!$A$6:$T$34,12,FALSE))),"--")</f>
        <v>8018.1818181818189</v>
      </c>
      <c r="M95" s="601">
        <f>IFERROR(VLOOKUP($D95,$Z$9:$AD$10,4,FALSE)/IF($D95="Inhalation",IF($J95="Central Tendency",SUMIFS('Inhalation Exposure'!$O$6:$O$65,'Inhalation Exposure'!$B$6:$B$65,$B95,'Inhalation Exposure'!$D$6:$D$65,$C95),SUMIFS('Inhalation Exposure'!$N$6:$N$65,'Inhalation Exposure'!$B$6:$B$65,$B95,'Inhalation Exposure'!$D$6:$D$65,$C95)),IF($J95="Central Tendency",VLOOKUP($B95,'Dermal Exposure'!$A$6:$T$34,19,FALSE),VLOOKUP($B95,'Dermal Exposure'!$A$6:$T$34,13,FALSE))),"--")</f>
        <v>8584.7999999999993</v>
      </c>
      <c r="N95" s="605">
        <f>IFERROR(VLOOKUP(D95,$Z$9:$AD$10,5,FALSE)*IF($D95="Inhalation",IF($J95="Central Tendency",SUMIFS('Inhalation Exposure'!$Q$6:$Q$65,'Inhalation Exposure'!$B$6:$B$65,$B95,'Inhalation Exposure'!$D$6:$D$65,$C95),SUMIFS('Inhalation Exposure'!$P$6:$P$65,'Inhalation Exposure'!$B$6:$B$65,$B95,'Inhalation Exposure'!$D$6:$D$65,$C95)),IF($J95="Central Tendency",VLOOKUP($B95,'Dermal Exposure'!$A$6:$T$34,20,FALSE),VLOOKUP($B95,'Dermal Exposure'!$A$6:$T$34,14,FALSE))),"--")</f>
        <v>6.9813313453235192E-6</v>
      </c>
      <c r="O95" s="605">
        <f>IFERROR(VLOOKUP(D95,$Z$9:$AD$10,5,FALSE)*IF($D95="Inhalation",IF($J95="Central Tendency",SUMIFS('Inhalation Exposure'!$S$6:$S$65,'Inhalation Exposure'!$B$6:$B$65,$B95,'Inhalation Exposure'!$D$6:$D$65,$C95),SUMIFS('Inhalation Exposure'!$R$6:$R$65,'Inhalation Exposure'!$B$6:$B$65,$B95,'Inhalation Exposure'!$D$6:$D$65,$C95)),IF($J95="Central Tendency",VLOOKUP($B95,'Dermal Exposure'!$A$6:$U$34,21,FALSE),VLOOKUP($B95,'Dermal Exposure'!$A$6:$U$34,15,FALSE))),"--")</f>
        <v>2.2070015220700158E-6</v>
      </c>
      <c r="P95" s="183">
        <f>IFERROR(K95*U95, "--")</f>
        <v>27364.615384615383</v>
      </c>
      <c r="Q95" s="183">
        <f>IFERROR(L95*V95, "--")</f>
        <v>80181.818181818191</v>
      </c>
      <c r="R95" s="183">
        <f>IFERROR(M95*W95, "--")</f>
        <v>85848</v>
      </c>
      <c r="S95" s="184">
        <f>IFERROR(N95/X95, "--")</f>
        <v>6.981331345323519E-7</v>
      </c>
      <c r="U95" s="185">
        <v>10</v>
      </c>
      <c r="V95" s="186">
        <v>10</v>
      </c>
      <c r="W95" s="186">
        <v>10</v>
      </c>
      <c r="X95" s="187">
        <v>10</v>
      </c>
    </row>
    <row r="96" spans="2:24" ht="15.75" thickBot="1" x14ac:dyDescent="0.3">
      <c r="B96" s="297" t="s">
        <v>173</v>
      </c>
      <c r="C96" s="298" t="s">
        <v>79</v>
      </c>
      <c r="D96" s="298" t="s">
        <v>149</v>
      </c>
      <c r="E96" s="616"/>
      <c r="F96" s="616"/>
      <c r="G96" s="593"/>
      <c r="H96" s="596"/>
      <c r="I96" s="596"/>
      <c r="J96" s="599"/>
      <c r="K96" s="602"/>
      <c r="L96" s="602"/>
      <c r="M96" s="602"/>
      <c r="N96" s="606"/>
      <c r="O96" s="606"/>
      <c r="P96" s="482" t="str">
        <f>CONCATENATE("(APF ",U95,")")</f>
        <v>(APF 10)</v>
      </c>
      <c r="Q96" s="482" t="str">
        <f>CONCATENATE("(APF ",V95,")")</f>
        <v>(APF 10)</v>
      </c>
      <c r="R96" s="482" t="str">
        <f>CONCATENATE("(APF ",W95,")")</f>
        <v>(APF 10)</v>
      </c>
      <c r="S96" s="482" t="str">
        <f>CONCATENATE("(APF ",X95,")")</f>
        <v>(APF 10)</v>
      </c>
      <c r="U96" s="191" t="s">
        <v>152</v>
      </c>
      <c r="V96" s="192" t="s">
        <v>152</v>
      </c>
      <c r="W96" s="192" t="s">
        <v>152</v>
      </c>
      <c r="X96" s="193" t="s">
        <v>152</v>
      </c>
    </row>
    <row r="97" spans="2:30" ht="15.75" thickBot="1" x14ac:dyDescent="0.3">
      <c r="B97" s="297" t="s">
        <v>173</v>
      </c>
      <c r="C97" s="298" t="s">
        <v>79</v>
      </c>
      <c r="D97" s="298" t="s">
        <v>149</v>
      </c>
      <c r="E97" s="616"/>
      <c r="F97" s="616"/>
      <c r="G97" s="593"/>
      <c r="H97" s="596"/>
      <c r="I97" s="596"/>
      <c r="J97" s="598" t="s">
        <v>153</v>
      </c>
      <c r="K97" s="601">
        <f>IFERROR(VLOOKUP($D97,$Z$9:$AD$10,2,FALSE)/IF($D97="Inhalation",IF($J97="Central Tendency",SUMIFS('Inhalation Exposure'!$K$6:$K$65,'Inhalation Exposure'!$B$6:$B$65,$B97,'Inhalation Exposure'!$D$6:$D$65,$C97),SUMIFS('Inhalation Exposure'!$J$6:$J$65,'Inhalation Exposure'!$B$6:$B$65,$B97,'Inhalation Exposure'!$D$6:$D$65,$C97)),IF($J97="Central Tendency",VLOOKUP($B97,'Dermal Exposure'!$A$6:$T$34,17,FALSE),VLOOKUP($B97,'Dermal Exposure'!$A$6:$T$34,11,FALSE))),"--")</f>
        <v>741.125</v>
      </c>
      <c r="L97" s="601">
        <f>IFERROR(VLOOKUP($D97,$Z$9:$AD$10,3,FALSE)/IF($D97="Inhalation",IF($J97="Central Tendency",SUMIFS('Inhalation Exposure'!$M$6:$M$65,'Inhalation Exposure'!$B$6:$B$65,$B97,'Inhalation Exposure'!$D$6:$D$65,$C97),SUMIFS('Inhalation Exposure'!$L$6:$L$65,'Inhalation Exposure'!$B$6:$B$65,$B97,'Inhalation Exposure'!$D$6:$D$65,$C97)),IF($J97="Central Tendency",VLOOKUP($B97,'Dermal Exposure'!$A$6:$T$34,18,FALSE),VLOOKUP($B97,'Dermal Exposure'!$A$6:$T$34,12,FALSE))),"--")</f>
        <v>2171.5909090909095</v>
      </c>
      <c r="M97" s="601">
        <f>IFERROR(VLOOKUP($D97,$Z$9:$AD$10,4,FALSE)/IF($D97="Inhalation",IF($J97="Central Tendency",SUMIFS('Inhalation Exposure'!$O$6:$O$65,'Inhalation Exposure'!$B$6:$B$65,$B97,'Inhalation Exposure'!$D$6:$D$65,$C97),SUMIFS('Inhalation Exposure'!$N$6:$N$65,'Inhalation Exposure'!$B$6:$B$65,$B97,'Inhalation Exposure'!$D$6:$D$65,$C97)),IF($J97="Central Tendency",VLOOKUP($B97,'Dermal Exposure'!$A$6:$T$34,19,FALSE),VLOOKUP($B97,'Dermal Exposure'!$A$6:$T$34,13,FALSE))),"--")</f>
        <v>2325.0500000000002</v>
      </c>
      <c r="N97" s="605">
        <f>IFERROR(VLOOKUP(D97,$Z$9:$AD$10,5,FALSE)*IF($D97="Inhalation",IF($J97="Central Tendency",SUMIFS('Inhalation Exposure'!$Q$6:$Q$65,'Inhalation Exposure'!$B$6:$B$65,$B97,'Inhalation Exposure'!$D$6:$D$65,$C97),SUMIFS('Inhalation Exposure'!$P$6:$P$65,'Inhalation Exposure'!$B$6:$B$65,$B97,'Inhalation Exposure'!$D$6:$D$65,$C97)),IF($J97="Central Tendency",VLOOKUP($B97,'Dermal Exposure'!$A$6:$T$34,20,FALSE),VLOOKUP($B97,'Dermal Exposure'!$A$6:$T$34,14,FALSE))),"--")</f>
        <v>3.326093345662818E-5</v>
      </c>
      <c r="O97" s="605">
        <f>IFERROR(VLOOKUP(D97,$Z$9:$AD$10,5,FALSE)*IF($D97="Inhalation",IF($J97="Central Tendency",SUMIFS('Inhalation Exposure'!$S$6:$S$65,'Inhalation Exposure'!$B$6:$B$65,$B97,'Inhalation Exposure'!$D$6:$D$65,$C97),SUMIFS('Inhalation Exposure'!$R$6:$R$65,'Inhalation Exposure'!$B$6:$B$65,$B97,'Inhalation Exposure'!$D$6:$D$65,$C97)),IF($J97="Central Tendency",VLOOKUP($B97,'Dermal Exposure'!$A$6:$U$34,21,FALSE),VLOOKUP($B97,'Dermal Exposure'!$A$6:$U$34,15,FALSE))),"--")</f>
        <v>2.7440270101718245E-5</v>
      </c>
      <c r="P97" s="183">
        <f>IFERROR(K97*U97, "--")</f>
        <v>7411.25</v>
      </c>
      <c r="Q97" s="183">
        <f>IFERROR(L97*V97, "--")</f>
        <v>21715.909090909096</v>
      </c>
      <c r="R97" s="183">
        <f>IFERROR(M97*W97, "--")</f>
        <v>23250.5</v>
      </c>
      <c r="S97" s="184">
        <f>IFERROR(N97/X97, "--")</f>
        <v>6.6521866913256358E-7</v>
      </c>
      <c r="U97" s="194">
        <v>10</v>
      </c>
      <c r="V97" s="195">
        <v>10</v>
      </c>
      <c r="W97" s="195">
        <v>10</v>
      </c>
      <c r="X97" s="196">
        <v>50</v>
      </c>
      <c r="AD97" s="197"/>
    </row>
    <row r="98" spans="2:30" ht="15.75" thickBot="1" x14ac:dyDescent="0.3">
      <c r="B98" s="297" t="s">
        <v>173</v>
      </c>
      <c r="C98" s="298" t="s">
        <v>79</v>
      </c>
      <c r="D98" s="298" t="s">
        <v>149</v>
      </c>
      <c r="E98" s="616"/>
      <c r="F98" s="616"/>
      <c r="G98" s="593"/>
      <c r="H98" s="596"/>
      <c r="I98" s="597"/>
      <c r="J98" s="600"/>
      <c r="K98" s="602"/>
      <c r="L98" s="602"/>
      <c r="M98" s="602"/>
      <c r="N98" s="606"/>
      <c r="O98" s="606"/>
      <c r="P98" s="480" t="str">
        <f>CONCATENATE("(APF ",U97,")")</f>
        <v>(APF 10)</v>
      </c>
      <c r="Q98" s="480" t="str">
        <f>CONCATENATE("(APF ",V97,")")</f>
        <v>(APF 10)</v>
      </c>
      <c r="R98" s="480" t="str">
        <f>CONCATENATE("(APF ",W97,")")</f>
        <v>(APF 10)</v>
      </c>
      <c r="S98" s="480" t="str">
        <f>CONCATENATE("(APF ",X97,")")</f>
        <v>(APF 50)</v>
      </c>
      <c r="U98" s="199" t="s">
        <v>152</v>
      </c>
      <c r="V98" s="200" t="s">
        <v>152</v>
      </c>
      <c r="W98" s="200" t="s">
        <v>152</v>
      </c>
      <c r="X98" s="201" t="s">
        <v>152</v>
      </c>
    </row>
    <row r="99" spans="2:30" ht="15.75" thickBot="1" x14ac:dyDescent="0.3">
      <c r="B99" s="297" t="s">
        <v>177</v>
      </c>
      <c r="C99" s="298" t="s">
        <v>79</v>
      </c>
      <c r="D99" s="298" t="s">
        <v>149</v>
      </c>
      <c r="E99" s="616"/>
      <c r="F99" s="616"/>
      <c r="G99" s="592" t="s">
        <v>178</v>
      </c>
      <c r="H99" s="596"/>
      <c r="I99" s="595" t="s">
        <v>126</v>
      </c>
      <c r="J99" s="598" t="s">
        <v>80</v>
      </c>
      <c r="K99" s="601">
        <f>IFERROR(VLOOKUP($D99,$Z$9:$AD$10,2,FALSE)/IF($D99="Inhalation",IF($J99="Central Tendency",SUMIFS('Inhalation Exposure'!$K$6:$K$65,'Inhalation Exposure'!$B$6:$B$65,$B99,'Inhalation Exposure'!$D$6:$D$65,$C99),SUMIFS('Inhalation Exposure'!$J$6:$J$65,'Inhalation Exposure'!$B$6:$B$65,$B99,'Inhalation Exposure'!$D$6:$D$65,$C99)),IF($J99="Central Tendency",VLOOKUP($B99,'Dermal Exposure'!$A$6:$T$34,17,FALSE),VLOOKUP($B99,'Dermal Exposure'!$A$6:$T$34,11,FALSE))),"--")</f>
        <v>20.925882352941173</v>
      </c>
      <c r="L99" s="601">
        <f>IFERROR(VLOOKUP($D99,$Z$9:$AD$10,3,FALSE)/IF($D99="Inhalation",IF($J99="Central Tendency",SUMIFS('Inhalation Exposure'!$M$6:$M$65,'Inhalation Exposure'!$B$6:$B$65,$B99,'Inhalation Exposure'!$D$6:$D$65,$C99),SUMIFS('Inhalation Exposure'!$L$6:$L$65,'Inhalation Exposure'!$B$6:$B$65,$B99,'Inhalation Exposure'!$D$6:$D$65,$C99)),IF($J99="Central Tendency",VLOOKUP($B99,'Dermal Exposure'!$A$6:$T$34,18,FALSE),VLOOKUP($B99,'Dermal Exposure'!$A$6:$T$34,12,FALSE))),"--")</f>
        <v>61.315508021390372</v>
      </c>
      <c r="M99" s="601">
        <f>IFERROR(VLOOKUP($D99,$Z$9:$AD$10,4,FALSE)/IF($D99="Inhalation",IF($J99="Central Tendency",SUMIFS('Inhalation Exposure'!$O$6:$O$65,'Inhalation Exposure'!$B$6:$B$65,$B99,'Inhalation Exposure'!$D$6:$D$65,$C99),SUMIFS('Inhalation Exposure'!$N$6:$N$65,'Inhalation Exposure'!$B$6:$B$65,$B99,'Inhalation Exposure'!$D$6:$D$65,$C99)),IF($J99="Central Tendency",VLOOKUP($B99,'Dermal Exposure'!$A$6:$T$34,19,FALSE),VLOOKUP($B99,'Dermal Exposure'!$A$6:$T$34,13,FALSE))),"--")</f>
        <v>65.648470588235298</v>
      </c>
      <c r="N99" s="605">
        <f>IFERROR(VLOOKUP(D99,$Z$9:$AD$10,5,FALSE)*IF($D99="Inhalation",IF($J99="Central Tendency",SUMIFS('Inhalation Exposure'!$Q$6:$Q$65,'Inhalation Exposure'!$B$6:$B$65,$B99,'Inhalation Exposure'!$D$6:$D$65,$C99),SUMIFS('Inhalation Exposure'!$P$6:$P$65,'Inhalation Exposure'!$B$6:$B$65,$B99,'Inhalation Exposure'!$D$6:$D$65,$C99)),IF($J99="Central Tendency",VLOOKUP($B99,'Dermal Exposure'!$A$6:$T$34,20,FALSE),VLOOKUP($B99,'Dermal Exposure'!$A$6:$T$34,14,FALSE))),"--")</f>
        <v>9.1294332977307543E-4</v>
      </c>
      <c r="O99" s="605">
        <f>IFERROR(VLOOKUP(D99,$Z$9:$AD$10,5,FALSE)*IF($D99="Inhalation",IF($J99="Central Tendency",SUMIFS('Inhalation Exposure'!$S$6:$S$65,'Inhalation Exposure'!$B$6:$B$65,$B99,'Inhalation Exposure'!$D$6:$D$65,$C99),SUMIFS('Inhalation Exposure'!$R$6:$R$65,'Inhalation Exposure'!$B$6:$B$65,$B99,'Inhalation Exposure'!$D$6:$D$65,$C99)),IF($J99="Central Tendency",VLOOKUP($B99,'Dermal Exposure'!$A$6:$U$34,21,FALSE),VLOOKUP($B99,'Dermal Exposure'!$A$6:$U$34,15,FALSE))),"--")</f>
        <v>2.8860789134761743E-4</v>
      </c>
      <c r="P99" s="481"/>
      <c r="Q99" s="481"/>
      <c r="R99" s="481"/>
      <c r="S99" s="481"/>
      <c r="U99" s="191"/>
      <c r="V99" s="192"/>
      <c r="W99" s="192"/>
      <c r="X99" s="193"/>
    </row>
    <row r="100" spans="2:30" ht="15.75" thickBot="1" x14ac:dyDescent="0.3">
      <c r="B100" s="297" t="s">
        <v>177</v>
      </c>
      <c r="C100" s="298" t="s">
        <v>79</v>
      </c>
      <c r="D100" s="298" t="s">
        <v>149</v>
      </c>
      <c r="E100" s="616"/>
      <c r="F100" s="616"/>
      <c r="G100" s="593"/>
      <c r="H100" s="596"/>
      <c r="I100" s="596"/>
      <c r="J100" s="599"/>
      <c r="K100" s="602"/>
      <c r="L100" s="602"/>
      <c r="M100" s="602"/>
      <c r="N100" s="606"/>
      <c r="O100" s="606"/>
      <c r="P100" s="481"/>
      <c r="Q100" s="481"/>
      <c r="R100" s="481"/>
      <c r="S100" s="481"/>
      <c r="U100" s="191"/>
      <c r="V100" s="192"/>
      <c r="W100" s="192"/>
      <c r="X100" s="193"/>
    </row>
    <row r="101" spans="2:30" ht="15.75" thickBot="1" x14ac:dyDescent="0.3">
      <c r="B101" s="297" t="s">
        <v>177</v>
      </c>
      <c r="C101" s="298" t="s">
        <v>79</v>
      </c>
      <c r="D101" s="298" t="s">
        <v>149</v>
      </c>
      <c r="E101" s="616"/>
      <c r="F101" s="616"/>
      <c r="G101" s="593"/>
      <c r="H101" s="596"/>
      <c r="I101" s="596"/>
      <c r="J101" s="598" t="s">
        <v>153</v>
      </c>
      <c r="K101" s="601">
        <f>IFERROR(VLOOKUP($D101,$Z$9:$AD$10,2,FALSE)/IF($D101="Inhalation",IF($J101="Central Tendency",SUMIFS('Inhalation Exposure'!$K$6:$K$65,'Inhalation Exposure'!$B$6:$B$65,$B101,'Inhalation Exposure'!$D$6:$D$65,$C101),SUMIFS('Inhalation Exposure'!$J$6:$J$65,'Inhalation Exposure'!$B$6:$B$65,$B101,'Inhalation Exposure'!$D$6:$D$65,$C101)),IF($J101="Central Tendency",VLOOKUP($B101,'Dermal Exposure'!$A$6:$T$34,17,FALSE),VLOOKUP($B101,'Dermal Exposure'!$A$6:$T$34,11,FALSE))),"--")</f>
        <v>1.546695652173913</v>
      </c>
      <c r="L101" s="601">
        <f>IFERROR(VLOOKUP($D101,$Z$9:$AD$10,3,FALSE)/IF($D101="Inhalation",IF($J101="Central Tendency",SUMIFS('Inhalation Exposure'!$M$6:$M$65,'Inhalation Exposure'!$B$6:$B$65,$B101,'Inhalation Exposure'!$D$6:$D$65,$C101),SUMIFS('Inhalation Exposure'!$L$6:$L$65,'Inhalation Exposure'!$B$6:$B$65,$B101,'Inhalation Exposure'!$D$6:$D$65,$C101)),IF($J101="Central Tendency",VLOOKUP($B101,'Dermal Exposure'!$A$6:$T$34,18,FALSE),VLOOKUP($B101,'Dermal Exposure'!$A$6:$T$34,12,FALSE))),"--")</f>
        <v>4.5320158102766799</v>
      </c>
      <c r="M101" s="601">
        <f>IFERROR(VLOOKUP($D101,$Z$9:$AD$10,4,FALSE)/IF($D101="Inhalation",IF($J101="Central Tendency",SUMIFS('Inhalation Exposure'!$O$6:$O$65,'Inhalation Exposure'!$B$6:$B$65,$B101,'Inhalation Exposure'!$D$6:$D$65,$C101),SUMIFS('Inhalation Exposure'!$N$6:$N$65,'Inhalation Exposure'!$B$6:$B$65,$B101,'Inhalation Exposure'!$D$6:$D$65,$C101)),IF($J101="Central Tendency",VLOOKUP($B101,'Dermal Exposure'!$A$6:$T$34,19,FALSE),VLOOKUP($B101,'Dermal Exposure'!$A$6:$T$34,13,FALSE))),"--")</f>
        <v>4.8522782608695652</v>
      </c>
      <c r="N101" s="605">
        <f>IFERROR(VLOOKUP(D101,$Z$9:$AD$10,5,FALSE)*IF($D101="Inhalation",IF($J101="Central Tendency",SUMIFS('Inhalation Exposure'!$Q$6:$Q$65,'Inhalation Exposure'!$B$6:$B$65,$B101,'Inhalation Exposure'!$D$6:$D$65,$C101),SUMIFS('Inhalation Exposure'!$P$6:$P$65,'Inhalation Exposure'!$B$6:$B$65,$B101,'Inhalation Exposure'!$D$6:$D$65,$C101)),IF($J101="Central Tendency",VLOOKUP($B101,'Dermal Exposure'!$A$6:$T$34,20,FALSE),VLOOKUP($B101,'Dermal Exposure'!$A$6:$T$34,14,FALSE))),"--")</f>
        <v>1.5937530614634335E-2</v>
      </c>
      <c r="O101" s="605">
        <f>IFERROR(VLOOKUP(D101,$Z$9:$AD$10,5,FALSE)*IF($D101="Inhalation",IF($J101="Central Tendency",SUMIFS('Inhalation Exposure'!$S$6:$S$65,'Inhalation Exposure'!$B$6:$B$65,$B101,'Inhalation Exposure'!$D$6:$D$65,$C101),SUMIFS('Inhalation Exposure'!$R$6:$R$65,'Inhalation Exposure'!$B$6:$B$65,$B101,'Inhalation Exposure'!$D$6:$D$65,$C101)),IF($J101="Central Tendency",VLOOKUP($B101,'Dermal Exposure'!$A$6:$U$34,21,FALSE),VLOOKUP($B101,'Dermal Exposure'!$A$6:$U$34,15,FALSE))),"--")</f>
        <v>1.3148462757073326E-2</v>
      </c>
      <c r="P101" s="481"/>
      <c r="Q101" s="481"/>
      <c r="R101" s="481"/>
      <c r="S101" s="481"/>
      <c r="U101" s="191"/>
      <c r="V101" s="192"/>
      <c r="W101" s="192"/>
      <c r="X101" s="193"/>
    </row>
    <row r="102" spans="2:30" ht="15.75" thickBot="1" x14ac:dyDescent="0.3">
      <c r="B102" s="297" t="s">
        <v>177</v>
      </c>
      <c r="C102" s="298" t="s">
        <v>79</v>
      </c>
      <c r="D102" s="298" t="s">
        <v>149</v>
      </c>
      <c r="E102" s="616"/>
      <c r="F102" s="616"/>
      <c r="G102" s="593"/>
      <c r="H102" s="596"/>
      <c r="I102" s="597"/>
      <c r="J102" s="600"/>
      <c r="K102" s="602"/>
      <c r="L102" s="602"/>
      <c r="M102" s="602"/>
      <c r="N102" s="606"/>
      <c r="O102" s="606"/>
      <c r="P102" s="481"/>
      <c r="Q102" s="481"/>
      <c r="R102" s="481"/>
      <c r="S102" s="481"/>
      <c r="U102" s="191"/>
      <c r="V102" s="192"/>
      <c r="W102" s="192"/>
      <c r="X102" s="193"/>
    </row>
    <row r="103" spans="2:30" ht="15.75" thickBot="1" x14ac:dyDescent="0.3">
      <c r="B103" s="297" t="s">
        <v>179</v>
      </c>
      <c r="C103" s="298" t="s">
        <v>79</v>
      </c>
      <c r="D103" s="298" t="s">
        <v>149</v>
      </c>
      <c r="E103" s="616"/>
      <c r="F103" s="616"/>
      <c r="G103" s="592" t="s">
        <v>180</v>
      </c>
      <c r="H103" s="596"/>
      <c r="I103" s="595" t="s">
        <v>126</v>
      </c>
      <c r="J103" s="598" t="s">
        <v>80</v>
      </c>
      <c r="K103" s="601">
        <f>IFERROR(VLOOKUP($D103,$Z$9:$AD$10,2,FALSE)/IF($D103="Inhalation",IF($J103="Central Tendency",SUMIFS('Inhalation Exposure'!$K$6:$K$65,'Inhalation Exposure'!$B$6:$B$65,$B103,'Inhalation Exposure'!$D$6:$D$65,$C103),SUMIFS('Inhalation Exposure'!$J$6:$J$65,'Inhalation Exposure'!$B$6:$B$65,$B103,'Inhalation Exposure'!$D$6:$D$65,$C103)),IF($J103="Central Tendency",VLOOKUP($B103,'Dermal Exposure'!$A$6:$T$34,17,FALSE),VLOOKUP($B103,'Dermal Exposure'!$A$6:$T$34,11,FALSE))),"--")</f>
        <v>11116.874999999998</v>
      </c>
      <c r="L103" s="601">
        <f>IFERROR(VLOOKUP($D103,$Z$9:$AD$10,3,FALSE)/IF($D103="Inhalation",IF($J103="Central Tendency",SUMIFS('Inhalation Exposure'!$M$6:$M$65,'Inhalation Exposure'!$B$6:$B$65,$B103,'Inhalation Exposure'!$D$6:$D$65,$C103),SUMIFS('Inhalation Exposure'!$L$6:$L$65,'Inhalation Exposure'!$B$6:$B$65,$B103,'Inhalation Exposure'!$D$6:$D$65,$C103)),IF($J103="Central Tendency",VLOOKUP($B103,'Dermal Exposure'!$A$6:$T$34,18,FALSE),VLOOKUP($B103,'Dermal Exposure'!$A$6:$T$34,12,FALSE))),"--")</f>
        <v>32573.863636363636</v>
      </c>
      <c r="M103" s="601">
        <f>IFERROR(VLOOKUP($D103,$Z$9:$AD$10,4,FALSE)/IF($D103="Inhalation",IF($J103="Central Tendency",SUMIFS('Inhalation Exposure'!$O$6:$O$65,'Inhalation Exposure'!$B$6:$B$65,$B103,'Inhalation Exposure'!$D$6:$D$65,$C103),SUMIFS('Inhalation Exposure'!$N$6:$N$65,'Inhalation Exposure'!$B$6:$B$65,$B103,'Inhalation Exposure'!$D$6:$D$65,$C103)),IF($J103="Central Tendency",VLOOKUP($B103,'Dermal Exposure'!$A$6:$T$34,19,FALSE),VLOOKUP($B103,'Dermal Exposure'!$A$6:$T$34,13,FALSE))),"--")</f>
        <v>34875.75</v>
      </c>
      <c r="N103" s="605">
        <f>IFERROR(VLOOKUP(D103,$Z$9:$AD$10,5,FALSE)*IF($D103="Inhalation",IF($J103="Central Tendency",SUMIFS('Inhalation Exposure'!$Q$6:$Q$65,'Inhalation Exposure'!$B$6:$B$65,$B103,'Inhalation Exposure'!$D$6:$D$65,$C103),SUMIFS('Inhalation Exposure'!$P$6:$P$65,'Inhalation Exposure'!$B$6:$B$65,$B103,'Inhalation Exposure'!$D$6:$D$65,$C103)),IF($J103="Central Tendency",VLOOKUP($B103,'Dermal Exposure'!$A$6:$T$34,20,FALSE),VLOOKUP($B103,'Dermal Exposure'!$A$6:$T$34,14,FALSE))),"--")</f>
        <v>1.7184815619257891E-6</v>
      </c>
      <c r="O103" s="605">
        <f>IFERROR(VLOOKUP(D103,$Z$9:$AD$10,5,FALSE)*IF($D103="Inhalation",IF($J103="Central Tendency",SUMIFS('Inhalation Exposure'!$S$6:$S$65,'Inhalation Exposure'!$B$6:$B$65,$B103,'Inhalation Exposure'!$D$6:$D$65,$C103),SUMIFS('Inhalation Exposure'!$R$6:$R$65,'Inhalation Exposure'!$B$6:$B$65,$B103,'Inhalation Exposure'!$D$6:$D$65,$C103)),IF($J103="Central Tendency",VLOOKUP($B103,'Dermal Exposure'!$A$6:$U$34,21,FALSE),VLOOKUP($B103,'Dermal Exposure'!$A$6:$U$34,15,FALSE))),"--")</f>
        <v>5.4326191312492684E-7</v>
      </c>
      <c r="P103" s="481"/>
      <c r="Q103" s="481"/>
      <c r="R103" s="481"/>
      <c r="S103" s="481"/>
      <c r="U103" s="191"/>
      <c r="V103" s="192"/>
      <c r="W103" s="192"/>
      <c r="X103" s="193"/>
    </row>
    <row r="104" spans="2:30" ht="15.75" thickBot="1" x14ac:dyDescent="0.3">
      <c r="B104" s="297" t="s">
        <v>179</v>
      </c>
      <c r="C104" s="298" t="s">
        <v>79</v>
      </c>
      <c r="D104" s="298" t="s">
        <v>149</v>
      </c>
      <c r="E104" s="616"/>
      <c r="F104" s="616"/>
      <c r="G104" s="593"/>
      <c r="H104" s="596"/>
      <c r="I104" s="596"/>
      <c r="J104" s="599"/>
      <c r="K104" s="602"/>
      <c r="L104" s="602"/>
      <c r="M104" s="602"/>
      <c r="N104" s="606"/>
      <c r="O104" s="606"/>
      <c r="P104" s="481"/>
      <c r="Q104" s="481"/>
      <c r="R104" s="481"/>
      <c r="S104" s="481"/>
      <c r="U104" s="191"/>
      <c r="V104" s="192"/>
      <c r="W104" s="192"/>
      <c r="X104" s="193"/>
    </row>
    <row r="105" spans="2:30" ht="15.75" thickBot="1" x14ac:dyDescent="0.3">
      <c r="B105" s="297" t="s">
        <v>179</v>
      </c>
      <c r="C105" s="298" t="s">
        <v>79</v>
      </c>
      <c r="D105" s="298" t="s">
        <v>149</v>
      </c>
      <c r="E105" s="616"/>
      <c r="F105" s="616"/>
      <c r="G105" s="593"/>
      <c r="H105" s="596"/>
      <c r="I105" s="596"/>
      <c r="J105" s="598" t="s">
        <v>153</v>
      </c>
      <c r="K105" s="601">
        <f>IFERROR(VLOOKUP($D105,$Z$9:$AD$10,2,FALSE)/IF($D105="Inhalation",IF($J105="Central Tendency",SUMIFS('Inhalation Exposure'!$K$6:$K$65,'Inhalation Exposure'!$B$6:$B$65,$B105,'Inhalation Exposure'!$D$6:$D$65,$C105),SUMIFS('Inhalation Exposure'!$J$6:$J$65,'Inhalation Exposure'!$B$6:$B$65,$B105,'Inhalation Exposure'!$D$6:$D$65,$C105)),IF($J105="Central Tendency",VLOOKUP($B105,'Dermal Exposure'!$A$6:$T$34,17,FALSE),VLOOKUP($B105,'Dermal Exposure'!$A$6:$T$34,11,FALSE))),"--")</f>
        <v>1693.9999999999998</v>
      </c>
      <c r="L105" s="601">
        <f>IFERROR(VLOOKUP($D105,$Z$9:$AD$10,3,FALSE)/IF($D105="Inhalation",IF($J105="Central Tendency",SUMIFS('Inhalation Exposure'!$M$6:$M$65,'Inhalation Exposure'!$B$6:$B$65,$B105,'Inhalation Exposure'!$D$6:$D$65,$C105),SUMIFS('Inhalation Exposure'!$L$6:$L$65,'Inhalation Exposure'!$B$6:$B$65,$B105,'Inhalation Exposure'!$D$6:$D$65,$C105)),IF($J105="Central Tendency",VLOOKUP($B105,'Dermal Exposure'!$A$6:$T$34,18,FALSE),VLOOKUP($B105,'Dermal Exposure'!$A$6:$T$34,12,FALSE))),"--")</f>
        <v>4963.6363636363621</v>
      </c>
      <c r="M105" s="601">
        <f>IFERROR(VLOOKUP($D105,$Z$9:$AD$10,4,FALSE)/IF($D105="Inhalation",IF($J105="Central Tendency",SUMIFS('Inhalation Exposure'!$O$6:$O$65,'Inhalation Exposure'!$B$6:$B$65,$B105,'Inhalation Exposure'!$D$6:$D$65,$C105),SUMIFS('Inhalation Exposure'!$N$6:$N$65,'Inhalation Exposure'!$B$6:$B$65,$B105,'Inhalation Exposure'!$D$6:$D$65,$C105)),IF($J105="Central Tendency",VLOOKUP($B105,'Dermal Exposure'!$A$6:$T$34,19,FALSE),VLOOKUP($B105,'Dermal Exposure'!$A$6:$T$34,13,FALSE))),"--")</f>
        <v>5314.4000000000005</v>
      </c>
      <c r="N105" s="605">
        <f>IFERROR(VLOOKUP(D105,$Z$9:$AD$10,5,FALSE)*IF($D105="Inhalation",IF($J105="Central Tendency",SUMIFS('Inhalation Exposure'!$Q$6:$Q$65,'Inhalation Exposure'!$B$6:$B$65,$B105,'Inhalation Exposure'!$D$6:$D$65,$C105),SUMIFS('Inhalation Exposure'!$P$6:$P$65,'Inhalation Exposure'!$B$6:$B$65,$B105,'Inhalation Exposure'!$D$6:$D$65,$C105)),IF($J105="Central Tendency",VLOOKUP($B105,'Dermal Exposure'!$A$6:$T$34,20,FALSE),VLOOKUP($B105,'Dermal Exposure'!$A$6:$T$34,14,FALSE))),"--")</f>
        <v>1.4551658387274827E-5</v>
      </c>
      <c r="O105" s="605">
        <f>IFERROR(VLOOKUP(D105,$Z$9:$AD$10,5,FALSE)*IF($D105="Inhalation",IF($J105="Central Tendency",SUMIFS('Inhalation Exposure'!$S$6:$S$65,'Inhalation Exposure'!$B$6:$B$65,$B105,'Inhalation Exposure'!$D$6:$D$65,$C105),SUMIFS('Inhalation Exposure'!$R$6:$R$65,'Inhalation Exposure'!$B$6:$B$65,$B105,'Inhalation Exposure'!$D$6:$D$65,$C105)),IF($J105="Central Tendency",VLOOKUP($B105,'Dermal Exposure'!$A$6:$U$34,21,FALSE),VLOOKUP($B105,'Dermal Exposure'!$A$6:$U$34,15,FALSE))),"--")</f>
        <v>1.2005118169501732E-5</v>
      </c>
      <c r="P105" s="481"/>
      <c r="Q105" s="481"/>
      <c r="R105" s="481"/>
      <c r="S105" s="481"/>
      <c r="U105" s="191"/>
      <c r="V105" s="192"/>
      <c r="W105" s="192"/>
      <c r="X105" s="193"/>
    </row>
    <row r="106" spans="2:30" ht="15.75" thickBot="1" x14ac:dyDescent="0.3">
      <c r="B106" s="297" t="s">
        <v>179</v>
      </c>
      <c r="C106" s="298" t="s">
        <v>79</v>
      </c>
      <c r="D106" s="298" t="s">
        <v>149</v>
      </c>
      <c r="E106" s="616"/>
      <c r="F106" s="616"/>
      <c r="G106" s="593"/>
      <c r="H106" s="596"/>
      <c r="I106" s="597"/>
      <c r="J106" s="600"/>
      <c r="K106" s="602"/>
      <c r="L106" s="602"/>
      <c r="M106" s="602"/>
      <c r="N106" s="606"/>
      <c r="O106" s="606"/>
      <c r="P106" s="481"/>
      <c r="Q106" s="481"/>
      <c r="R106" s="481"/>
      <c r="S106" s="481"/>
      <c r="U106" s="191"/>
      <c r="V106" s="192"/>
      <c r="W106" s="192"/>
      <c r="X106" s="193"/>
    </row>
    <row r="107" spans="2:30" ht="15.75" thickBot="1" x14ac:dyDescent="0.3">
      <c r="B107" s="297" t="s">
        <v>181</v>
      </c>
      <c r="C107" s="298" t="s">
        <v>79</v>
      </c>
      <c r="D107" s="298" t="s">
        <v>149</v>
      </c>
      <c r="E107" s="616"/>
      <c r="F107" s="616"/>
      <c r="G107" s="592" t="s">
        <v>182</v>
      </c>
      <c r="H107" s="596"/>
      <c r="I107" s="595" t="s">
        <v>126</v>
      </c>
      <c r="J107" s="598" t="s">
        <v>80</v>
      </c>
      <c r="K107" s="601">
        <f>IFERROR(VLOOKUP($D107,$Z$9:$AD$10,2,FALSE)/IF($D107="Inhalation",IF($J107="Central Tendency",SUMIFS('Inhalation Exposure'!$K$6:$K$65,'Inhalation Exposure'!$B$6:$B$65,$B107,'Inhalation Exposure'!$D$6:$D$65,$C107),SUMIFS('Inhalation Exposure'!$J$6:$J$65,'Inhalation Exposure'!$B$6:$B$65,$B107,'Inhalation Exposure'!$D$6:$D$65,$C107)),IF($J107="Central Tendency",VLOOKUP($B107,'Dermal Exposure'!$A$6:$T$34,17,FALSE),VLOOKUP($B107,'Dermal Exposure'!$A$6:$T$34,11,FALSE))),"--")</f>
        <v>5155.652173913044</v>
      </c>
      <c r="L107" s="601">
        <f>IFERROR(VLOOKUP($D107,$Z$9:$AD$10,3,FALSE)/IF($D107="Inhalation",IF($J107="Central Tendency",SUMIFS('Inhalation Exposure'!$M$6:$M$65,'Inhalation Exposure'!$B$6:$B$65,$B107,'Inhalation Exposure'!$D$6:$D$65,$C107),SUMIFS('Inhalation Exposure'!$L$6:$L$65,'Inhalation Exposure'!$B$6:$B$65,$B107,'Inhalation Exposure'!$D$6:$D$65,$C107)),IF($J107="Central Tendency",VLOOKUP($B107,'Dermal Exposure'!$A$6:$T$34,18,FALSE),VLOOKUP($B107,'Dermal Exposure'!$A$6:$T$34,12,FALSE))),"--")</f>
        <v>15106.719367588934</v>
      </c>
      <c r="M107" s="601">
        <f>IFERROR(VLOOKUP($D107,$Z$9:$AD$10,4,FALSE)/IF($D107="Inhalation",IF($J107="Central Tendency",SUMIFS('Inhalation Exposure'!$O$6:$O$65,'Inhalation Exposure'!$B$6:$B$65,$B107,'Inhalation Exposure'!$D$6:$D$65,$C107),SUMIFS('Inhalation Exposure'!$N$6:$N$65,'Inhalation Exposure'!$B$6:$B$65,$B107,'Inhalation Exposure'!$D$6:$D$65,$C107)),IF($J107="Central Tendency",VLOOKUP($B107,'Dermal Exposure'!$A$6:$T$34,19,FALSE),VLOOKUP($B107,'Dermal Exposure'!$A$6:$T$34,13,FALSE))),"--")</f>
        <v>16174.260869565218</v>
      </c>
      <c r="N107" s="605">
        <f>IFERROR(VLOOKUP(D107,$Z$9:$AD$10,5,FALSE)*IF($D107="Inhalation",IF($J107="Central Tendency",SUMIFS('Inhalation Exposure'!$Q$6:$Q$65,'Inhalation Exposure'!$B$6:$B$65,$B107,'Inhalation Exposure'!$D$6:$D$65,$C107),SUMIFS('Inhalation Exposure'!$P$6:$P$65,'Inhalation Exposure'!$B$6:$B$65,$B107,'Inhalation Exposure'!$D$6:$D$65,$C107)),IF($J107="Central Tendency",VLOOKUP($B107,'Dermal Exposure'!$A$6:$T$34,20,FALSE),VLOOKUP($B107,'Dermal Exposure'!$A$6:$T$34,14,FALSE))),"--")</f>
        <v>3.7054758679024824E-6</v>
      </c>
      <c r="O107" s="605">
        <f>IFERROR(VLOOKUP(D107,$Z$9:$AD$10,5,FALSE)*IF($D107="Inhalation",IF($J107="Central Tendency",SUMIFS('Inhalation Exposure'!$S$6:$S$65,'Inhalation Exposure'!$B$6:$B$65,$B107,'Inhalation Exposure'!$D$6:$D$65,$C107),SUMIFS('Inhalation Exposure'!$R$6:$R$65,'Inhalation Exposure'!$B$6:$B$65,$B107,'Inhalation Exposure'!$D$6:$D$65,$C107)),IF($J107="Central Tendency",VLOOKUP($B107,'Dermal Exposure'!$A$6:$U$34,21,FALSE),VLOOKUP($B107,'Dermal Exposure'!$A$6:$U$34,15,FALSE))),"--")</f>
        <v>1.1714085001756236E-6</v>
      </c>
      <c r="P107" s="481"/>
      <c r="Q107" s="481"/>
      <c r="R107" s="481"/>
      <c r="S107" s="481"/>
      <c r="U107" s="191"/>
      <c r="V107" s="192"/>
      <c r="W107" s="192"/>
      <c r="X107" s="193"/>
    </row>
    <row r="108" spans="2:30" ht="15.75" thickBot="1" x14ac:dyDescent="0.3">
      <c r="B108" s="297" t="s">
        <v>181</v>
      </c>
      <c r="C108" s="298" t="s">
        <v>79</v>
      </c>
      <c r="D108" s="298" t="s">
        <v>149</v>
      </c>
      <c r="E108" s="616"/>
      <c r="F108" s="616"/>
      <c r="G108" s="593"/>
      <c r="H108" s="596"/>
      <c r="I108" s="596"/>
      <c r="J108" s="599"/>
      <c r="K108" s="602"/>
      <c r="L108" s="602"/>
      <c r="M108" s="602"/>
      <c r="N108" s="606"/>
      <c r="O108" s="606"/>
      <c r="P108" s="481"/>
      <c r="Q108" s="481"/>
      <c r="R108" s="481"/>
      <c r="S108" s="481"/>
      <c r="U108" s="191"/>
      <c r="V108" s="192"/>
      <c r="W108" s="192"/>
      <c r="X108" s="193"/>
    </row>
    <row r="109" spans="2:30" ht="15.75" thickBot="1" x14ac:dyDescent="0.3">
      <c r="B109" s="297" t="s">
        <v>181</v>
      </c>
      <c r="C109" s="298" t="s">
        <v>79</v>
      </c>
      <c r="D109" s="298" t="s">
        <v>149</v>
      </c>
      <c r="E109" s="616"/>
      <c r="F109" s="616"/>
      <c r="G109" s="593"/>
      <c r="H109" s="596"/>
      <c r="I109" s="596"/>
      <c r="J109" s="598" t="s">
        <v>153</v>
      </c>
      <c r="K109" s="601">
        <f>IFERROR(VLOOKUP($D109,$Z$9:$AD$10,2,FALSE)/IF($D109="Inhalation",IF($J109="Central Tendency",SUMIFS('Inhalation Exposure'!$K$6:$K$65,'Inhalation Exposure'!$B$6:$B$65,$B109,'Inhalation Exposure'!$D$6:$D$65,$C109),SUMIFS('Inhalation Exposure'!$J$6:$J$65,'Inhalation Exposure'!$B$6:$B$65,$B109,'Inhalation Exposure'!$D$6:$D$65,$C109)),IF($J109="Central Tendency",VLOOKUP($B109,'Dermal Exposure'!$A$6:$T$34,17,FALSE),VLOOKUP($B109,'Dermal Exposure'!$A$6:$T$34,11,FALSE))),"--")</f>
        <v>2371.6</v>
      </c>
      <c r="L109" s="601">
        <f>IFERROR(VLOOKUP($D109,$Z$9:$AD$10,3,FALSE)/IF($D109="Inhalation",IF($J109="Central Tendency",SUMIFS('Inhalation Exposure'!$M$6:$M$65,'Inhalation Exposure'!$B$6:$B$65,$B109,'Inhalation Exposure'!$D$6:$D$65,$C109),SUMIFS('Inhalation Exposure'!$L$6:$L$65,'Inhalation Exposure'!$B$6:$B$65,$B109,'Inhalation Exposure'!$D$6:$D$65,$C109)),IF($J109="Central Tendency",VLOOKUP($B109,'Dermal Exposure'!$A$6:$T$34,18,FALSE),VLOOKUP($B109,'Dermal Exposure'!$A$6:$T$34,12,FALSE))),"--")</f>
        <v>6949.090909090909</v>
      </c>
      <c r="M109" s="601">
        <f>IFERROR(VLOOKUP($D109,$Z$9:$AD$10,4,FALSE)/IF($D109="Inhalation",IF($J109="Central Tendency",SUMIFS('Inhalation Exposure'!$O$6:$O$65,'Inhalation Exposure'!$B$6:$B$65,$B109,'Inhalation Exposure'!$D$6:$D$65,$C109),SUMIFS('Inhalation Exposure'!$N$6:$N$65,'Inhalation Exposure'!$B$6:$B$65,$B109,'Inhalation Exposure'!$D$6:$D$65,$C109)),IF($J109="Central Tendency",VLOOKUP($B109,'Dermal Exposure'!$A$6:$T$34,19,FALSE),VLOOKUP($B109,'Dermal Exposure'!$A$6:$T$34,13,FALSE))),"--")</f>
        <v>7440.16</v>
      </c>
      <c r="N109" s="605">
        <f>IFERROR(VLOOKUP(D109,$Z$9:$AD$10,5,FALSE)*IF($D109="Inhalation",IF($J109="Central Tendency",SUMIFS('Inhalation Exposure'!$Q$6:$Q$65,'Inhalation Exposure'!$B$6:$B$65,$B109,'Inhalation Exposure'!$D$6:$D$65,$C109),SUMIFS('Inhalation Exposure'!$P$6:$P$65,'Inhalation Exposure'!$B$6:$B$65,$B109,'Inhalation Exposure'!$D$6:$D$65,$C109)),IF($J109="Central Tendency",VLOOKUP($B109,'Dermal Exposure'!$A$6:$T$34,20,FALSE),VLOOKUP($B109,'Dermal Exposure'!$A$6:$T$34,14,FALSE))),"--")</f>
        <v>1.0394041705196306E-5</v>
      </c>
      <c r="O109" s="605">
        <f>IFERROR(VLOOKUP(D109,$Z$9:$AD$10,5,FALSE)*IF($D109="Inhalation",IF($J109="Central Tendency",SUMIFS('Inhalation Exposure'!$S$6:$S$65,'Inhalation Exposure'!$B$6:$B$65,$B109,'Inhalation Exposure'!$D$6:$D$65,$C109),SUMIFS('Inhalation Exposure'!$R$6:$R$65,'Inhalation Exposure'!$B$6:$B$65,$B109,'Inhalation Exposure'!$D$6:$D$65,$C109)),IF($J109="Central Tendency",VLOOKUP($B109,'Dermal Exposure'!$A$6:$U$34,21,FALSE),VLOOKUP($B109,'Dermal Exposure'!$A$6:$U$34,15,FALSE))),"--")</f>
        <v>8.575084406786951E-6</v>
      </c>
      <c r="P109" s="481"/>
      <c r="Q109" s="481"/>
      <c r="R109" s="481"/>
      <c r="S109" s="481"/>
      <c r="U109" s="191"/>
      <c r="V109" s="192"/>
      <c r="W109" s="192"/>
      <c r="X109" s="193"/>
    </row>
    <row r="110" spans="2:30" ht="15.75" thickBot="1" x14ac:dyDescent="0.3">
      <c r="B110" s="297" t="s">
        <v>181</v>
      </c>
      <c r="C110" s="298" t="s">
        <v>79</v>
      </c>
      <c r="D110" s="298" t="s">
        <v>149</v>
      </c>
      <c r="E110" s="616"/>
      <c r="F110" s="616"/>
      <c r="G110" s="593"/>
      <c r="H110" s="596"/>
      <c r="I110" s="597"/>
      <c r="J110" s="600"/>
      <c r="K110" s="602"/>
      <c r="L110" s="602"/>
      <c r="M110" s="602"/>
      <c r="N110" s="606"/>
      <c r="O110" s="606"/>
      <c r="P110" s="481"/>
      <c r="Q110" s="481"/>
      <c r="R110" s="481"/>
      <c r="S110" s="481"/>
      <c r="U110" s="191"/>
      <c r="V110" s="192"/>
      <c r="W110" s="192"/>
      <c r="X110" s="193"/>
    </row>
    <row r="111" spans="2:30" ht="15.75" thickBot="1" x14ac:dyDescent="0.3">
      <c r="B111" s="297" t="s">
        <v>183</v>
      </c>
      <c r="C111" s="298" t="s">
        <v>79</v>
      </c>
      <c r="D111" s="298" t="s">
        <v>149</v>
      </c>
      <c r="E111" s="616"/>
      <c r="F111" s="616"/>
      <c r="G111" s="592" t="s">
        <v>184</v>
      </c>
      <c r="H111" s="596"/>
      <c r="I111" s="595" t="s">
        <v>126</v>
      </c>
      <c r="J111" s="598" t="s">
        <v>80</v>
      </c>
      <c r="K111" s="601">
        <f>IFERROR(VLOOKUP($D111,$Z$9:$AD$10,2,FALSE)/IF($D111="Inhalation",IF($J111="Central Tendency",SUMIFS('Inhalation Exposure'!$K$6:$K$65,'Inhalation Exposure'!$B$6:$B$65,$B111,'Inhalation Exposure'!$D$6:$D$65,$C111),SUMIFS('Inhalation Exposure'!$J$6:$J$65,'Inhalation Exposure'!$B$6:$B$65,$B111,'Inhalation Exposure'!$D$6:$D$65,$C111)),IF($J111="Central Tendency",VLOOKUP($B111,'Dermal Exposure'!$A$6:$T$34,17,FALSE),VLOOKUP($B111,'Dermal Exposure'!$A$6:$T$34,11,FALSE))),"--")</f>
        <v>35.573999999999998</v>
      </c>
      <c r="L111" s="601">
        <f>IFERROR(VLOOKUP($D111,$Z$9:$AD$10,3,FALSE)/IF($D111="Inhalation",IF($J111="Central Tendency",SUMIFS('Inhalation Exposure'!$M$6:$M$65,'Inhalation Exposure'!$B$6:$B$65,$B111,'Inhalation Exposure'!$D$6:$D$65,$C111),SUMIFS('Inhalation Exposure'!$L$6:$L$65,'Inhalation Exposure'!$B$6:$B$65,$B111,'Inhalation Exposure'!$D$6:$D$65,$C111)),IF($J111="Central Tendency",VLOOKUP($B111,'Dermal Exposure'!$A$6:$T$34,18,FALSE),VLOOKUP($B111,'Dermal Exposure'!$A$6:$T$34,12,FALSE))),"--")</f>
        <v>104.23636363636363</v>
      </c>
      <c r="M111" s="601">
        <f>IFERROR(VLOOKUP($D111,$Z$9:$AD$10,4,FALSE)/IF($D111="Inhalation",IF($J111="Central Tendency",SUMIFS('Inhalation Exposure'!$O$6:$O$65,'Inhalation Exposure'!$B$6:$B$65,$B111,'Inhalation Exposure'!$D$6:$D$65,$C111),SUMIFS('Inhalation Exposure'!$N$6:$N$65,'Inhalation Exposure'!$B$6:$B$65,$B111,'Inhalation Exposure'!$D$6:$D$65,$C111)),IF($J111="Central Tendency",VLOOKUP($B111,'Dermal Exposure'!$A$6:$T$34,19,FALSE),VLOOKUP($B111,'Dermal Exposure'!$A$6:$T$34,13,FALSE))),"--")</f>
        <v>111.6024</v>
      </c>
      <c r="N111" s="605">
        <f>IFERROR(VLOOKUP(D111,$Z$9:$AD$10,5,FALSE)*IF($D111="Inhalation",IF($J111="Central Tendency",SUMIFS('Inhalation Exposure'!$Q$6:$Q$65,'Inhalation Exposure'!$B$6:$B$65,$B111,'Inhalation Exposure'!$D$6:$D$65,$C111),SUMIFS('Inhalation Exposure'!$P$6:$P$65,'Inhalation Exposure'!$B$6:$B$65,$B111,'Inhalation Exposure'!$D$6:$D$65,$C111)),IF($J111="Central Tendency",VLOOKUP($B111,'Dermal Exposure'!$A$6:$T$34,20,FALSE),VLOOKUP($B111,'Dermal Exposure'!$A$6:$T$34,14,FALSE))),"--")</f>
        <v>5.3702548810180908E-4</v>
      </c>
      <c r="O111" s="605">
        <f>IFERROR(VLOOKUP(D111,$Z$9:$AD$10,5,FALSE)*IF($D111="Inhalation",IF($J111="Central Tendency",SUMIFS('Inhalation Exposure'!$S$6:$S$65,'Inhalation Exposure'!$B$6:$B$65,$B111,'Inhalation Exposure'!$D$6:$D$65,$C111),SUMIFS('Inhalation Exposure'!$R$6:$R$65,'Inhalation Exposure'!$B$6:$B$65,$B111,'Inhalation Exposure'!$D$6:$D$65,$C111)),IF($J111="Central Tendency",VLOOKUP($B111,'Dermal Exposure'!$A$6:$U$34,21,FALSE),VLOOKUP($B111,'Dermal Exposure'!$A$6:$U$34,15,FALSE))),"--")</f>
        <v>1.6976934785153965E-4</v>
      </c>
      <c r="P111" s="481"/>
      <c r="Q111" s="481"/>
      <c r="R111" s="481"/>
      <c r="S111" s="481"/>
      <c r="U111" s="191"/>
      <c r="V111" s="192"/>
      <c r="W111" s="192"/>
      <c r="X111" s="193"/>
    </row>
    <row r="112" spans="2:30" ht="15.75" thickBot="1" x14ac:dyDescent="0.3">
      <c r="B112" s="297" t="s">
        <v>183</v>
      </c>
      <c r="C112" s="298" t="s">
        <v>79</v>
      </c>
      <c r="D112" s="298" t="s">
        <v>149</v>
      </c>
      <c r="E112" s="616"/>
      <c r="F112" s="616"/>
      <c r="G112" s="593"/>
      <c r="H112" s="596"/>
      <c r="I112" s="596"/>
      <c r="J112" s="599"/>
      <c r="K112" s="602"/>
      <c r="L112" s="602"/>
      <c r="M112" s="602"/>
      <c r="N112" s="606"/>
      <c r="O112" s="606"/>
      <c r="P112" s="481"/>
      <c r="Q112" s="481"/>
      <c r="R112" s="481"/>
      <c r="S112" s="481"/>
      <c r="U112" s="191"/>
      <c r="V112" s="192"/>
      <c r="W112" s="192"/>
      <c r="X112" s="193"/>
    </row>
    <row r="113" spans="2:24" ht="15.75" thickBot="1" x14ac:dyDescent="0.3">
      <c r="B113" s="297" t="s">
        <v>183</v>
      </c>
      <c r="C113" s="298" t="s">
        <v>79</v>
      </c>
      <c r="D113" s="298" t="s">
        <v>149</v>
      </c>
      <c r="E113" s="616"/>
      <c r="F113" s="616"/>
      <c r="G113" s="593"/>
      <c r="H113" s="596"/>
      <c r="I113" s="596"/>
      <c r="J113" s="598" t="s">
        <v>153</v>
      </c>
      <c r="K113" s="601">
        <f>IFERROR(VLOOKUP($D113,$Z$9:$AD$10,2,FALSE)/IF($D113="Inhalation",IF($J113="Central Tendency",SUMIFS('Inhalation Exposure'!$K$6:$K$65,'Inhalation Exposure'!$B$6:$B$65,$B113,'Inhalation Exposure'!$D$6:$D$65,$C113),SUMIFS('Inhalation Exposure'!$J$6:$J$65,'Inhalation Exposure'!$B$6:$B$65,$B113,'Inhalation Exposure'!$D$6:$D$65,$C113)),IF($J113="Central Tendency",VLOOKUP($B113,'Dermal Exposure'!$A$6:$T$34,17,FALSE),VLOOKUP($B113,'Dermal Exposure'!$A$6:$T$34,11,FALSE))),"--")</f>
        <v>2.5778260869565219</v>
      </c>
      <c r="L113" s="601">
        <f>IFERROR(VLOOKUP($D113,$Z$9:$AD$10,3,FALSE)/IF($D113="Inhalation",IF($J113="Central Tendency",SUMIFS('Inhalation Exposure'!$M$6:$M$65,'Inhalation Exposure'!$B$6:$B$65,$B113,'Inhalation Exposure'!$D$6:$D$65,$C113),SUMIFS('Inhalation Exposure'!$L$6:$L$65,'Inhalation Exposure'!$B$6:$B$65,$B113,'Inhalation Exposure'!$D$6:$D$65,$C113)),IF($J113="Central Tendency",VLOOKUP($B113,'Dermal Exposure'!$A$6:$T$34,18,FALSE),VLOOKUP($B113,'Dermal Exposure'!$A$6:$T$34,12,FALSE))),"--")</f>
        <v>7.5533596837944668</v>
      </c>
      <c r="M113" s="601">
        <f>IFERROR(VLOOKUP($D113,$Z$9:$AD$10,4,FALSE)/IF($D113="Inhalation",IF($J113="Central Tendency",SUMIFS('Inhalation Exposure'!$O$6:$O$65,'Inhalation Exposure'!$B$6:$B$65,$B113,'Inhalation Exposure'!$D$6:$D$65,$C113),SUMIFS('Inhalation Exposure'!$N$6:$N$65,'Inhalation Exposure'!$B$6:$B$65,$B113,'Inhalation Exposure'!$D$6:$D$65,$C113)),IF($J113="Central Tendency",VLOOKUP($B113,'Dermal Exposure'!$A$6:$T$34,19,FALSE),VLOOKUP($B113,'Dermal Exposure'!$A$6:$T$34,13,FALSE))),"--")</f>
        <v>8.0871304347826083</v>
      </c>
      <c r="N113" s="605">
        <f>IFERROR(VLOOKUP(D113,$Z$9:$AD$10,5,FALSE)*IF($D113="Inhalation",IF($J113="Central Tendency",SUMIFS('Inhalation Exposure'!$Q$6:$Q$65,'Inhalation Exposure'!$B$6:$B$65,$B113,'Inhalation Exposure'!$D$6:$D$65,$C113),SUMIFS('Inhalation Exposure'!$P$6:$P$65,'Inhalation Exposure'!$B$6:$B$65,$B113,'Inhalation Exposure'!$D$6:$D$65,$C113)),IF($J113="Central Tendency",VLOOKUP($B113,'Dermal Exposure'!$A$6:$T$34,20,FALSE),VLOOKUP($B113,'Dermal Exposure'!$A$6:$T$34,14,FALSE))),"--")</f>
        <v>9.5625183687805988E-3</v>
      </c>
      <c r="O113" s="605">
        <f>IFERROR(VLOOKUP(D113,$Z$9:$AD$10,5,FALSE)*IF($D113="Inhalation",IF($J113="Central Tendency",SUMIFS('Inhalation Exposure'!$S$6:$S$65,'Inhalation Exposure'!$B$6:$B$65,$B113,'Inhalation Exposure'!$D$6:$D$65,$C113),SUMIFS('Inhalation Exposure'!$R$6:$R$65,'Inhalation Exposure'!$B$6:$B$65,$B113,'Inhalation Exposure'!$D$6:$D$65,$C113)),IF($J113="Central Tendency",VLOOKUP($B113,'Dermal Exposure'!$A$6:$U$34,21,FALSE),VLOOKUP($B113,'Dermal Exposure'!$A$6:$U$34,15,FALSE))),"--")</f>
        <v>7.8890776542439971E-3</v>
      </c>
      <c r="P113" s="481"/>
      <c r="Q113" s="481"/>
      <c r="R113" s="481"/>
      <c r="S113" s="481"/>
      <c r="U113" s="191"/>
      <c r="V113" s="192"/>
      <c r="W113" s="192"/>
      <c r="X113" s="193"/>
    </row>
    <row r="114" spans="2:24" ht="15.75" thickBot="1" x14ac:dyDescent="0.3">
      <c r="B114" s="297" t="s">
        <v>183</v>
      </c>
      <c r="C114" s="298" t="s">
        <v>79</v>
      </c>
      <c r="D114" s="298" t="s">
        <v>149</v>
      </c>
      <c r="E114" s="616"/>
      <c r="F114" s="616"/>
      <c r="G114" s="593"/>
      <c r="H114" s="596"/>
      <c r="I114" s="597"/>
      <c r="J114" s="611"/>
      <c r="K114" s="602"/>
      <c r="L114" s="602"/>
      <c r="M114" s="602"/>
      <c r="N114" s="606"/>
      <c r="O114" s="606"/>
      <c r="P114" s="481"/>
      <c r="Q114" s="481"/>
      <c r="R114" s="481"/>
      <c r="S114" s="481"/>
      <c r="U114" s="191"/>
      <c r="V114" s="192"/>
      <c r="W114" s="192"/>
      <c r="X114" s="193"/>
    </row>
    <row r="115" spans="2:24" ht="15.6" customHeight="1" thickTop="1" thickBot="1" x14ac:dyDescent="0.3">
      <c r="B115" s="297">
        <v>4</v>
      </c>
      <c r="C115" s="298" t="s">
        <v>79</v>
      </c>
      <c r="D115" s="298" t="s">
        <v>59</v>
      </c>
      <c r="E115" s="616"/>
      <c r="F115" s="616"/>
      <c r="G115" s="592" t="s">
        <v>185</v>
      </c>
      <c r="H115" s="596"/>
      <c r="I115" s="609" t="s">
        <v>59</v>
      </c>
      <c r="J115" s="595" t="s">
        <v>80</v>
      </c>
      <c r="K115" s="601">
        <f>IFERROR(VLOOKUP($D115,$Z$9:$AD$10,2,FALSE)/IF($D115="Inhalation",IF($J115="Central Tendency",SUMIFS('Inhalation Exposure'!$K$6:$K$65,'Inhalation Exposure'!$B$6:$B$65,$B115,'Inhalation Exposure'!$D$6:$D$65,$C115),SUMIFS('Inhalation Exposure'!$J$6:$J$65,'Inhalation Exposure'!$B$6:$B$65,$B115,'Inhalation Exposure'!$D$6:$D$65,$C115)),IF($J115="Central Tendency",VLOOKUP($B115,'Dermal Exposure'!$A$6:$T$34,17,FALSE),VLOOKUP($B115,'Dermal Exposure'!$A$6:$T$34,11,FALSE))),"--")</f>
        <v>497.05560242803324</v>
      </c>
      <c r="L115" s="601">
        <f>IFERROR(VLOOKUP($D115,$Z$9:$AD$10,3,FALSE)/IF($D115="Inhalation",IF($J115="Central Tendency",SUMIFS('Inhalation Exposure'!$M$6:$M$65,'Inhalation Exposure'!$B$6:$B$65,$B115,'Inhalation Exposure'!$D$6:$D$65,$C115),SUMIFS('Inhalation Exposure'!$L$6:$L$65,'Inhalation Exposure'!$B$6:$B$65,$B115,'Inhalation Exposure'!$D$6:$D$65,$C115)),IF($J115="Central Tendency",VLOOKUP($B115,'Dermal Exposure'!$A$6:$T$34,18,FALSE),VLOOKUP($B115,'Dermal Exposure'!$A$6:$T$34,12,FALSE))),"--")</f>
        <v>221.39297047388416</v>
      </c>
      <c r="M115" s="601">
        <f>IFERROR(VLOOKUP($D115,$Z$9:$AD$10,4,FALSE)/IF($D115="Inhalation",IF($J115="Central Tendency",SUMIFS('Inhalation Exposure'!$O$6:$O$65,'Inhalation Exposure'!$B$6:$B$65,$B115,'Inhalation Exposure'!$D$6:$D$65,$C115),SUMIFS('Inhalation Exposure'!$N$6:$N$65,'Inhalation Exposure'!$B$6:$B$65,$B115,'Inhalation Exposure'!$D$6:$D$65,$C115)),IF($J115="Central Tendency",VLOOKUP($B115,'Dermal Exposure'!$A$6:$T$34,19,FALSE),VLOOKUP($B115,'Dermal Exposure'!$A$6:$T$34,13,FALSE))),"--")</f>
        <v>237.03807372070531</v>
      </c>
      <c r="N115" s="605">
        <f>IFERROR(VLOOKUP(D115,$Z$9:$AD$10,5,FALSE)*IF($D115="Inhalation",IF($J115="Central Tendency",SUMIFS('Inhalation Exposure'!$Q$6:$Q$65,'Inhalation Exposure'!$B$6:$B$65,$B115,'Inhalation Exposure'!$D$6:$D$65,$C115),SUMIFS('Inhalation Exposure'!$P$6:$P$65,'Inhalation Exposure'!$B$6:$B$65,$B115,'Inhalation Exposure'!$D$6:$D$65,$C115)),IF($J115="Central Tendency",VLOOKUP($B115,'Dermal Exposure'!$A$6:$T$34,20,FALSE),VLOOKUP($B115,'Dermal Exposure'!$A$6:$T$34,14,FALSE))),"--")</f>
        <v>4.0016403597710763E-4</v>
      </c>
      <c r="O115" s="605">
        <f>IFERROR(VLOOKUP(D115,$Z$9:$AD$10,5,FALSE)*IF($D115="Inhalation",IF($J115="Central Tendency",SUMIFS('Inhalation Exposure'!$S$6:$S$65,'Inhalation Exposure'!$B$6:$B$65,$B115,'Inhalation Exposure'!$D$6:$D$65,$C115),SUMIFS('Inhalation Exposure'!$R$6:$R$65,'Inhalation Exposure'!$B$6:$B$65,$B115,'Inhalation Exposure'!$D$6:$D$65,$C115)),IF($J115="Central Tendency",VLOOKUP($B115,'Dermal Exposure'!$A$6:$U$34,21,FALSE),VLOOKUP($B115,'Dermal Exposure'!$A$6:$U$34,15,FALSE))),"--")</f>
        <v>2.7698899308599786E-4</v>
      </c>
      <c r="P115" s="183">
        <f>IFERROR(K115*U115, "--")</f>
        <v>2485.2780121401661</v>
      </c>
      <c r="Q115" s="183">
        <f>IFERROR(L115*V115, "--")</f>
        <v>1106.9648523694209</v>
      </c>
      <c r="R115" s="183">
        <f>IFERROR(M115*W115, "--")</f>
        <v>1185.1903686035266</v>
      </c>
      <c r="S115" s="202">
        <f>IFERROR(N115/X115, "--")</f>
        <v>8.0032807195421529E-5</v>
      </c>
      <c r="U115" s="191">
        <v>5</v>
      </c>
      <c r="V115" s="192">
        <v>5</v>
      </c>
      <c r="W115" s="192">
        <v>5</v>
      </c>
      <c r="X115" s="193">
        <v>5</v>
      </c>
    </row>
    <row r="116" spans="2:24" ht="15.75" thickBot="1" x14ac:dyDescent="0.3">
      <c r="B116" s="297">
        <v>4</v>
      </c>
      <c r="C116" s="298" t="s">
        <v>79</v>
      </c>
      <c r="D116" s="298" t="s">
        <v>59</v>
      </c>
      <c r="E116" s="616"/>
      <c r="F116" s="616"/>
      <c r="G116" s="593"/>
      <c r="H116" s="596"/>
      <c r="I116" s="596"/>
      <c r="J116" s="610"/>
      <c r="K116" s="602"/>
      <c r="L116" s="602"/>
      <c r="M116" s="602"/>
      <c r="N116" s="606"/>
      <c r="O116" s="606"/>
      <c r="P116" s="183" t="str">
        <f>CONCATENATE("(PF ",U115,")")</f>
        <v>(PF 5)</v>
      </c>
      <c r="Q116" s="183" t="str">
        <f>CONCATENATE("(PF ",V115,")")</f>
        <v>(PF 5)</v>
      </c>
      <c r="R116" s="183" t="str">
        <f>CONCATENATE("(PF ",W115,")")</f>
        <v>(PF 5)</v>
      </c>
      <c r="S116" s="202" t="str">
        <f>CONCATENATE("(PF ",X115,")")</f>
        <v>(PF 5)</v>
      </c>
      <c r="U116" s="199" t="s">
        <v>161</v>
      </c>
      <c r="V116" s="200" t="s">
        <v>161</v>
      </c>
      <c r="W116" s="200" t="s">
        <v>161</v>
      </c>
      <c r="X116" s="201" t="s">
        <v>161</v>
      </c>
    </row>
    <row r="117" spans="2:24" ht="15.75" thickBot="1" x14ac:dyDescent="0.3">
      <c r="B117" s="297">
        <v>4</v>
      </c>
      <c r="C117" s="298" t="s">
        <v>79</v>
      </c>
      <c r="D117" s="298" t="s">
        <v>59</v>
      </c>
      <c r="E117" s="616"/>
      <c r="F117" s="616"/>
      <c r="G117" s="593"/>
      <c r="H117" s="596"/>
      <c r="I117" s="596"/>
      <c r="J117" s="611" t="s">
        <v>153</v>
      </c>
      <c r="K117" s="601">
        <f>IFERROR(VLOOKUP($D117,$Z$9:$AD$10,2,FALSE)/IF($D117="Inhalation",IF($J117="Central Tendency",SUMIFS('Inhalation Exposure'!$K$6:$K$65,'Inhalation Exposure'!$B$6:$B$65,$B117,'Inhalation Exposure'!$D$6:$D$65,$C117),SUMIFS('Inhalation Exposure'!$J$6:$J$65,'Inhalation Exposure'!$B$6:$B$65,$B117,'Inhalation Exposure'!$D$6:$D$65,$C117)),IF($J117="Central Tendency",VLOOKUP($B117,'Dermal Exposure'!$A$6:$T$34,17,FALSE),VLOOKUP($B117,'Dermal Exposure'!$A$6:$T$34,11,FALSE))),"--")</f>
        <v>290.41831381067004</v>
      </c>
      <c r="L117" s="601">
        <f>IFERROR(VLOOKUP($D117,$Z$9:$AD$10,3,FALSE)/IF($D117="Inhalation",IF($J117="Central Tendency",SUMIFS('Inhalation Exposure'!$M$6:$M$65,'Inhalation Exposure'!$B$6:$B$65,$B117,'Inhalation Exposure'!$D$6:$D$65,$C117),SUMIFS('Inhalation Exposure'!$L$6:$L$65,'Inhalation Exposure'!$B$6:$B$65,$B117,'Inhalation Exposure'!$D$6:$D$65,$C117)),IF($J117="Central Tendency",VLOOKUP($B117,'Dermal Exposure'!$A$6:$T$34,18,FALSE),VLOOKUP($B117,'Dermal Exposure'!$A$6:$T$34,12,FALSE))),"--")</f>
        <v>129.35489080192016</v>
      </c>
      <c r="M117" s="601">
        <f>IFERROR(VLOOKUP($D117,$Z$9:$AD$10,4,FALSE)/IF($D117="Inhalation",IF($J117="Central Tendency",SUMIFS('Inhalation Exposure'!$O$6:$O$65,'Inhalation Exposure'!$B$6:$B$65,$B117,'Inhalation Exposure'!$D$6:$D$65,$C117),SUMIFS('Inhalation Exposure'!$N$6:$N$65,'Inhalation Exposure'!$B$6:$B$65,$B117,'Inhalation Exposure'!$D$6:$D$65,$C117)),IF($J117="Central Tendency",VLOOKUP($B117,'Dermal Exposure'!$A$6:$T$34,19,FALSE),VLOOKUP($B117,'Dermal Exposure'!$A$6:$T$34,13,FALSE))),"--")</f>
        <v>138.49596975192256</v>
      </c>
      <c r="N117" s="605">
        <f>IFERROR(VLOOKUP(D117,$Z$9:$AD$10,5,FALSE)*IF($D117="Inhalation",IF($J117="Central Tendency",SUMIFS('Inhalation Exposure'!$Q$6:$Q$65,'Inhalation Exposure'!$B$6:$B$65,$B117,'Inhalation Exposure'!$D$6:$D$65,$C117),SUMIFS('Inhalation Exposure'!$P$6:$P$65,'Inhalation Exposure'!$B$6:$B$65,$B117,'Inhalation Exposure'!$D$6:$D$65,$C117)),IF($J117="Central Tendency",VLOOKUP($B117,'Dermal Exposure'!$A$6:$T$34,20,FALSE),VLOOKUP($B117,'Dermal Exposure'!$A$6:$T$34,14,FALSE))),"--")</f>
        <v>7.8168056984073394E-4</v>
      </c>
      <c r="O117" s="605">
        <f>IFERROR(VLOOKUP(D117,$Z$9:$AD$10,5,FALSE)*IF($D117="Inhalation",IF($J117="Central Tendency",SUMIFS('Inhalation Exposure'!$S$6:$S$65,'Inhalation Exposure'!$B$6:$B$65,$B117,'Inhalation Exposure'!$D$6:$D$65,$C117),SUMIFS('Inhalation Exposure'!$R$6:$R$65,'Inhalation Exposure'!$B$6:$B$65,$B117,'Inhalation Exposure'!$D$6:$D$65,$C117)),IF($J117="Central Tendency",VLOOKUP($B117,'Dermal Exposure'!$A$6:$U$34,21,FALSE),VLOOKUP($B117,'Dermal Exposure'!$A$6:$U$34,15,FALSE))),"--")</f>
        <v>5.8955679137175142E-4</v>
      </c>
      <c r="P117" s="476">
        <f>IFERROR(K117*U117, "--")</f>
        <v>1452.0915690533502</v>
      </c>
      <c r="Q117" s="476">
        <f>IFERROR(L117*V117, "--")</f>
        <v>646.77445400960084</v>
      </c>
      <c r="R117" s="476">
        <f>IFERROR(M117*W117, "--")</f>
        <v>692.47984875961276</v>
      </c>
      <c r="S117" s="203">
        <f>IFERROR(N117/X117, "--")</f>
        <v>1.563361139681468E-4</v>
      </c>
      <c r="U117" s="191">
        <v>5</v>
      </c>
      <c r="V117" s="192">
        <v>5</v>
      </c>
      <c r="W117" s="192">
        <v>5</v>
      </c>
      <c r="X117" s="193">
        <v>5</v>
      </c>
    </row>
    <row r="118" spans="2:24" ht="15.75" thickBot="1" x14ac:dyDescent="0.3">
      <c r="B118" s="297">
        <v>4</v>
      </c>
      <c r="C118" s="298" t="s">
        <v>79</v>
      </c>
      <c r="D118" s="298" t="s">
        <v>59</v>
      </c>
      <c r="E118" s="616"/>
      <c r="F118" s="616"/>
      <c r="G118" s="593"/>
      <c r="H118" s="596"/>
      <c r="I118" s="596"/>
      <c r="J118" s="600"/>
      <c r="K118" s="602"/>
      <c r="L118" s="602"/>
      <c r="M118" s="602"/>
      <c r="N118" s="606"/>
      <c r="O118" s="606"/>
      <c r="P118" s="480" t="str">
        <f>CONCATENATE("(PF ",U117,")")</f>
        <v>(PF 5)</v>
      </c>
      <c r="Q118" s="480" t="str">
        <f>CONCATENATE("(PF ",V117,")")</f>
        <v>(PF 5)</v>
      </c>
      <c r="R118" s="480" t="str">
        <f>CONCATENATE("(PF ",W117,")")</f>
        <v>(PF 5)</v>
      </c>
      <c r="S118" s="198" t="str">
        <f>CONCATENATE("(PF ",X117,")")</f>
        <v>(PF 5)</v>
      </c>
      <c r="U118" s="199" t="s">
        <v>161</v>
      </c>
      <c r="V118" s="200" t="s">
        <v>161</v>
      </c>
      <c r="W118" s="200" t="s">
        <v>161</v>
      </c>
      <c r="X118" s="201" t="s">
        <v>161</v>
      </c>
    </row>
    <row r="119" spans="2:24" ht="27" thickTop="1" thickBot="1" x14ac:dyDescent="0.3">
      <c r="B119" s="297">
        <v>4</v>
      </c>
      <c r="C119" s="298" t="s">
        <v>82</v>
      </c>
      <c r="D119" s="298" t="s">
        <v>149</v>
      </c>
      <c r="E119" s="616"/>
      <c r="F119" s="616"/>
      <c r="G119" s="592" t="s">
        <v>185</v>
      </c>
      <c r="H119" s="609" t="s">
        <v>82</v>
      </c>
      <c r="I119" s="609" t="s">
        <v>126</v>
      </c>
      <c r="J119" s="482" t="s">
        <v>80</v>
      </c>
      <c r="K119" s="476">
        <f>IFERROR(VLOOKUP($D119,$Z$9:$AD$10,2,FALSE)/IF($D119="Inhalation",IF($J119="Central Tendency",SUMIFS('Inhalation Exposure'!$K$6:$K$65,'Inhalation Exposure'!$B$6:$B$65,$B119,'Inhalation Exposure'!$D$6:$D$65,$C119),SUMIFS('Inhalation Exposure'!$J$6:$J$65,'Inhalation Exposure'!$B$6:$B$65,$B119,'Inhalation Exposure'!$D$6:$D$65,$C119)),IF($J119="Central Tendency",VLOOKUP($B119,'Dermal Exposure'!$A$6:$T$34,17,FALSE),VLOOKUP($B119,'Dermal Exposure'!$A$6:$T$34,11,FALSE))),"--")</f>
        <v>16940</v>
      </c>
      <c r="L119" s="476">
        <f>IFERROR(VLOOKUP($D119,$Z$9:$AD$10,3,FALSE)/IF($D119="Inhalation",IF($J119="Central Tendency",SUMIFS('Inhalation Exposure'!$M$6:$M$65,'Inhalation Exposure'!$B$6:$B$65,$B119,'Inhalation Exposure'!$D$6:$D$65,$C119),SUMIFS('Inhalation Exposure'!$L$6:$L$65,'Inhalation Exposure'!$B$6:$B$65,$B119,'Inhalation Exposure'!$D$6:$D$65,$C119)),IF($J119="Central Tendency",VLOOKUP($B119,'Dermal Exposure'!$A$6:$T$34,18,FALSE),VLOOKUP($B119,'Dermal Exposure'!$A$6:$T$34,12,FALSE))),"--")</f>
        <v>49636.36363636364</v>
      </c>
      <c r="M119" s="476">
        <f>IFERROR(VLOOKUP($D119,$Z$9:$AD$10,4,FALSE)/IF($D119="Inhalation",IF($J119="Central Tendency",SUMIFS('Inhalation Exposure'!$O$6:$O$65,'Inhalation Exposure'!$B$6:$B$65,$B119,'Inhalation Exposure'!$D$6:$D$65,$C119),SUMIFS('Inhalation Exposure'!$N$6:$N$65,'Inhalation Exposure'!$B$6:$B$65,$B119,'Inhalation Exposure'!$D$6:$D$65,$C119)),IF($J119="Central Tendency",VLOOKUP($B119,'Dermal Exposure'!$A$6:$T$34,19,FALSE),VLOOKUP($B119,'Dermal Exposure'!$A$6:$T$34,13,FALSE))),"--")</f>
        <v>53144</v>
      </c>
      <c r="N119" s="477">
        <f>IFERROR(VLOOKUP(D119,$Z$9:$AD$10,5,FALSE)*IF($D119="Inhalation",IF($J119="Central Tendency",SUMIFS('Inhalation Exposure'!$Q$6:$Q$65,'Inhalation Exposure'!$B$6:$B$65,$B119,'Inhalation Exposure'!$D$6:$D$65,$C119),SUMIFS('Inhalation Exposure'!$P$6:$P$65,'Inhalation Exposure'!$B$6:$B$65,$B119,'Inhalation Exposure'!$D$6:$D$65,$C119)),IF($J119="Central Tendency",VLOOKUP($B119,'Dermal Exposure'!$A$6:$T$34,20,FALSE),VLOOKUP($B119,'Dermal Exposure'!$A$6:$T$34,14,FALSE))),"--")</f>
        <v>1.1277535250137989E-6</v>
      </c>
      <c r="O119" s="477">
        <f>IFERROR(VLOOKUP(D119,$Z$9:$AD$10,5,FALSE)*IF($D119="Inhalation",IF($J119="Central Tendency",SUMIFS('Inhalation Exposure'!$S$6:$S$65,'Inhalation Exposure'!$B$6:$B$65,$B119,'Inhalation Exposure'!$D$6:$D$65,$C119),SUMIFS('Inhalation Exposure'!$R$6:$R$65,'Inhalation Exposure'!$B$6:$B$65,$B119,'Inhalation Exposure'!$D$6:$D$65,$C119)),IF($J119="Central Tendency",VLOOKUP($B119,'Dermal Exposure'!$A$6:$U$34,21,FALSE),VLOOKUP($B119,'Dermal Exposure'!$A$6:$U$34,15,FALSE))),"--")</f>
        <v>3.5651563048823328E-7</v>
      </c>
      <c r="P119" s="482" t="s">
        <v>162</v>
      </c>
      <c r="Q119" s="482" t="s">
        <v>162</v>
      </c>
      <c r="R119" s="482" t="s">
        <v>162</v>
      </c>
      <c r="S119" s="482" t="s">
        <v>162</v>
      </c>
      <c r="U119" s="191" t="s">
        <v>162</v>
      </c>
      <c r="V119" s="192" t="s">
        <v>162</v>
      </c>
      <c r="W119" s="192" t="s">
        <v>162</v>
      </c>
      <c r="X119" s="193" t="s">
        <v>162</v>
      </c>
    </row>
    <row r="120" spans="2:24" ht="15.75" thickBot="1" x14ac:dyDescent="0.3">
      <c r="B120" s="297">
        <v>4</v>
      </c>
      <c r="C120" s="298" t="s">
        <v>82</v>
      </c>
      <c r="D120" s="298" t="s">
        <v>149</v>
      </c>
      <c r="E120" s="616"/>
      <c r="F120" s="616"/>
      <c r="G120" s="594"/>
      <c r="H120" s="596"/>
      <c r="I120" s="610"/>
      <c r="J120" s="482" t="s">
        <v>153</v>
      </c>
      <c r="K120" s="476">
        <f>IFERROR(VLOOKUP($D120,$Z$9:$AD$10,2,FALSE)/IF($D120="Inhalation",IF($J120="Central Tendency",SUMIFS('Inhalation Exposure'!$K$6:$K$65,'Inhalation Exposure'!$B$6:$B$65,$B120,'Inhalation Exposure'!$D$6:$D$65,$C120),SUMIFS('Inhalation Exposure'!$J$6:$J$65,'Inhalation Exposure'!$B$6:$B$65,$B120,'Inhalation Exposure'!$D$6:$D$65,$C120)),IF($J120="Central Tendency",VLOOKUP($B120,'Dermal Exposure'!$A$6:$T$34,17,FALSE),VLOOKUP($B120,'Dermal Exposure'!$A$6:$T$34,11,FALSE))),"--")</f>
        <v>13682.30769230769</v>
      </c>
      <c r="L120" s="476">
        <f>IFERROR(VLOOKUP($D120,$Z$9:$AD$10,3,FALSE)/IF($D120="Inhalation",IF($J120="Central Tendency",SUMIFS('Inhalation Exposure'!$M$6:$M$65,'Inhalation Exposure'!$B$6:$B$65,$B120,'Inhalation Exposure'!$D$6:$D$65,$C120),SUMIFS('Inhalation Exposure'!$L$6:$L$65,'Inhalation Exposure'!$B$6:$B$65,$B120,'Inhalation Exposure'!$D$6:$D$65,$C120)),IF($J120="Central Tendency",VLOOKUP($B120,'Dermal Exposure'!$A$6:$T$34,18,FALSE),VLOOKUP($B120,'Dermal Exposure'!$A$6:$T$34,12,FALSE))),"--")</f>
        <v>40090.909090909088</v>
      </c>
      <c r="M120" s="476">
        <f>IFERROR(VLOOKUP($D120,$Z$9:$AD$10,4,FALSE)/IF($D120="Inhalation",IF($J120="Central Tendency",SUMIFS('Inhalation Exposure'!$O$6:$O$65,'Inhalation Exposure'!$B$6:$B$65,$B120,'Inhalation Exposure'!$D$6:$D$65,$C120),SUMIFS('Inhalation Exposure'!$N$6:$N$65,'Inhalation Exposure'!$B$6:$B$65,$B120,'Inhalation Exposure'!$D$6:$D$65,$C120)),IF($J120="Central Tendency",VLOOKUP($B120,'Dermal Exposure'!$A$6:$T$34,19,FALSE),VLOOKUP($B120,'Dermal Exposure'!$A$6:$T$34,13,FALSE))),"--")</f>
        <v>42924</v>
      </c>
      <c r="N120" s="477">
        <f>IFERROR(VLOOKUP(D120,$Z$9:$AD$10,5,FALSE)*IF($D120="Inhalation",IF($J120="Central Tendency",SUMIFS('Inhalation Exposure'!$Q$6:$Q$65,'Inhalation Exposure'!$B$6:$B$65,$B120,'Inhalation Exposure'!$D$6:$D$65,$C120),SUMIFS('Inhalation Exposure'!$P$6:$P$65,'Inhalation Exposure'!$B$6:$B$65,$B120,'Inhalation Exposure'!$D$6:$D$65,$C120)),IF($J120="Central Tendency",VLOOKUP($B120,'Dermal Exposure'!$A$6:$T$34,20,FALSE),VLOOKUP($B120,'Dermal Exposure'!$A$6:$T$34,14,FALSE))),"--")</f>
        <v>1.8016338955673599E-6</v>
      </c>
      <c r="O120" s="477">
        <f>IFERROR(VLOOKUP(D120,$Z$9:$AD$10,5,FALSE)*IF($D120="Inhalation",IF($J120="Central Tendency",SUMIFS('Inhalation Exposure'!$S$6:$S$65,'Inhalation Exposure'!$B$6:$B$65,$B120,'Inhalation Exposure'!$D$6:$D$65,$C120),SUMIFS('Inhalation Exposure'!$R$6:$R$65,'Inhalation Exposure'!$B$6:$B$65,$B120,'Inhalation Exposure'!$D$6:$D$65,$C120)),IF($J120="Central Tendency",VLOOKUP($B120,'Dermal Exposure'!$A$6:$U$34,21,FALSE),VLOOKUP($B120,'Dermal Exposure'!$A$6:$U$34,15,FALSE))),"--")</f>
        <v>1.4863479638430715E-6</v>
      </c>
      <c r="P120" s="204" t="s">
        <v>162</v>
      </c>
      <c r="Q120" s="204" t="s">
        <v>162</v>
      </c>
      <c r="R120" s="204" t="s">
        <v>162</v>
      </c>
      <c r="S120" s="204" t="s">
        <v>162</v>
      </c>
      <c r="U120" s="205" t="s">
        <v>162</v>
      </c>
      <c r="V120" s="206" t="s">
        <v>162</v>
      </c>
      <c r="W120" s="206" t="s">
        <v>162</v>
      </c>
      <c r="X120" s="207" t="s">
        <v>162</v>
      </c>
    </row>
    <row r="121" spans="2:24" ht="27" thickTop="1" thickBot="1" x14ac:dyDescent="0.3">
      <c r="B121" s="297" t="s">
        <v>186</v>
      </c>
      <c r="C121" s="298" t="s">
        <v>82</v>
      </c>
      <c r="D121" s="298" t="s">
        <v>149</v>
      </c>
      <c r="E121" s="483"/>
      <c r="F121" s="616"/>
      <c r="G121" s="592" t="s">
        <v>184</v>
      </c>
      <c r="H121" s="609" t="s">
        <v>82</v>
      </c>
      <c r="I121" s="609" t="s">
        <v>126</v>
      </c>
      <c r="J121" s="208" t="s">
        <v>80</v>
      </c>
      <c r="K121" s="476">
        <f>IFERROR(VLOOKUP($D121,$Z$9:$AD$10,2,FALSE)/IF($D121="Inhalation",IF($J121="Central Tendency",SUMIFS('Inhalation Exposure'!$K$6:$K$65,'Inhalation Exposure'!$B$6:$B$65,$B121,'Inhalation Exposure'!$D$6:$D$65,$C121),SUMIFS('Inhalation Exposure'!$J$6:$J$65,'Inhalation Exposure'!$B$6:$B$65,$B121,'Inhalation Exposure'!$D$6:$D$65,$C121)),IF($J121="Central Tendency",VLOOKUP($B121,'Dermal Exposure'!$A$6:$T$34,17,FALSE),VLOOKUP($B121,'Dermal Exposure'!$A$6:$T$34,11,FALSE))),"--")</f>
        <v>35.573999999999998</v>
      </c>
      <c r="L121" s="476">
        <f>IFERROR(VLOOKUP($D121,$Z$9:$AD$10,3,FALSE)/IF($D121="Inhalation",IF($J121="Central Tendency",SUMIFS('Inhalation Exposure'!$M$6:$M$65,'Inhalation Exposure'!$B$6:$B$65,$B121,'Inhalation Exposure'!$D$6:$D$65,$C121),SUMIFS('Inhalation Exposure'!$L$6:$L$65,'Inhalation Exposure'!$B$6:$B$65,$B121,'Inhalation Exposure'!$D$6:$D$65,$C121)),IF($J121="Central Tendency",VLOOKUP($B121,'Dermal Exposure'!$A$6:$T$34,18,FALSE),VLOOKUP($B121,'Dermal Exposure'!$A$6:$T$34,12,FALSE))),"--")</f>
        <v>104.23636363636363</v>
      </c>
      <c r="M121" s="476">
        <f>IFERROR(VLOOKUP($D121,$Z$9:$AD$10,4,FALSE)/IF($D121="Inhalation",IF($J121="Central Tendency",SUMIFS('Inhalation Exposure'!$O$6:$O$65,'Inhalation Exposure'!$B$6:$B$65,$B121,'Inhalation Exposure'!$D$6:$D$65,$C121),SUMIFS('Inhalation Exposure'!$N$6:$N$65,'Inhalation Exposure'!$B$6:$B$65,$B121,'Inhalation Exposure'!$D$6:$D$65,$C121)),IF($J121="Central Tendency",VLOOKUP($B121,'Dermal Exposure'!$A$6:$T$34,19,FALSE),VLOOKUP($B121,'Dermal Exposure'!$A$6:$T$34,13,FALSE))),"--")</f>
        <v>111.6024</v>
      </c>
      <c r="N121" s="477">
        <f>IFERROR(VLOOKUP(D121,$Z$9:$AD$10,5,FALSE)*IF($D121="Inhalation",IF($J121="Central Tendency",SUMIFS('Inhalation Exposure'!$Q$6:$Q$65,'Inhalation Exposure'!$B$6:$B$65,$B121,'Inhalation Exposure'!$D$6:$D$65,$C121),SUMIFS('Inhalation Exposure'!$P$6:$P$65,'Inhalation Exposure'!$B$6:$B$65,$B121,'Inhalation Exposure'!$D$6:$D$65,$C121)),IF($J121="Central Tendency",VLOOKUP($B121,'Dermal Exposure'!$A$6:$T$34,20,FALSE),VLOOKUP($B121,'Dermal Exposure'!$A$6:$T$34,14,FALSE))),"--")</f>
        <v>5.3702548810180908E-4</v>
      </c>
      <c r="O121" s="477">
        <f>IFERROR(VLOOKUP(D121,$Z$9:$AD$10,5,FALSE)*IF($D121="Inhalation",IF($J121="Central Tendency",SUMIFS('Inhalation Exposure'!$S$6:$S$65,'Inhalation Exposure'!$B$6:$B$65,$B121,'Inhalation Exposure'!$D$6:$D$65,$C121),SUMIFS('Inhalation Exposure'!$R$6:$R$65,'Inhalation Exposure'!$B$6:$B$65,$B121,'Inhalation Exposure'!$D$6:$D$65,$C121)),IF($J121="Central Tendency",VLOOKUP($B121,'Dermal Exposure'!$A$6:$U$34,21,FALSE),VLOOKUP($B121,'Dermal Exposure'!$A$6:$U$34,15,FALSE))),"--")</f>
        <v>1.6976934785153965E-4</v>
      </c>
      <c r="P121" s="481"/>
      <c r="Q121" s="481"/>
      <c r="R121" s="481"/>
      <c r="S121" s="481"/>
      <c r="U121" s="191"/>
      <c r="V121" s="192"/>
      <c r="W121" s="192"/>
      <c r="X121" s="193"/>
    </row>
    <row r="122" spans="2:24" ht="15.75" thickBot="1" x14ac:dyDescent="0.3">
      <c r="B122" s="297" t="s">
        <v>186</v>
      </c>
      <c r="C122" s="298" t="s">
        <v>82</v>
      </c>
      <c r="D122" s="298" t="s">
        <v>149</v>
      </c>
      <c r="E122" s="483"/>
      <c r="F122" s="617"/>
      <c r="G122" s="594"/>
      <c r="H122" s="596"/>
      <c r="I122" s="610"/>
      <c r="J122" s="482" t="s">
        <v>153</v>
      </c>
      <c r="K122" s="476">
        <f>IFERROR(VLOOKUP($D122,$Z$9:$AD$10,2,FALSE)/IF($D122="Inhalation",IF($J122="Central Tendency",SUMIFS('Inhalation Exposure'!$K$6:$K$65,'Inhalation Exposure'!$B$6:$B$65,$B122,'Inhalation Exposure'!$D$6:$D$65,$C122),SUMIFS('Inhalation Exposure'!$J$6:$J$65,'Inhalation Exposure'!$B$6:$B$65,$B122,'Inhalation Exposure'!$D$6:$D$65,$C122)),IF($J122="Central Tendency",VLOOKUP($B122,'Dermal Exposure'!$A$6:$T$34,17,FALSE),VLOOKUP($B122,'Dermal Exposure'!$A$6:$T$34,11,FALSE))),"--")</f>
        <v>32.339999999999996</v>
      </c>
      <c r="L122" s="476">
        <f>IFERROR(VLOOKUP($D122,$Z$9:$AD$10,3,FALSE)/IF($D122="Inhalation",IF($J122="Central Tendency",SUMIFS('Inhalation Exposure'!$M$6:$M$65,'Inhalation Exposure'!$B$6:$B$65,$B122,'Inhalation Exposure'!$D$6:$D$65,$C122),SUMIFS('Inhalation Exposure'!$L$6:$L$65,'Inhalation Exposure'!$B$6:$B$65,$B122,'Inhalation Exposure'!$D$6:$D$65,$C122)),IF($J122="Central Tendency",VLOOKUP($B122,'Dermal Exposure'!$A$6:$T$34,18,FALSE),VLOOKUP($B122,'Dermal Exposure'!$A$6:$T$34,12,FALSE))),"--")</f>
        <v>94.760330578512395</v>
      </c>
      <c r="M122" s="476">
        <f>IFERROR(VLOOKUP($D122,$Z$9:$AD$10,4,FALSE)/IF($D122="Inhalation",IF($J122="Central Tendency",SUMIFS('Inhalation Exposure'!$O$6:$O$65,'Inhalation Exposure'!$B$6:$B$65,$B122,'Inhalation Exposure'!$D$6:$D$65,$C122),SUMIFS('Inhalation Exposure'!$N$6:$N$65,'Inhalation Exposure'!$B$6:$B$65,$B122,'Inhalation Exposure'!$D$6:$D$65,$C122)),IF($J122="Central Tendency",VLOOKUP($B122,'Dermal Exposure'!$A$6:$T$34,19,FALSE),VLOOKUP($B122,'Dermal Exposure'!$A$6:$T$34,13,FALSE))),"--")</f>
        <v>101.45672727272728</v>
      </c>
      <c r="N122" s="477">
        <f>IFERROR(VLOOKUP(D122,$Z$9:$AD$10,5,FALSE)*IF($D122="Inhalation",IF($J122="Central Tendency",SUMIFS('Inhalation Exposure'!$Q$6:$Q$65,'Inhalation Exposure'!$B$6:$B$65,$B122,'Inhalation Exposure'!$D$6:$D$65,$C122),SUMIFS('Inhalation Exposure'!$P$6:$P$65,'Inhalation Exposure'!$B$6:$B$65,$B122,'Inhalation Exposure'!$D$6:$D$65,$C122)),IF($J122="Central Tendency",VLOOKUP($B122,'Dermal Exposure'!$A$6:$T$34,20,FALSE),VLOOKUP($B122,'Dermal Exposure'!$A$6:$T$34,14,FALSE))),"--")</f>
        <v>7.6222972504772901E-4</v>
      </c>
      <c r="O122" s="274">
        <f>IFERROR(VLOOKUP(D122,$Z$9:$AD$10,5,FALSE)*IF($D122="Inhalation",IF($J122="Central Tendency",SUMIFS('Inhalation Exposure'!$S$6:$S$65,'Inhalation Exposure'!$B$6:$B$65,$B122,'Inhalation Exposure'!$D$6:$D$65,$C122),SUMIFS('Inhalation Exposure'!$R$6:$R$65,'Inhalation Exposure'!$B$6:$B$65,$B122,'Inhalation Exposure'!$D$6:$D$65,$C122)),IF($J122="Central Tendency",VLOOKUP($B122,'Dermal Exposure'!$A$6:$U$34,21,FALSE),VLOOKUP($B122,'Dermal Exposure'!$A$6:$U$34,15,FALSE))),"--")</f>
        <v>6.2883952316437636E-4</v>
      </c>
      <c r="P122" s="481"/>
      <c r="Q122" s="481"/>
      <c r="R122" s="481"/>
      <c r="S122" s="481"/>
      <c r="U122" s="191"/>
      <c r="V122" s="192"/>
      <c r="W122" s="192"/>
      <c r="X122" s="193"/>
    </row>
    <row r="123" spans="2:24" ht="15.75" thickBot="1" x14ac:dyDescent="0.3">
      <c r="B123" s="297">
        <v>5</v>
      </c>
      <c r="C123" s="298" t="s">
        <v>79</v>
      </c>
      <c r="D123" s="298" t="s">
        <v>149</v>
      </c>
      <c r="E123" s="615" t="s">
        <v>187</v>
      </c>
      <c r="F123" s="615" t="s">
        <v>188</v>
      </c>
      <c r="G123" s="612" t="s">
        <v>189</v>
      </c>
      <c r="H123" s="595" t="s">
        <v>79</v>
      </c>
      <c r="I123" s="595" t="s">
        <v>126</v>
      </c>
      <c r="J123" s="598" t="s">
        <v>80</v>
      </c>
      <c r="K123" s="601">
        <f>IFERROR(VLOOKUP($D123,$Z$9:$AD$10,2,FALSE)/IF($D123="Inhalation",IF($J123="Central Tendency",SUMIFS('Inhalation Exposure'!$K$6:$K$65,'Inhalation Exposure'!$B$6:$B$65,$B123,'Inhalation Exposure'!$D$6:$D$65,$C123),SUMIFS('Inhalation Exposure'!$J$6:$J$65,'Inhalation Exposure'!$B$6:$B$65,$B123,'Inhalation Exposure'!$D$6:$D$65,$C123)),IF($J123="Central Tendency",VLOOKUP($B123,'Dermal Exposure'!$A$6:$T$34,17,FALSE),VLOOKUP($B123,'Dermal Exposure'!$A$6:$T$34,11,FALSE))),"--")</f>
        <v>35.573999999999998</v>
      </c>
      <c r="L123" s="601">
        <f>IFERROR(VLOOKUP($D123,$Z$9:$AD$10,3,FALSE)/IF($D123="Inhalation",IF($J123="Central Tendency",SUMIFS('Inhalation Exposure'!$M$6:$M$65,'Inhalation Exposure'!$B$6:$B$65,$B123,'Inhalation Exposure'!$D$6:$D$65,$C123),SUMIFS('Inhalation Exposure'!$L$6:$L$65,'Inhalation Exposure'!$B$6:$B$65,$B123,'Inhalation Exposure'!$D$6:$D$65,$C123)),IF($J123="Central Tendency",VLOOKUP($B123,'Dermal Exposure'!$A$6:$T$34,18,FALSE),VLOOKUP($B123,'Dermal Exposure'!$A$6:$T$34,12,FALSE))),"--")</f>
        <v>104.23636363636363</v>
      </c>
      <c r="M123" s="601">
        <f>IFERROR(VLOOKUP($D123,$Z$9:$AD$10,4,FALSE)/IF($D123="Inhalation",IF($J123="Central Tendency",SUMIFS('Inhalation Exposure'!$O$6:$O$65,'Inhalation Exposure'!$B$6:$B$65,$B123,'Inhalation Exposure'!$D$6:$D$65,$C123),SUMIFS('Inhalation Exposure'!$N$6:$N$65,'Inhalation Exposure'!$B$6:$B$65,$B123,'Inhalation Exposure'!$D$6:$D$65,$C123)),IF($J123="Central Tendency",VLOOKUP($B123,'Dermal Exposure'!$A$6:$T$34,19,FALSE),VLOOKUP($B123,'Dermal Exposure'!$A$6:$T$34,13,FALSE))),"--")</f>
        <v>111.6024</v>
      </c>
      <c r="N123" s="605">
        <f>IFERROR(VLOOKUP(D123,$Z$9:$AD$10,5,FALSE)*IF($D123="Inhalation",IF($J123="Central Tendency",SUMIFS('Inhalation Exposure'!$Q$6:$Q$65,'Inhalation Exposure'!$B$6:$B$65,$B123,'Inhalation Exposure'!$D$6:$D$65,$C123),SUMIFS('Inhalation Exposure'!$P$6:$P$65,'Inhalation Exposure'!$B$6:$B$65,$B123,'Inhalation Exposure'!$D$6:$D$65,$C123)),IF($J123="Central Tendency",VLOOKUP($B123,'Dermal Exposure'!$A$6:$T$34,20,FALSE),VLOOKUP($B123,'Dermal Exposure'!$A$6:$T$34,14,FALSE))),"--")</f>
        <v>5.3702548810180908E-4</v>
      </c>
      <c r="O123" s="202"/>
      <c r="P123" s="481"/>
      <c r="Q123" s="481"/>
      <c r="R123" s="481"/>
      <c r="S123" s="481"/>
      <c r="U123" s="191"/>
      <c r="V123" s="192"/>
      <c r="W123" s="192"/>
      <c r="X123" s="193"/>
    </row>
    <row r="124" spans="2:24" ht="15.75" thickBot="1" x14ac:dyDescent="0.3">
      <c r="B124" s="297">
        <v>5</v>
      </c>
      <c r="C124" s="298" t="s">
        <v>79</v>
      </c>
      <c r="D124" s="298" t="s">
        <v>149</v>
      </c>
      <c r="E124" s="616"/>
      <c r="F124" s="616"/>
      <c r="G124" s="613"/>
      <c r="H124" s="596"/>
      <c r="I124" s="596"/>
      <c r="J124" s="599"/>
      <c r="K124" s="602"/>
      <c r="L124" s="602"/>
      <c r="M124" s="602"/>
      <c r="N124" s="606"/>
      <c r="O124" s="202"/>
      <c r="P124" s="481"/>
      <c r="Q124" s="481"/>
      <c r="R124" s="481"/>
      <c r="S124" s="481"/>
      <c r="U124" s="191"/>
      <c r="V124" s="192"/>
      <c r="W124" s="192"/>
      <c r="X124" s="193"/>
    </row>
    <row r="125" spans="2:24" ht="15.75" thickBot="1" x14ac:dyDescent="0.3">
      <c r="B125" s="297">
        <v>5</v>
      </c>
      <c r="C125" s="298" t="s">
        <v>79</v>
      </c>
      <c r="D125" s="298" t="s">
        <v>149</v>
      </c>
      <c r="E125" s="616"/>
      <c r="F125" s="616"/>
      <c r="G125" s="613"/>
      <c r="H125" s="596"/>
      <c r="I125" s="596"/>
      <c r="J125" s="598" t="s">
        <v>153</v>
      </c>
      <c r="K125" s="601">
        <f>IFERROR(VLOOKUP($D125,$Z$9:$AD$10,2,FALSE)/IF($D125="Inhalation",IF($J125="Central Tendency",SUMIFS('Inhalation Exposure'!$K$6:$K$65,'Inhalation Exposure'!$B$6:$B$65,$B125,'Inhalation Exposure'!$D$6:$D$65,$C125),SUMIFS('Inhalation Exposure'!$J$6:$J$65,'Inhalation Exposure'!$B$6:$B$65,$B125,'Inhalation Exposure'!$D$6:$D$65,$C125)),IF($J125="Central Tendency",VLOOKUP($B125,'Dermal Exposure'!$A$6:$T$34,17,FALSE),VLOOKUP($B125,'Dermal Exposure'!$A$6:$T$34,11,FALSE))),"--")</f>
        <v>2.5778260869565219</v>
      </c>
      <c r="L125" s="601">
        <f>IFERROR(VLOOKUP($D125,$Z$9:$AD$10,3,FALSE)/IF($D125="Inhalation",IF($J125="Central Tendency",SUMIFS('Inhalation Exposure'!$M$6:$M$65,'Inhalation Exposure'!$B$6:$B$65,$B125,'Inhalation Exposure'!$D$6:$D$65,$C125),SUMIFS('Inhalation Exposure'!$L$6:$L$65,'Inhalation Exposure'!$B$6:$B$65,$B125,'Inhalation Exposure'!$D$6:$D$65,$C125)),IF($J125="Central Tendency",VLOOKUP($B125,'Dermal Exposure'!$A$6:$T$34,18,FALSE),VLOOKUP($B125,'Dermal Exposure'!$A$6:$T$34,12,FALSE))),"--")</f>
        <v>7.5533596837944668</v>
      </c>
      <c r="M125" s="601">
        <f>IFERROR(VLOOKUP($D125,$Z$9:$AD$10,4,FALSE)/IF($D125="Inhalation",IF($J125="Central Tendency",SUMIFS('Inhalation Exposure'!$O$6:$O$65,'Inhalation Exposure'!$B$6:$B$65,$B125,'Inhalation Exposure'!$D$6:$D$65,$C125),SUMIFS('Inhalation Exposure'!$N$6:$N$65,'Inhalation Exposure'!$B$6:$B$65,$B125,'Inhalation Exposure'!$D$6:$D$65,$C125)),IF($J125="Central Tendency",VLOOKUP($B125,'Dermal Exposure'!$A$6:$T$34,19,FALSE),VLOOKUP($B125,'Dermal Exposure'!$A$6:$T$34,13,FALSE))),"--")</f>
        <v>8.0871304347826083</v>
      </c>
      <c r="N125" s="605">
        <f>IFERROR(VLOOKUP(D125,$Z$9:$AD$10,5,FALSE)*IF($D125="Inhalation",IF($J125="Central Tendency",SUMIFS('Inhalation Exposure'!$Q$6:$Q$65,'Inhalation Exposure'!$B$6:$B$65,$B125,'Inhalation Exposure'!$D$6:$D$65,$C125),SUMIFS('Inhalation Exposure'!$P$6:$P$65,'Inhalation Exposure'!$B$6:$B$65,$B125,'Inhalation Exposure'!$D$6:$D$65,$C125)),IF($J125="Central Tendency",VLOOKUP($B125,'Dermal Exposure'!$A$6:$T$34,20,FALSE),VLOOKUP($B125,'Dermal Exposure'!$A$6:$T$34,14,FALSE))),"--")</f>
        <v>9.5625183687805988E-3</v>
      </c>
      <c r="O125" s="202"/>
      <c r="P125" s="481"/>
      <c r="Q125" s="481"/>
      <c r="R125" s="481"/>
      <c r="S125" s="481"/>
      <c r="U125" s="191"/>
      <c r="V125" s="192"/>
      <c r="W125" s="192"/>
      <c r="X125" s="193"/>
    </row>
    <row r="126" spans="2:24" ht="15.75" thickBot="1" x14ac:dyDescent="0.3">
      <c r="B126" s="297">
        <v>5</v>
      </c>
      <c r="C126" s="298" t="s">
        <v>79</v>
      </c>
      <c r="D126" s="298" t="s">
        <v>149</v>
      </c>
      <c r="E126" s="616"/>
      <c r="F126" s="616"/>
      <c r="G126" s="613"/>
      <c r="H126" s="596"/>
      <c r="I126" s="597"/>
      <c r="J126" s="600"/>
      <c r="K126" s="602"/>
      <c r="L126" s="602"/>
      <c r="M126" s="602"/>
      <c r="N126" s="606"/>
      <c r="O126" s="202"/>
      <c r="P126" s="481"/>
      <c r="Q126" s="481"/>
      <c r="R126" s="481"/>
      <c r="S126" s="481"/>
      <c r="U126" s="191"/>
      <c r="V126" s="192"/>
      <c r="W126" s="192"/>
      <c r="X126" s="193"/>
    </row>
    <row r="127" spans="2:24" ht="16.5" thickTop="1" thickBot="1" x14ac:dyDescent="0.3">
      <c r="B127" s="297">
        <v>5</v>
      </c>
      <c r="C127" s="298" t="s">
        <v>79</v>
      </c>
      <c r="D127" s="298" t="s">
        <v>59</v>
      </c>
      <c r="E127" s="616"/>
      <c r="F127" s="616"/>
      <c r="G127" s="613"/>
      <c r="H127" s="596"/>
      <c r="I127" s="609" t="s">
        <v>59</v>
      </c>
      <c r="J127" s="609" t="s">
        <v>80</v>
      </c>
      <c r="K127" s="601">
        <f>IFERROR(VLOOKUP($D127,$Z$9:$AD$10,2,FALSE)/IF($D127="Inhalation",IF($J127="Central Tendency",SUMIFS('Inhalation Exposure'!$K$6:$K$65,'Inhalation Exposure'!$B$6:$B$65,$B127,'Inhalation Exposure'!$D$6:$D$65,$C127),SUMIFS('Inhalation Exposure'!$J$6:$J$65,'Inhalation Exposure'!$B$6:$B$65,$B127,'Inhalation Exposure'!$D$6:$D$65,$C127)),IF($J127="Central Tendency",VLOOKUP($B127,'Dermal Exposure'!$A$6:$T$34,17,FALSE),VLOOKUP($B127,'Dermal Exposure'!$A$6:$T$34,11,FALSE))),"--")</f>
        <v>784.02897296355547</v>
      </c>
      <c r="L127" s="601">
        <f>IFERROR(VLOOKUP($D127,$Z$9:$AD$10,3,FALSE)/IF($D127="Inhalation",IF($J127="Central Tendency",SUMIFS('Inhalation Exposure'!$M$6:$M$65,'Inhalation Exposure'!$B$6:$B$65,$B127,'Inhalation Exposure'!$D$6:$D$65,$C127),SUMIFS('Inhalation Exposure'!$L$6:$L$65,'Inhalation Exposure'!$B$6:$B$65,$B127,'Inhalation Exposure'!$D$6:$D$65,$C127)),IF($J127="Central Tendency",VLOOKUP($B127,'Dermal Exposure'!$A$6:$T$34,18,FALSE),VLOOKUP($B127,'Dermal Exposure'!$A$6:$T$34,12,FALSE))),"--")</f>
        <v>349.21345301026338</v>
      </c>
      <c r="M127" s="601">
        <f>IFERROR(VLOOKUP($D127,$Z$9:$AD$10,4,FALSE)/IF($D127="Inhalation",IF($J127="Central Tendency",SUMIFS('Inhalation Exposure'!$O$6:$O$65,'Inhalation Exposure'!$B$6:$B$65,$B127,'Inhalation Exposure'!$D$6:$D$65,$C127),SUMIFS('Inhalation Exposure'!$N$6:$N$65,'Inhalation Exposure'!$B$6:$B$65,$B127,'Inhalation Exposure'!$D$6:$D$65,$C127)),IF($J127="Central Tendency",VLOOKUP($B127,'Dermal Exposure'!$A$6:$T$34,19,FALSE),VLOOKUP($B127,'Dermal Exposure'!$A$6:$T$34,13,FALSE))),"--")</f>
        <v>373.89120368965536</v>
      </c>
      <c r="N127" s="605">
        <f>IFERROR(VLOOKUP(D127,$Z$9:$AD$10,5,FALSE)*IF($D127="Inhalation",IF($J127="Central Tendency",SUMIFS('Inhalation Exposure'!$Q$6:$Q$65,'Inhalation Exposure'!$B$6:$B$65,$B127,'Inhalation Exposure'!$D$6:$D$65,$C127),SUMIFS('Inhalation Exposure'!$P$6:$P$65,'Inhalation Exposure'!$B$6:$B$65,$B127,'Inhalation Exposure'!$D$6:$D$65,$C127)),IF($J127="Central Tendency",VLOOKUP($B127,'Dermal Exposure'!$A$6:$T$34,20,FALSE),VLOOKUP($B127,'Dermal Exposure'!$A$6:$T$34,14,FALSE))),"--")</f>
        <v>2.4959235049121947E-4</v>
      </c>
      <c r="O127" s="202"/>
      <c r="P127" s="481"/>
      <c r="Q127" s="481"/>
      <c r="R127" s="481"/>
      <c r="S127" s="481"/>
      <c r="U127" s="191"/>
      <c r="V127" s="192"/>
      <c r="W127" s="192"/>
      <c r="X127" s="193"/>
    </row>
    <row r="128" spans="2:24" ht="15.75" thickBot="1" x14ac:dyDescent="0.3">
      <c r="B128" s="297">
        <v>5</v>
      </c>
      <c r="C128" s="298" t="s">
        <v>79</v>
      </c>
      <c r="D128" s="298" t="s">
        <v>59</v>
      </c>
      <c r="E128" s="616"/>
      <c r="F128" s="616"/>
      <c r="G128" s="613"/>
      <c r="H128" s="596"/>
      <c r="I128" s="596"/>
      <c r="J128" s="610"/>
      <c r="K128" s="602"/>
      <c r="L128" s="602"/>
      <c r="M128" s="602"/>
      <c r="N128" s="606"/>
      <c r="O128" s="202"/>
      <c r="P128" s="481"/>
      <c r="Q128" s="481"/>
      <c r="R128" s="481"/>
      <c r="S128" s="481"/>
      <c r="U128" s="191"/>
      <c r="V128" s="192"/>
      <c r="W128" s="192"/>
      <c r="X128" s="193"/>
    </row>
    <row r="129" spans="2:24" ht="15.75" thickBot="1" x14ac:dyDescent="0.3">
      <c r="B129" s="297">
        <v>5</v>
      </c>
      <c r="C129" s="298" t="s">
        <v>79</v>
      </c>
      <c r="D129" s="298" t="s">
        <v>59</v>
      </c>
      <c r="E129" s="616"/>
      <c r="F129" s="616"/>
      <c r="G129" s="613"/>
      <c r="H129" s="596"/>
      <c r="I129" s="596"/>
      <c r="J129" s="611" t="s">
        <v>153</v>
      </c>
      <c r="K129" s="601">
        <f>IFERROR(VLOOKUP($D129,$Z$9:$AD$10,2,FALSE)/IF($D129="Inhalation",IF($J129="Central Tendency",SUMIFS('Inhalation Exposure'!$K$6:$K$65,'Inhalation Exposure'!$B$6:$B$65,$B129,'Inhalation Exposure'!$D$6:$D$65,$C129),SUMIFS('Inhalation Exposure'!$J$6:$J$65,'Inhalation Exposure'!$B$6:$B$65,$B129,'Inhalation Exposure'!$D$6:$D$65,$C129)),IF($J129="Central Tendency",VLOOKUP($B129,'Dermal Exposure'!$A$6:$T$34,17,FALSE),VLOOKUP($B129,'Dermal Exposure'!$A$6:$T$34,11,FALSE))),"--")</f>
        <v>324.02334242519112</v>
      </c>
      <c r="L129" s="601">
        <f>IFERROR(VLOOKUP($D129,$Z$9:$AD$10,3,FALSE)/IF($D129="Inhalation",IF($J129="Central Tendency",SUMIFS('Inhalation Exposure'!$M$6:$M$65,'Inhalation Exposure'!$B$6:$B$65,$B129,'Inhalation Exposure'!$D$6:$D$65,$C129),SUMIFS('Inhalation Exposure'!$L$6:$L$65,'Inhalation Exposure'!$B$6:$B$65,$B129,'Inhalation Exposure'!$D$6:$D$65,$C129)),IF($J129="Central Tendency",VLOOKUP($B129,'Dermal Exposure'!$A$6:$T$34,18,FALSE),VLOOKUP($B129,'Dermal Exposure'!$A$6:$T$34,12,FALSE))),"--")</f>
        <v>144.32286837120208</v>
      </c>
      <c r="M129" s="601">
        <f>IFERROR(VLOOKUP($D129,$Z$9:$AD$10,4,FALSE)/IF($D129="Inhalation",IF($J129="Central Tendency",SUMIFS('Inhalation Exposure'!$O$6:$O$65,'Inhalation Exposure'!$B$6:$B$65,$B129,'Inhalation Exposure'!$D$6:$D$65,$C129),SUMIFS('Inhalation Exposure'!$N$6:$N$65,'Inhalation Exposure'!$B$6:$B$65,$B129,'Inhalation Exposure'!$D$6:$D$65,$C129)),IF($J129="Central Tendency",VLOOKUP($B129,'Dermal Exposure'!$A$6:$T$34,19,FALSE),VLOOKUP($B129,'Dermal Exposure'!$A$6:$T$34,13,FALSE))),"--")</f>
        <v>154.52168440276705</v>
      </c>
      <c r="N129" s="605">
        <f>IFERROR(VLOOKUP(D129,$Z$9:$AD$10,5,FALSE)*IF($D129="Inhalation",IF($J129="Central Tendency",SUMIFS('Inhalation Exposure'!$Q$6:$Q$65,'Inhalation Exposure'!$B$6:$B$65,$B129,'Inhalation Exposure'!$D$6:$D$65,$C129),SUMIFS('Inhalation Exposure'!$P$6:$P$65,'Inhalation Exposure'!$B$6:$B$65,$B129,'Inhalation Exposure'!$D$6:$D$65,$C129)),IF($J129="Central Tendency",VLOOKUP($B129,'Dermal Exposure'!$A$6:$T$34,20,FALSE),VLOOKUP($B129,'Dermal Exposure'!$A$6:$T$34,14,FALSE))),"--")</f>
        <v>6.7557884364228193E-4</v>
      </c>
      <c r="O129" s="202"/>
      <c r="P129" s="481"/>
      <c r="Q129" s="481"/>
      <c r="R129" s="481"/>
      <c r="S129" s="481"/>
      <c r="U129" s="191"/>
      <c r="V129" s="192"/>
      <c r="W129" s="192"/>
      <c r="X129" s="193"/>
    </row>
    <row r="130" spans="2:24" ht="15.75" thickBot="1" x14ac:dyDescent="0.3">
      <c r="B130" s="297">
        <v>5</v>
      </c>
      <c r="C130" s="298" t="s">
        <v>79</v>
      </c>
      <c r="D130" s="298" t="s">
        <v>59</v>
      </c>
      <c r="E130" s="616"/>
      <c r="F130" s="616"/>
      <c r="G130" s="613"/>
      <c r="H130" s="597"/>
      <c r="I130" s="597"/>
      <c r="J130" s="600"/>
      <c r="K130" s="602"/>
      <c r="L130" s="602"/>
      <c r="M130" s="602"/>
      <c r="N130" s="606"/>
      <c r="O130" s="202"/>
      <c r="P130" s="481"/>
      <c r="Q130" s="481"/>
      <c r="R130" s="481"/>
      <c r="S130" s="481"/>
      <c r="U130" s="191"/>
      <c r="V130" s="192"/>
      <c r="W130" s="192"/>
      <c r="X130" s="193"/>
    </row>
    <row r="131" spans="2:24" ht="27" thickTop="1" thickBot="1" x14ac:dyDescent="0.3">
      <c r="B131" s="297">
        <v>5</v>
      </c>
      <c r="C131" s="298" t="s">
        <v>82</v>
      </c>
      <c r="D131" s="298" t="s">
        <v>149</v>
      </c>
      <c r="E131" s="616"/>
      <c r="F131" s="616"/>
      <c r="G131" s="613"/>
      <c r="H131" s="609" t="s">
        <v>82</v>
      </c>
      <c r="I131" s="609" t="s">
        <v>126</v>
      </c>
      <c r="J131" s="208" t="s">
        <v>80</v>
      </c>
      <c r="K131" s="476">
        <f>IFERROR(VLOOKUP($D131,$Z$9:$AD$10,2,FALSE)/IF($D131="Inhalation",IF($J131="Central Tendency",SUMIFS('Inhalation Exposure'!$K$6:$K$65,'Inhalation Exposure'!$B$6:$B$65,$B131,'Inhalation Exposure'!$D$6:$D$65,$C131),SUMIFS('Inhalation Exposure'!$J$6:$J$65,'Inhalation Exposure'!$B$6:$B$65,$B131,'Inhalation Exposure'!$D$6:$D$65,$C131)),IF($J131="Central Tendency",VLOOKUP($B131,'Dermal Exposure'!$A$6:$T$34,17,FALSE),VLOOKUP($B131,'Dermal Exposure'!$A$6:$T$34,11,FALSE))),"--")</f>
        <v>35.573999999999998</v>
      </c>
      <c r="L131" s="476">
        <f>IFERROR(VLOOKUP($D131,$Z$9:$AD$10,3,FALSE)/IF($D131="Inhalation",IF($J131="Central Tendency",SUMIFS('Inhalation Exposure'!$M$6:$M$65,'Inhalation Exposure'!$B$6:$B$65,$B131,'Inhalation Exposure'!$D$6:$D$65,$C131),SUMIFS('Inhalation Exposure'!$L$6:$L$65,'Inhalation Exposure'!$B$6:$B$65,$B131,'Inhalation Exposure'!$D$6:$D$65,$C131)),IF($J131="Central Tendency",VLOOKUP($B131,'Dermal Exposure'!$A$6:$T$34,18,FALSE),VLOOKUP($B131,'Dermal Exposure'!$A$6:$T$34,12,FALSE))),"--")</f>
        <v>104.23636363636363</v>
      </c>
      <c r="M131" s="476">
        <f>IFERROR(VLOOKUP($D131,$Z$9:$AD$10,4,FALSE)/IF($D131="Inhalation",IF($J131="Central Tendency",SUMIFS('Inhalation Exposure'!$O$6:$O$65,'Inhalation Exposure'!$B$6:$B$65,$B131,'Inhalation Exposure'!$D$6:$D$65,$C131),SUMIFS('Inhalation Exposure'!$N$6:$N$65,'Inhalation Exposure'!$B$6:$B$65,$B131,'Inhalation Exposure'!$D$6:$D$65,$C131)),IF($J131="Central Tendency",VLOOKUP($B131,'Dermal Exposure'!$A$6:$T$34,19,FALSE),VLOOKUP($B131,'Dermal Exposure'!$A$6:$T$34,13,FALSE))),"--")</f>
        <v>111.6024</v>
      </c>
      <c r="N131" s="477">
        <f>IFERROR(VLOOKUP(D131,$Z$9:$AD$10,5,FALSE)*IF($D131="Inhalation",IF($J131="Central Tendency",SUMIFS('Inhalation Exposure'!$Q$6:$Q$65,'Inhalation Exposure'!$B$6:$B$65,$B131,'Inhalation Exposure'!$D$6:$D$65,$C131),SUMIFS('Inhalation Exposure'!$P$6:$P$65,'Inhalation Exposure'!$B$6:$B$65,$B131,'Inhalation Exposure'!$D$6:$D$65,$C131)),IF($J131="Central Tendency",VLOOKUP($B131,'Dermal Exposure'!$A$6:$T$34,20,FALSE),VLOOKUP($B131,'Dermal Exposure'!$A$6:$T$34,14,FALSE))),"--")</f>
        <v>5.3702548810180908E-4</v>
      </c>
      <c r="O131" s="202"/>
      <c r="P131" s="481"/>
      <c r="Q131" s="481"/>
      <c r="R131" s="481"/>
      <c r="S131" s="481"/>
      <c r="U131" s="191"/>
      <c r="V131" s="192"/>
      <c r="W131" s="192"/>
      <c r="X131" s="193"/>
    </row>
    <row r="132" spans="2:24" ht="15.75" thickBot="1" x14ac:dyDescent="0.3">
      <c r="B132" s="297">
        <v>5</v>
      </c>
      <c r="C132" s="298" t="s">
        <v>82</v>
      </c>
      <c r="D132" s="298" t="s">
        <v>149</v>
      </c>
      <c r="E132" s="617"/>
      <c r="F132" s="617"/>
      <c r="G132" s="614"/>
      <c r="H132" s="610"/>
      <c r="I132" s="610"/>
      <c r="J132" s="482" t="s">
        <v>153</v>
      </c>
      <c r="K132" s="476">
        <f>IFERROR(VLOOKUP($D132,$Z$9:$AD$10,2,FALSE)/IF($D132="Inhalation",IF($J132="Central Tendency",SUMIFS('Inhalation Exposure'!$K$6:$K$65,'Inhalation Exposure'!$B$6:$B$65,$B132,'Inhalation Exposure'!$D$6:$D$65,$C132),SUMIFS('Inhalation Exposure'!$J$6:$J$65,'Inhalation Exposure'!$B$6:$B$65,$B132,'Inhalation Exposure'!$D$6:$D$65,$C132)),IF($J132="Central Tendency",VLOOKUP($B132,'Dermal Exposure'!$A$6:$T$34,17,FALSE),VLOOKUP($B132,'Dermal Exposure'!$A$6:$T$34,11,FALSE))),"--")</f>
        <v>32.339999999999996</v>
      </c>
      <c r="L132" s="476">
        <f>IFERROR(VLOOKUP($D132,$Z$9:$AD$10,3,FALSE)/IF($D132="Inhalation",IF($J132="Central Tendency",SUMIFS('Inhalation Exposure'!$M$6:$M$65,'Inhalation Exposure'!$B$6:$B$65,$B132,'Inhalation Exposure'!$D$6:$D$65,$C132),SUMIFS('Inhalation Exposure'!$L$6:$L$65,'Inhalation Exposure'!$B$6:$B$65,$B132,'Inhalation Exposure'!$D$6:$D$65,$C132)),IF($J132="Central Tendency",VLOOKUP($B132,'Dermal Exposure'!$A$6:$T$34,18,FALSE),VLOOKUP($B132,'Dermal Exposure'!$A$6:$T$34,12,FALSE))),"--")</f>
        <v>94.760330578512395</v>
      </c>
      <c r="M132" s="476">
        <f>IFERROR(VLOOKUP($D132,$Z$9:$AD$10,4,FALSE)/IF($D132="Inhalation",IF($J132="Central Tendency",SUMIFS('Inhalation Exposure'!$O$6:$O$65,'Inhalation Exposure'!$B$6:$B$65,$B132,'Inhalation Exposure'!$D$6:$D$65,$C132),SUMIFS('Inhalation Exposure'!$N$6:$N$65,'Inhalation Exposure'!$B$6:$B$65,$B132,'Inhalation Exposure'!$D$6:$D$65,$C132)),IF($J132="Central Tendency",VLOOKUP($B132,'Dermal Exposure'!$A$6:$T$34,19,FALSE),VLOOKUP($B132,'Dermal Exposure'!$A$6:$T$34,13,FALSE))),"--")</f>
        <v>101.45672727272728</v>
      </c>
      <c r="N132" s="477">
        <f>IFERROR(VLOOKUP(D132,$Z$9:$AD$10,5,FALSE)*IF($D132="Inhalation",IF($J132="Central Tendency",SUMIFS('Inhalation Exposure'!$Q$6:$Q$65,'Inhalation Exposure'!$B$6:$B$65,$B132,'Inhalation Exposure'!$D$6:$D$65,$C132),SUMIFS('Inhalation Exposure'!$P$6:$P$65,'Inhalation Exposure'!$B$6:$B$65,$B132,'Inhalation Exposure'!$D$6:$D$65,$C132)),IF($J132="Central Tendency",VLOOKUP($B132,'Dermal Exposure'!$A$6:$T$34,20,FALSE),VLOOKUP($B132,'Dermal Exposure'!$A$6:$T$34,14,FALSE))),"--")</f>
        <v>7.6222972504772901E-4</v>
      </c>
      <c r="O132" s="202"/>
      <c r="P132" s="481"/>
      <c r="Q132" s="481"/>
      <c r="R132" s="481"/>
      <c r="S132" s="481"/>
      <c r="U132" s="191"/>
      <c r="V132" s="192"/>
      <c r="W132" s="192"/>
      <c r="X132" s="193"/>
    </row>
    <row r="133" spans="2:24" ht="15.75" thickBot="1" x14ac:dyDescent="0.3">
      <c r="B133" s="297">
        <v>6</v>
      </c>
      <c r="C133" s="298" t="s">
        <v>79</v>
      </c>
      <c r="D133" s="298" t="s">
        <v>149</v>
      </c>
      <c r="E133" s="615" t="s">
        <v>190</v>
      </c>
      <c r="F133" s="615" t="s">
        <v>191</v>
      </c>
      <c r="G133" s="612" t="s">
        <v>192</v>
      </c>
      <c r="H133" s="595" t="s">
        <v>79</v>
      </c>
      <c r="I133" s="595" t="s">
        <v>126</v>
      </c>
      <c r="J133" s="598" t="s">
        <v>80</v>
      </c>
      <c r="K133" s="601">
        <f>IFERROR(VLOOKUP($D133,$Z$9:$AD$10,2,FALSE)/IF($D133="Inhalation",IF($J133="Central Tendency",SUMIFS('Inhalation Exposure'!$K$6:$K$65,'Inhalation Exposure'!$B$6:$B$65,$B133,'Inhalation Exposure'!$D$6:$D$65,$C133),SUMIFS('Inhalation Exposure'!$J$6:$J$65,'Inhalation Exposure'!$B$6:$B$65,$B133,'Inhalation Exposure'!$D$6:$D$65,$C133)),IF($J133="Central Tendency",VLOOKUP($B133,'Dermal Exposure'!$A$6:$T$34,17,FALSE),VLOOKUP($B133,'Dermal Exposure'!$A$6:$T$34,11,FALSE))),"--")</f>
        <v>0.77334782608695651</v>
      </c>
      <c r="L133" s="601">
        <f>IFERROR(VLOOKUP($D133,$Z$9:$AD$10,3,FALSE)/IF($D133="Inhalation",IF($J133="Central Tendency",SUMIFS('Inhalation Exposure'!$M$6:$M$65,'Inhalation Exposure'!$B$6:$B$65,$B133,'Inhalation Exposure'!$D$6:$D$65,$C133),SUMIFS('Inhalation Exposure'!$L$6:$L$65,'Inhalation Exposure'!$B$6:$B$65,$B133,'Inhalation Exposure'!$D$6:$D$65,$C133)),IF($J133="Central Tendency",VLOOKUP($B133,'Dermal Exposure'!$A$6:$T$34,18,FALSE),VLOOKUP($B133,'Dermal Exposure'!$A$6:$T$34,12,FALSE))),"--")</f>
        <v>2.2660079051383399</v>
      </c>
      <c r="M133" s="601">
        <f>IFERROR(VLOOKUP($D133,$Z$9:$AD$10,4,FALSE)/IF($D133="Inhalation",IF($J133="Central Tendency",SUMIFS('Inhalation Exposure'!$O$6:$O$65,'Inhalation Exposure'!$B$6:$B$65,$B133,'Inhalation Exposure'!$D$6:$D$65,$C133),SUMIFS('Inhalation Exposure'!$N$6:$N$65,'Inhalation Exposure'!$B$6:$B$65,$B133,'Inhalation Exposure'!$D$6:$D$65,$C133)),IF($J133="Central Tendency",VLOOKUP($B133,'Dermal Exposure'!$A$6:$T$34,19,FALSE),VLOOKUP($B133,'Dermal Exposure'!$A$6:$T$34,13,FALSE))),"--")</f>
        <v>2.4261391304347826</v>
      </c>
      <c r="N133" s="605">
        <f>IFERROR(VLOOKUP(D133,$Z$9:$AD$10,5,FALSE)*IF($D133="Inhalation",IF($J133="Central Tendency",SUMIFS('Inhalation Exposure'!$Q$6:$Q$65,'Inhalation Exposure'!$B$6:$B$65,$B133,'Inhalation Exposure'!$D$6:$D$65,$C133),SUMIFS('Inhalation Exposure'!$P$6:$P$65,'Inhalation Exposure'!$B$6:$B$65,$B133,'Inhalation Exposure'!$D$6:$D$65,$C133)),IF($J133="Central Tendency",VLOOKUP($B133,'Dermal Exposure'!$A$6:$T$34,20,FALSE),VLOOKUP($B133,'Dermal Exposure'!$A$6:$T$34,14,FALSE))),"--")</f>
        <v>2.4703172452683216E-2</v>
      </c>
      <c r="O133" s="477"/>
      <c r="P133" s="481"/>
      <c r="Q133" s="481"/>
      <c r="R133" s="481"/>
      <c r="S133" s="481"/>
      <c r="U133" s="191"/>
      <c r="V133" s="192"/>
      <c r="W133" s="192"/>
      <c r="X133" s="193"/>
    </row>
    <row r="134" spans="2:24" ht="15.75" thickBot="1" x14ac:dyDescent="0.3">
      <c r="B134" s="297">
        <v>6</v>
      </c>
      <c r="C134" s="298" t="s">
        <v>79</v>
      </c>
      <c r="D134" s="298" t="s">
        <v>149</v>
      </c>
      <c r="E134" s="616"/>
      <c r="F134" s="616"/>
      <c r="G134" s="613"/>
      <c r="H134" s="596"/>
      <c r="I134" s="596"/>
      <c r="J134" s="599"/>
      <c r="K134" s="602"/>
      <c r="L134" s="602"/>
      <c r="M134" s="602"/>
      <c r="N134" s="606"/>
      <c r="O134" s="500"/>
      <c r="P134" s="481"/>
      <c r="Q134" s="481"/>
      <c r="R134" s="481"/>
      <c r="S134" s="481"/>
      <c r="U134" s="191"/>
      <c r="V134" s="192"/>
      <c r="W134" s="192"/>
      <c r="X134" s="193"/>
    </row>
    <row r="135" spans="2:24" ht="15.75" thickBot="1" x14ac:dyDescent="0.3">
      <c r="B135" s="297">
        <v>6</v>
      </c>
      <c r="C135" s="298" t="s">
        <v>79</v>
      </c>
      <c r="D135" s="298" t="s">
        <v>149</v>
      </c>
      <c r="E135" s="616"/>
      <c r="F135" s="616"/>
      <c r="G135" s="613"/>
      <c r="H135" s="596"/>
      <c r="I135" s="596"/>
      <c r="J135" s="598" t="s">
        <v>153</v>
      </c>
      <c r="K135" s="601">
        <f>IFERROR(VLOOKUP($D135,$Z$9:$AD$10,2,FALSE)/IF($D135="Inhalation",IF($J135="Central Tendency",SUMIFS('Inhalation Exposure'!$K$6:$K$65,'Inhalation Exposure'!$B$6:$B$65,$B135,'Inhalation Exposure'!$D$6:$D$65,$C135),SUMIFS('Inhalation Exposure'!$J$6:$J$65,'Inhalation Exposure'!$B$6:$B$65,$B135,'Inhalation Exposure'!$D$6:$D$65,$C135)),IF($J135="Central Tendency",VLOOKUP($B135,'Dermal Exposure'!$A$6:$T$34,17,FALSE),VLOOKUP($B135,'Dermal Exposure'!$A$6:$T$34,11,FALSE))),"--")</f>
        <v>9.0060759493670886E-2</v>
      </c>
      <c r="L135" s="601">
        <f>IFERROR(VLOOKUP($D135,$Z$9:$AD$10,3,FALSE)/IF($D135="Inhalation",IF($J135="Central Tendency",SUMIFS('Inhalation Exposure'!$M$6:$M$65,'Inhalation Exposure'!$B$6:$B$65,$B135,'Inhalation Exposure'!$D$6:$D$65,$C135),SUMIFS('Inhalation Exposure'!$L$6:$L$65,'Inhalation Exposure'!$B$6:$B$65,$B135,'Inhalation Exposure'!$D$6:$D$65,$C135)),IF($J135="Central Tendency",VLOOKUP($B135,'Dermal Exposure'!$A$6:$T$34,18,FALSE),VLOOKUP($B135,'Dermal Exposure'!$A$6:$T$34,12,FALSE))),"--")</f>
        <v>0.26388952819332567</v>
      </c>
      <c r="M135" s="601">
        <f>IFERROR(VLOOKUP($D135,$Z$9:$AD$10,4,FALSE)/IF($D135="Inhalation",IF($J135="Central Tendency",SUMIFS('Inhalation Exposure'!$O$6:$O$65,'Inhalation Exposure'!$B$6:$B$65,$B135,'Inhalation Exposure'!$D$6:$D$65,$C135),SUMIFS('Inhalation Exposure'!$N$6:$N$65,'Inhalation Exposure'!$B$6:$B$65,$B135,'Inhalation Exposure'!$D$6:$D$65,$C135)),IF($J135="Central Tendency",VLOOKUP($B135,'Dermal Exposure'!$A$6:$T$34,19,FALSE),VLOOKUP($B135,'Dermal Exposure'!$A$6:$T$34,13,FALSE))),"--")</f>
        <v>0.28253772151898732</v>
      </c>
      <c r="N135" s="605">
        <f>IFERROR(VLOOKUP(D135,$Z$9:$AD$10,5,FALSE)*IF($D135="Inhalation",IF($J135="Central Tendency",SUMIFS('Inhalation Exposure'!$Q$6:$Q$65,'Inhalation Exposure'!$B$6:$B$65,$B135,'Inhalation Exposure'!$D$6:$D$65,$C135),SUMIFS('Inhalation Exposure'!$P$6:$P$65,'Inhalation Exposure'!$B$6:$B$65,$B135,'Inhalation Exposure'!$D$6:$D$65,$C135)),IF($J135="Central Tendency",VLOOKUP($B135,'Dermal Exposure'!$A$6:$T$34,20,FALSE),VLOOKUP($B135,'Dermal Exposure'!$A$6:$T$34,14,FALSE))),"--")</f>
        <v>0.27370976490350274</v>
      </c>
      <c r="O135" s="500"/>
      <c r="P135" s="481"/>
      <c r="Q135" s="481"/>
      <c r="R135" s="481"/>
      <c r="S135" s="481"/>
      <c r="U135" s="191"/>
      <c r="V135" s="192"/>
      <c r="W135" s="192"/>
      <c r="X135" s="193"/>
    </row>
    <row r="136" spans="2:24" ht="15.75" thickBot="1" x14ac:dyDescent="0.3">
      <c r="B136" s="297">
        <v>6</v>
      </c>
      <c r="C136" s="298" t="s">
        <v>79</v>
      </c>
      <c r="D136" s="298" t="s">
        <v>149</v>
      </c>
      <c r="E136" s="616"/>
      <c r="F136" s="616"/>
      <c r="G136" s="613"/>
      <c r="H136" s="596"/>
      <c r="I136" s="597"/>
      <c r="J136" s="600"/>
      <c r="K136" s="602"/>
      <c r="L136" s="602"/>
      <c r="M136" s="602"/>
      <c r="N136" s="606"/>
      <c r="O136" s="500"/>
      <c r="P136" s="481"/>
      <c r="Q136" s="481"/>
      <c r="R136" s="481"/>
      <c r="S136" s="481"/>
      <c r="U136" s="191"/>
      <c r="V136" s="192"/>
      <c r="W136" s="192"/>
      <c r="X136" s="193"/>
    </row>
    <row r="137" spans="2:24" ht="16.5" thickTop="1" thickBot="1" x14ac:dyDescent="0.3">
      <c r="B137" s="297">
        <v>6</v>
      </c>
      <c r="C137" s="298" t="s">
        <v>79</v>
      </c>
      <c r="D137" s="298" t="s">
        <v>59</v>
      </c>
      <c r="E137" s="616"/>
      <c r="F137" s="616"/>
      <c r="G137" s="613"/>
      <c r="H137" s="596"/>
      <c r="I137" s="609" t="s">
        <v>59</v>
      </c>
      <c r="J137" s="609" t="s">
        <v>80</v>
      </c>
      <c r="K137" s="601">
        <f>IFERROR(VLOOKUP($D137,$Z$9:$AD$10,2,FALSE)/IF($D137="Inhalation",IF($J137="Central Tendency",SUMIFS('Inhalation Exposure'!$K$6:$K$65,'Inhalation Exposure'!$B$6:$B$65,$B137,'Inhalation Exposure'!$D$6:$D$65,$C137),SUMIFS('Inhalation Exposure'!$J$6:$J$65,'Inhalation Exposure'!$B$6:$B$65,$B137,'Inhalation Exposure'!$D$6:$D$65,$C137)),IF($J137="Central Tendency",VLOOKUP($B137,'Dermal Exposure'!$A$6:$T$34,17,FALSE),VLOOKUP($B137,'Dermal Exposure'!$A$6:$T$34,11,FALSE))),"--")</f>
        <v>498.0212209471137</v>
      </c>
      <c r="L137" s="601">
        <f>IFERROR(VLOOKUP($D137,$Z$9:$AD$10,3,FALSE)/IF($D137="Inhalation",IF($J137="Central Tendency",SUMIFS('Inhalation Exposure'!$M$6:$M$65,'Inhalation Exposure'!$B$6:$B$65,$B137,'Inhalation Exposure'!$D$6:$D$65,$C137),SUMIFS('Inhalation Exposure'!$L$6:$L$65,'Inhalation Exposure'!$B$6:$B$65,$B137,'Inhalation Exposure'!$D$6:$D$65,$C137)),IF($J137="Central Tendency",VLOOKUP($B137,'Dermal Exposure'!$A$6:$T$34,18,FALSE),VLOOKUP($B137,'Dermal Exposure'!$A$6:$T$34,12,FALSE))),"--")</f>
        <v>221.8230655200712</v>
      </c>
      <c r="M137" s="601">
        <f>IFERROR(VLOOKUP($D137,$Z$9:$AD$10,4,FALSE)/IF($D137="Inhalation",IF($J137="Central Tendency",SUMIFS('Inhalation Exposure'!$O$6:$O$65,'Inhalation Exposure'!$B$6:$B$65,$B137,'Inhalation Exposure'!$D$6:$D$65,$C137),SUMIFS('Inhalation Exposure'!$N$6:$N$65,'Inhalation Exposure'!$B$6:$B$65,$B137,'Inhalation Exposure'!$D$6:$D$65,$C137)),IF($J137="Central Tendency",VLOOKUP($B137,'Dermal Exposure'!$A$6:$T$34,19,FALSE),VLOOKUP($B137,'Dermal Exposure'!$A$6:$T$34,13,FALSE))),"--")</f>
        <v>332.99319002819652</v>
      </c>
      <c r="N137" s="605">
        <f>IFERROR(VLOOKUP(D137,$Z$9:$AD$10,5,FALSE)*IF($D137="Inhalation",IF($J137="Central Tendency",SUMIFS('Inhalation Exposure'!$Q$6:$Q$65,'Inhalation Exposure'!$B$6:$B$65,$B137,'Inhalation Exposure'!$D$6:$D$65,$C137),SUMIFS('Inhalation Exposure'!$P$6:$P$65,'Inhalation Exposure'!$B$6:$B$65,$B137,'Inhalation Exposure'!$D$6:$D$65,$C137)),IF($J137="Central Tendency",VLOOKUP($B137,'Dermal Exposure'!$A$6:$T$34,20,FALSE),VLOOKUP($B137,'Dermal Exposure'!$A$6:$T$34,14,FALSE))),"--")</f>
        <v>2.8521064878536147E-4</v>
      </c>
      <c r="O137" s="500"/>
      <c r="P137" s="481"/>
      <c r="Q137" s="481"/>
      <c r="R137" s="481"/>
      <c r="S137" s="481"/>
      <c r="U137" s="191"/>
      <c r="V137" s="192"/>
      <c r="W137" s="192"/>
      <c r="X137" s="193"/>
    </row>
    <row r="138" spans="2:24" ht="15.75" thickBot="1" x14ac:dyDescent="0.3">
      <c r="B138" s="297">
        <v>6</v>
      </c>
      <c r="C138" s="298" t="s">
        <v>79</v>
      </c>
      <c r="D138" s="298" t="s">
        <v>59</v>
      </c>
      <c r="E138" s="616"/>
      <c r="F138" s="616"/>
      <c r="G138" s="613"/>
      <c r="H138" s="596"/>
      <c r="I138" s="596"/>
      <c r="J138" s="610"/>
      <c r="K138" s="602"/>
      <c r="L138" s="602"/>
      <c r="M138" s="602"/>
      <c r="N138" s="606"/>
      <c r="O138" s="500"/>
      <c r="P138" s="481"/>
      <c r="Q138" s="481"/>
      <c r="R138" s="481"/>
      <c r="S138" s="481"/>
      <c r="U138" s="191"/>
      <c r="V138" s="192"/>
      <c r="W138" s="192"/>
      <c r="X138" s="193"/>
    </row>
    <row r="139" spans="2:24" ht="15.75" thickBot="1" x14ac:dyDescent="0.3">
      <c r="B139" s="297">
        <v>6</v>
      </c>
      <c r="C139" s="298" t="s">
        <v>79</v>
      </c>
      <c r="D139" s="298" t="s">
        <v>59</v>
      </c>
      <c r="E139" s="616"/>
      <c r="F139" s="616"/>
      <c r="G139" s="613"/>
      <c r="H139" s="596"/>
      <c r="I139" s="596"/>
      <c r="J139" s="611" t="s">
        <v>153</v>
      </c>
      <c r="K139" s="601">
        <f>IFERROR(VLOOKUP($D139,$Z$9:$AD$10,2,FALSE)/IF($D139="Inhalation",IF($J139="Central Tendency",SUMIFS('Inhalation Exposure'!$K$6:$K$65,'Inhalation Exposure'!$B$6:$B$65,$B139,'Inhalation Exposure'!$D$6:$D$65,$C139),SUMIFS('Inhalation Exposure'!$J$6:$J$65,'Inhalation Exposure'!$B$6:$B$65,$B139,'Inhalation Exposure'!$D$6:$D$65,$C139)),IF($J139="Central Tendency",VLOOKUP($B139,'Dermal Exposure'!$A$6:$T$34,17,FALSE),VLOOKUP($B139,'Dermal Exposure'!$A$6:$T$34,11,FALSE))),"--")</f>
        <v>281.14709448667094</v>
      </c>
      <c r="L139" s="601">
        <f>IFERROR(VLOOKUP($D139,$Z$9:$AD$10,3,FALSE)/IF($D139="Inhalation",IF($J139="Central Tendency",SUMIFS('Inhalation Exposure'!$M$6:$M$65,'Inhalation Exposure'!$B$6:$B$65,$B139,'Inhalation Exposure'!$D$6:$D$65,$C139),SUMIFS('Inhalation Exposure'!$L$6:$L$65,'Inhalation Exposure'!$B$6:$B$65,$B139,'Inhalation Exposure'!$D$6:$D$65,$C139)),IF($J139="Central Tendency",VLOOKUP($B139,'Dermal Exposure'!$A$6:$T$34,18,FALSE),VLOOKUP($B139,'Dermal Exposure'!$A$6:$T$34,12,FALSE))),"--")</f>
        <v>125.22540754888267</v>
      </c>
      <c r="M139" s="601">
        <f>IFERROR(VLOOKUP($D139,$Z$9:$AD$10,4,FALSE)/IF($D139="Inhalation",IF($J139="Central Tendency",SUMIFS('Inhalation Exposure'!$O$6:$O$65,'Inhalation Exposure'!$B$6:$B$65,$B139,'Inhalation Exposure'!$D$6:$D$65,$C139),SUMIFS('Inhalation Exposure'!$N$6:$N$65,'Inhalation Exposure'!$B$6:$B$65,$B139,'Inhalation Exposure'!$D$6:$D$65,$C139)),IF($J139="Central Tendency",VLOOKUP($B139,'Dermal Exposure'!$A$6:$T$34,19,FALSE),VLOOKUP($B139,'Dermal Exposure'!$A$6:$T$34,13,FALSE))),"--")</f>
        <v>163.70288302421412</v>
      </c>
      <c r="N139" s="605">
        <f>IFERROR(VLOOKUP(D139,$Z$9:$AD$10,5,FALSE)*IF($D139="Inhalation",IF($J139="Central Tendency",SUMIFS('Inhalation Exposure'!$Q$6:$Q$65,'Inhalation Exposure'!$B$6:$B$65,$B139,'Inhalation Exposure'!$D$6:$D$65,$C139),SUMIFS('Inhalation Exposure'!$P$6:$P$65,'Inhalation Exposure'!$B$6:$B$65,$B139,'Inhalation Exposure'!$D$6:$D$65,$C139)),IF($J139="Central Tendency",VLOOKUP($B139,'Dermal Exposure'!$A$6:$T$34,20,FALSE),VLOOKUP($B139,'Dermal Exposure'!$A$6:$T$34,14,FALSE))),"--")</f>
        <v>6.4517077549710298E-4</v>
      </c>
      <c r="O139" s="500"/>
      <c r="P139" s="481"/>
      <c r="Q139" s="481"/>
      <c r="R139" s="481"/>
      <c r="S139" s="481"/>
      <c r="U139" s="191"/>
      <c r="V139" s="192"/>
      <c r="W139" s="192"/>
      <c r="X139" s="193"/>
    </row>
    <row r="140" spans="2:24" ht="15.75" thickBot="1" x14ac:dyDescent="0.3">
      <c r="B140" s="297">
        <v>6</v>
      </c>
      <c r="C140" s="298" t="s">
        <v>79</v>
      </c>
      <c r="D140" s="298" t="s">
        <v>59</v>
      </c>
      <c r="E140" s="616"/>
      <c r="F140" s="616"/>
      <c r="G140" s="613"/>
      <c r="H140" s="597"/>
      <c r="I140" s="597"/>
      <c r="J140" s="600"/>
      <c r="K140" s="602"/>
      <c r="L140" s="602"/>
      <c r="M140" s="602"/>
      <c r="N140" s="606"/>
      <c r="O140" s="500"/>
      <c r="P140" s="481"/>
      <c r="Q140" s="481"/>
      <c r="R140" s="481"/>
      <c r="S140" s="481"/>
      <c r="U140" s="191"/>
      <c r="V140" s="192"/>
      <c r="W140" s="192"/>
      <c r="X140" s="193"/>
    </row>
    <row r="141" spans="2:24" ht="27" thickTop="1" thickBot="1" x14ac:dyDescent="0.3">
      <c r="B141" s="297">
        <v>6</v>
      </c>
      <c r="C141" s="298" t="s">
        <v>82</v>
      </c>
      <c r="D141" s="298" t="s">
        <v>149</v>
      </c>
      <c r="E141" s="616"/>
      <c r="F141" s="616"/>
      <c r="G141" s="613"/>
      <c r="H141" s="609" t="s">
        <v>82</v>
      </c>
      <c r="I141" s="609" t="s">
        <v>126</v>
      </c>
      <c r="J141" s="208" t="s">
        <v>80</v>
      </c>
      <c r="K141" s="476">
        <f>IFERROR(VLOOKUP($D141,$Z$9:$AD$10,2,FALSE)/IF($D141="Inhalation",IF($J141="Central Tendency",SUMIFS('Inhalation Exposure'!$K$6:$K$65,'Inhalation Exposure'!$B$6:$B$65,$B141,'Inhalation Exposure'!$D$6:$D$65,$C141),SUMIFS('Inhalation Exposure'!$J$6:$J$65,'Inhalation Exposure'!$B$6:$B$65,$B141,'Inhalation Exposure'!$D$6:$D$65,$C141)),IF($J141="Central Tendency",VLOOKUP($B141,'Dermal Exposure'!$A$6:$T$34,15,FALSE),VLOOKUP($B141,'Dermal Exposure'!$A$6:$T$34,10,FALSE))),"--")</f>
        <v>3.9526666666666666</v>
      </c>
      <c r="L141" s="476">
        <f>IFERROR(VLOOKUP($D141,$Z$9:$AD$10,3,FALSE)/IF($D141="Inhalation",IF($J141="Central Tendency",SUMIFS('Inhalation Exposure'!$M$6:$M$65,'Inhalation Exposure'!$B$6:$B$65,$B141,'Inhalation Exposure'!$D$6:$D$65,$C141),SUMIFS('Inhalation Exposure'!$L$6:$L$65,'Inhalation Exposure'!$B$6:$B$65,$B141,'Inhalation Exposure'!$D$6:$D$65,$C141)),IF($J141="Central Tendency",VLOOKUP($B141,'Dermal Exposure'!$A$6:$T$34,16,FALSE),VLOOKUP($B141,'Dermal Exposure'!$A$6:$T$34,11,FALSE))),"--")</f>
        <v>11.581818181818182</v>
      </c>
      <c r="M141" s="476">
        <f>IFERROR(VLOOKUP($D141,$Z$9:$AD$10,4,FALSE)/IF($D141="Inhalation",IF($J141="Central Tendency",SUMIFS('Inhalation Exposure'!$O$6:$O$65,'Inhalation Exposure'!$B$6:$B$65,$B141,'Inhalation Exposure'!$D$6:$D$65,$C141),SUMIFS('Inhalation Exposure'!$N$6:$N$65,'Inhalation Exposure'!$B$6:$B$65,$B141,'Inhalation Exposure'!$D$6:$D$65,$C141)),IF($J141="Central Tendency",VLOOKUP($B141,'Dermal Exposure'!$A$6:$T$34,17,FALSE),VLOOKUP($B141,'Dermal Exposure'!$A$6:$T$34,12,FALSE))),"--")</f>
        <v>12.400266666666667</v>
      </c>
      <c r="N141" s="477">
        <f>IFERROR(VLOOKUP(D141,$Z$9:$AD$10,5,FALSE)*IF($D141="Inhalation",IF($J141="Central Tendency",SUMIFS('Inhalation Exposure'!$Q$6:$Q$65,'Inhalation Exposure'!$B$6:$B$65,$B141,'Inhalation Exposure'!$D$6:$D$65,$C141),SUMIFS('Inhalation Exposure'!$P$6:$P$65,'Inhalation Exposure'!$B$6:$B$65,$B141,'Inhalation Exposure'!$D$6:$D$65,$C141)),IF($J141="Central Tendency",VLOOKUP($B141,'Dermal Exposure'!$A$6:$T$34,18,FALSE),VLOOKUP($B141,'Dermal Exposure'!$A$6:$T$34,13,FALSE))),"--")</f>
        <v>4.8332293929162825E-3</v>
      </c>
      <c r="O141" s="500"/>
      <c r="P141" s="481"/>
      <c r="Q141" s="481"/>
      <c r="R141" s="481"/>
      <c r="S141" s="481"/>
      <c r="U141" s="191"/>
      <c r="V141" s="192"/>
      <c r="W141" s="192"/>
      <c r="X141" s="193"/>
    </row>
    <row r="142" spans="2:24" ht="15.75" thickBot="1" x14ac:dyDescent="0.3">
      <c r="B142" s="297">
        <v>6</v>
      </c>
      <c r="C142" s="298" t="s">
        <v>82</v>
      </c>
      <c r="D142" s="298" t="s">
        <v>149</v>
      </c>
      <c r="E142" s="617"/>
      <c r="F142" s="617"/>
      <c r="G142" s="614"/>
      <c r="H142" s="610"/>
      <c r="I142" s="610"/>
      <c r="J142" s="482" t="s">
        <v>153</v>
      </c>
      <c r="K142" s="476">
        <f>IFERROR(VLOOKUP($D142,$Z$9:$AD$10,2,FALSE)/IF($D142="Inhalation",IF($J142="Central Tendency",SUMIFS('Inhalation Exposure'!$K$6:$K$65,'Inhalation Exposure'!$B$6:$B$65,$B142,'Inhalation Exposure'!$D$6:$D$65,$C142),SUMIFS('Inhalation Exposure'!$J$6:$J$65,'Inhalation Exposure'!$B$6:$B$65,$B142,'Inhalation Exposure'!$D$6:$D$65,$C142)),IF($J142="Central Tendency",VLOOKUP($B142,'Dermal Exposure'!$A$6:$T$34,15,FALSE),VLOOKUP($B142,'Dermal Exposure'!$A$6:$T$34,10,FALSE))),"--")</f>
        <v>3.5573999999999999</v>
      </c>
      <c r="L142" s="476">
        <f>IFERROR(VLOOKUP($D142,$Z$9:$AD$10,3,FALSE)/IF($D142="Inhalation",IF($J142="Central Tendency",SUMIFS('Inhalation Exposure'!$M$6:$M$65,'Inhalation Exposure'!$B$6:$B$65,$B142,'Inhalation Exposure'!$D$6:$D$65,$C142),SUMIFS('Inhalation Exposure'!$L$6:$L$65,'Inhalation Exposure'!$B$6:$B$65,$B142,'Inhalation Exposure'!$D$6:$D$65,$C142)),IF($J142="Central Tendency",VLOOKUP($B142,'Dermal Exposure'!$A$6:$T$34,16,FALSE),VLOOKUP($B142,'Dermal Exposure'!$A$6:$T$34,11,FALSE))),"--")</f>
        <v>10.423636363636364</v>
      </c>
      <c r="M142" s="476">
        <f>IFERROR(VLOOKUP($D142,$Z$9:$AD$10,4,FALSE)/IF($D142="Inhalation",IF($J142="Central Tendency",SUMIFS('Inhalation Exposure'!$O$6:$O$65,'Inhalation Exposure'!$B$6:$B$65,$B142,'Inhalation Exposure'!$D$6:$D$65,$C142),SUMIFS('Inhalation Exposure'!$N$6:$N$65,'Inhalation Exposure'!$B$6:$B$65,$B142,'Inhalation Exposure'!$D$6:$D$65,$C142)),IF($J142="Central Tendency",VLOOKUP($B142,'Dermal Exposure'!$A$6:$T$34,17,FALSE),VLOOKUP($B142,'Dermal Exposure'!$A$6:$T$34,12,FALSE))),"--")</f>
        <v>11.16024</v>
      </c>
      <c r="N142" s="477">
        <f>IFERROR(VLOOKUP(D142,$Z$9:$AD$10,5,FALSE)*IF($D142="Inhalation",IF($J142="Central Tendency",SUMIFS('Inhalation Exposure'!$Q$6:$Q$65,'Inhalation Exposure'!$B$6:$B$65,$B142,'Inhalation Exposure'!$D$6:$D$65,$C142),SUMIFS('Inhalation Exposure'!$P$6:$P$65,'Inhalation Exposure'!$B$6:$B$65,$B142,'Inhalation Exposure'!$D$6:$D$65,$C142)),IF($J142="Central Tendency",VLOOKUP($B142,'Dermal Exposure'!$A$6:$T$34,18,FALSE),VLOOKUP($B142,'Dermal Exposure'!$A$6:$T$34,13,FALSE))),"--")</f>
        <v>6.929361136797537E-3</v>
      </c>
      <c r="O142" s="499"/>
      <c r="P142" s="481"/>
      <c r="Q142" s="481"/>
      <c r="R142" s="481"/>
      <c r="S142" s="481"/>
      <c r="U142" s="191"/>
      <c r="V142" s="192"/>
      <c r="W142" s="192"/>
      <c r="X142" s="193"/>
    </row>
    <row r="143" spans="2:24" ht="15.75" thickBot="1" x14ac:dyDescent="0.3">
      <c r="B143" s="297">
        <v>7</v>
      </c>
      <c r="C143" s="298" t="s">
        <v>79</v>
      </c>
      <c r="D143" s="298" t="s">
        <v>149</v>
      </c>
      <c r="E143" s="615" t="s">
        <v>193</v>
      </c>
      <c r="F143" s="615" t="s">
        <v>194</v>
      </c>
      <c r="G143" s="612" t="s">
        <v>195</v>
      </c>
      <c r="H143" s="595" t="s">
        <v>79</v>
      </c>
      <c r="I143" s="595" t="s">
        <v>126</v>
      </c>
      <c r="J143" s="598" t="s">
        <v>80</v>
      </c>
      <c r="K143" s="601">
        <f>IFERROR(VLOOKUP($D143,$Z$9:$AD$10,2,FALSE)/IF($D143="Inhalation",IF($J143="Central Tendency",SUMIFS('Inhalation Exposure'!$K$6:$K$65,'Inhalation Exposure'!$B$6:$B$65,$B143,'Inhalation Exposure'!$D$6:$D$65,$C143),SUMIFS('Inhalation Exposure'!$J$6:$J$65,'Inhalation Exposure'!$B$6:$B$65,$B143,'Inhalation Exposure'!$D$6:$D$65,$C143)),IF($J143="Central Tendency",VLOOKUP($B143,'Dermal Exposure'!$A$6:$T$34,17,FALSE),VLOOKUP($B143,'Dermal Exposure'!$A$6:$T$34,11,FALSE))),"--")</f>
        <v>1.0269118245525499</v>
      </c>
      <c r="L143" s="601">
        <f>IFERROR(VLOOKUP($D143,$Z$9:$AD$10,3,FALSE)/IF($D143="Inhalation",IF($J143="Central Tendency",SUMIFS('Inhalation Exposure'!$M$6:$M$65,'Inhalation Exposure'!$B$6:$B$65,$B143,'Inhalation Exposure'!$D$6:$D$65,$C143),SUMIFS('Inhalation Exposure'!$L$6:$L$65,'Inhalation Exposure'!$B$6:$B$65,$B143,'Inhalation Exposure'!$D$6:$D$65,$C143)),IF($J143="Central Tendency",VLOOKUP($B143,'Dermal Exposure'!$A$6:$T$34,18,FALSE),VLOOKUP($B143,'Dermal Exposure'!$A$6:$T$34,12,FALSE))),"--")</f>
        <v>3.0089828067279827</v>
      </c>
      <c r="M143" s="601">
        <f>IFERROR(VLOOKUP($D143,$Z$9:$AD$10,4,FALSE)/IF($D143="Inhalation",IF($J143="Central Tendency",SUMIFS('Inhalation Exposure'!$O$6:$O$65,'Inhalation Exposure'!$B$6:$B$65,$B143,'Inhalation Exposure'!$D$6:$D$65,$C143),SUMIFS('Inhalation Exposure'!$N$6:$N$65,'Inhalation Exposure'!$B$6:$B$65,$B143,'Inhalation Exposure'!$D$6:$D$65,$C143)),IF($J143="Central Tendency",VLOOKUP($B143,'Dermal Exposure'!$A$6:$T$34,19,FALSE),VLOOKUP($B143,'Dermal Exposure'!$A$6:$T$34,13,FALSE))),"--")</f>
        <v>3.2216175917367607</v>
      </c>
      <c r="N143" s="605">
        <f>IFERROR(VLOOKUP(D143,$Z$9:$AD$10,5,FALSE)*IF($D143="Inhalation",IF($J143="Central Tendency",SUMIFS('Inhalation Exposure'!$Q$6:$Q$65,'Inhalation Exposure'!$B$6:$B$65,$B143,'Inhalation Exposure'!$D$6:$D$65,$C143),SUMIFS('Inhalation Exposure'!$P$6:$P$65,'Inhalation Exposure'!$B$6:$B$65,$B143,'Inhalation Exposure'!$D$6:$D$65,$C143)),IF($J143="Central Tendency",VLOOKUP($B143,'Dermal Exposure'!$A$6:$T$34,20,FALSE),VLOOKUP($B143,'Dermal Exposure'!$A$6:$T$34,14,FALSE))),"--")</f>
        <v>1.8603490832387569E-2</v>
      </c>
      <c r="O143" s="202"/>
      <c r="P143" s="481"/>
      <c r="Q143" s="481"/>
      <c r="R143" s="481"/>
      <c r="S143" s="481"/>
      <c r="U143" s="191"/>
      <c r="V143" s="192"/>
      <c r="W143" s="192"/>
      <c r="X143" s="193"/>
    </row>
    <row r="144" spans="2:24" ht="15.75" thickBot="1" x14ac:dyDescent="0.3">
      <c r="B144" s="299">
        <v>7</v>
      </c>
      <c r="C144" s="298" t="s">
        <v>79</v>
      </c>
      <c r="D144" s="298" t="s">
        <v>149</v>
      </c>
      <c r="E144" s="616"/>
      <c r="F144" s="616"/>
      <c r="G144" s="613"/>
      <c r="H144" s="596"/>
      <c r="I144" s="596"/>
      <c r="J144" s="599"/>
      <c r="K144" s="602"/>
      <c r="L144" s="602"/>
      <c r="M144" s="602"/>
      <c r="N144" s="606"/>
      <c r="O144" s="202"/>
      <c r="P144" s="481"/>
      <c r="Q144" s="481"/>
      <c r="R144" s="481"/>
      <c r="S144" s="481"/>
      <c r="U144" s="191"/>
      <c r="V144" s="192"/>
      <c r="W144" s="192"/>
      <c r="X144" s="193"/>
    </row>
    <row r="145" spans="2:24" ht="15.75" thickBot="1" x14ac:dyDescent="0.3">
      <c r="B145" s="299">
        <v>7</v>
      </c>
      <c r="C145" s="298" t="s">
        <v>79</v>
      </c>
      <c r="D145" s="298" t="s">
        <v>149</v>
      </c>
      <c r="E145" s="616"/>
      <c r="F145" s="616"/>
      <c r="G145" s="613"/>
      <c r="H145" s="596"/>
      <c r="I145" s="596"/>
      <c r="J145" s="598" t="s">
        <v>153</v>
      </c>
      <c r="K145" s="601">
        <f>IFERROR(VLOOKUP($D145,$Z$9:$AD$10,2,FALSE)/IF($D145="Inhalation",IF($J145="Central Tendency",SUMIFS('Inhalation Exposure'!$K$6:$K$65,'Inhalation Exposure'!$B$6:$B$65,$B145,'Inhalation Exposure'!$D$6:$D$65,$C145),SUMIFS('Inhalation Exposure'!$J$6:$J$65,'Inhalation Exposure'!$B$6:$B$65,$B145,'Inhalation Exposure'!$D$6:$D$65,$C145)),IF($J145="Central Tendency",VLOOKUP($B145,'Dermal Exposure'!$A$6:$T$34,17,FALSE),VLOOKUP($B145,'Dermal Exposure'!$A$6:$T$34,11,FALSE))),"--")</f>
        <v>0.39674826044537198</v>
      </c>
      <c r="L145" s="601">
        <f>IFERROR(VLOOKUP($D145,$Z$9:$AD$10,3,FALSE)/IF($D145="Inhalation",IF($J145="Central Tendency",SUMIFS('Inhalation Exposure'!$M$6:$M$65,'Inhalation Exposure'!$B$6:$B$65,$B145,'Inhalation Exposure'!$D$6:$D$65,$C145),SUMIFS('Inhalation Exposure'!$L$6:$L$65,'Inhalation Exposure'!$B$6:$B$65,$B145,'Inhalation Exposure'!$D$6:$D$65,$C145)),IF($J145="Central Tendency",VLOOKUP($B145,'Dermal Exposure'!$A$6:$T$34,18,FALSE),VLOOKUP($B145,'Dermal Exposure'!$A$6:$T$34,12,FALSE))),"--")</f>
        <v>1.1625230771877917</v>
      </c>
      <c r="M145" s="601">
        <f>IFERROR(VLOOKUP($D145,$Z$9:$AD$10,4,FALSE)/IF($D145="Inhalation",IF($J145="Central Tendency",SUMIFS('Inhalation Exposure'!$O$6:$O$65,'Inhalation Exposure'!$B$6:$B$65,$B145,'Inhalation Exposure'!$D$6:$D$65,$C145),SUMIFS('Inhalation Exposure'!$N$6:$N$65,'Inhalation Exposure'!$B$6:$B$65,$B145,'Inhalation Exposure'!$D$6:$D$65,$C145)),IF($J145="Central Tendency",VLOOKUP($B145,'Dermal Exposure'!$A$6:$T$34,19,FALSE),VLOOKUP($B145,'Dermal Exposure'!$A$6:$T$34,13,FALSE))),"--")</f>
        <v>1.244674707975729</v>
      </c>
      <c r="N145" s="605">
        <f>IFERROR(VLOOKUP(D145,$Z$9:$AD$10,5,FALSE)*IF($D145="Inhalation",IF($J145="Central Tendency",SUMIFS('Inhalation Exposure'!$Q$6:$Q$65,'Inhalation Exposure'!$B$6:$B$65,$B145,'Inhalation Exposure'!$D$6:$D$65,$C145),SUMIFS('Inhalation Exposure'!$P$6:$P$65,'Inhalation Exposure'!$B$6:$B$65,$B145,'Inhalation Exposure'!$D$6:$D$65,$C145)),IF($J145="Central Tendency",VLOOKUP($B145,'Dermal Exposure'!$A$6:$T$34,20,FALSE),VLOOKUP($B145,'Dermal Exposure'!$A$6:$T$34,14,FALSE))),"--")</f>
        <v>6.2131360778676106E-2</v>
      </c>
      <c r="O145" s="202"/>
      <c r="P145" s="481"/>
      <c r="Q145" s="481"/>
      <c r="R145" s="481"/>
      <c r="S145" s="481"/>
      <c r="U145" s="191"/>
      <c r="V145" s="192"/>
      <c r="W145" s="192"/>
      <c r="X145" s="193"/>
    </row>
    <row r="146" spans="2:24" ht="15.75" thickBot="1" x14ac:dyDescent="0.3">
      <c r="B146" s="299">
        <v>7</v>
      </c>
      <c r="C146" s="298" t="s">
        <v>79</v>
      </c>
      <c r="D146" s="298" t="s">
        <v>149</v>
      </c>
      <c r="E146" s="616"/>
      <c r="F146" s="616"/>
      <c r="G146" s="613"/>
      <c r="H146" s="596"/>
      <c r="I146" s="597"/>
      <c r="J146" s="611"/>
      <c r="K146" s="602"/>
      <c r="L146" s="602"/>
      <c r="M146" s="602"/>
      <c r="N146" s="606"/>
      <c r="O146" s="202"/>
      <c r="P146" s="481"/>
      <c r="Q146" s="481"/>
      <c r="R146" s="481"/>
      <c r="S146" s="481"/>
      <c r="U146" s="191"/>
      <c r="V146" s="192"/>
      <c r="W146" s="192"/>
      <c r="X146" s="193"/>
    </row>
    <row r="147" spans="2:24" ht="16.5" thickTop="1" thickBot="1" x14ac:dyDescent="0.3">
      <c r="B147" s="299">
        <v>7</v>
      </c>
      <c r="C147" s="298" t="s">
        <v>79</v>
      </c>
      <c r="D147" s="298" t="s">
        <v>59</v>
      </c>
      <c r="E147" s="616"/>
      <c r="F147" s="616"/>
      <c r="G147" s="613"/>
      <c r="H147" s="596"/>
      <c r="I147" s="609" t="s">
        <v>59</v>
      </c>
      <c r="J147" s="595" t="s">
        <v>80</v>
      </c>
      <c r="K147" s="601">
        <f>IFERROR(VLOOKUP($D147,$Z$9:$AD$10,2,FALSE)/IF($D147="Inhalation",IF($J147="Central Tendency",SUMIFS('Inhalation Exposure'!$K$6:$K$65,'Inhalation Exposure'!$B$6:$B$65,$B147,'Inhalation Exposure'!$D$6:$D$65,$C147),SUMIFS('Inhalation Exposure'!$J$6:$J$65,'Inhalation Exposure'!$B$6:$B$65,$B147,'Inhalation Exposure'!$D$6:$D$65,$C147)),IF($J147="Central Tendency",VLOOKUP($B147,'Dermal Exposure'!$A$6:$T$34,17,FALSE),VLOOKUP($B147,'Dermal Exposure'!$A$6:$T$34,11,FALSE))),"--")</f>
        <v>12329.593215944082</v>
      </c>
      <c r="L147" s="601">
        <f>IFERROR(VLOOKUP($D147,$Z$9:$AD$10,3,FALSE)/IF($D147="Inhalation",IF($J147="Central Tendency",SUMIFS('Inhalation Exposure'!$M$6:$M$65,'Inhalation Exposure'!$B$6:$B$65,$B147,'Inhalation Exposure'!$D$6:$D$65,$C147),SUMIFS('Inhalation Exposure'!$L$6:$L$65,'Inhalation Exposure'!$B$6:$B$65,$B147,'Inhalation Exposure'!$D$6:$D$65,$C147)),IF($J147="Central Tendency",VLOOKUP($B147,'Dermal Exposure'!$A$6:$T$34,18,FALSE),VLOOKUP($B147,'Dermal Exposure'!$A$6:$T$34,12,FALSE))),"--")</f>
        <v>5491.7100893309635</v>
      </c>
      <c r="M147" s="601">
        <f>IFERROR(VLOOKUP($D147,$Z$9:$AD$10,4,FALSE)/IF($D147="Inhalation",IF($J147="Central Tendency",SUMIFS('Inhalation Exposure'!$O$6:$O$65,'Inhalation Exposure'!$B$6:$B$65,$B147,'Inhalation Exposure'!$D$6:$D$65,$C147),SUMIFS('Inhalation Exposure'!$N$6:$N$65,'Inhalation Exposure'!$B$6:$B$65,$B147,'Inhalation Exposure'!$D$6:$D$65,$C147)),IF($J147="Central Tendency",VLOOKUP($B147,'Dermal Exposure'!$A$6:$T$34,19,FALSE),VLOOKUP($B147,'Dermal Exposure'!$A$6:$T$34,13,FALSE))),"--")</f>
        <v>5879.7909356436849</v>
      </c>
      <c r="N147" s="605">
        <f>IFERROR(VLOOKUP(D147,$Z$9:$AD$10,5,FALSE)*IF($D147="Inhalation",IF($J147="Central Tendency",SUMIFS('Inhalation Exposure'!$Q$6:$Q$65,'Inhalation Exposure'!$B$6:$B$65,$B147,'Inhalation Exposure'!$D$6:$D$65,$C147),SUMIFS('Inhalation Exposure'!$P$6:$P$65,'Inhalation Exposure'!$B$6:$B$65,$B147,'Inhalation Exposure'!$D$6:$D$65,$C147)),IF($J147="Central Tendency",VLOOKUP($B147,'Dermal Exposure'!$A$6:$T$34,20,FALSE),VLOOKUP($B147,'Dermal Exposure'!$A$6:$T$34,14,FALSE))),"--")</f>
        <v>1.6217165470653751E-5</v>
      </c>
      <c r="O147" s="202"/>
      <c r="P147" s="481"/>
      <c r="Q147" s="481"/>
      <c r="R147" s="481"/>
      <c r="S147" s="481"/>
      <c r="U147" s="191"/>
      <c r="V147" s="192"/>
      <c r="W147" s="192"/>
      <c r="X147" s="193"/>
    </row>
    <row r="148" spans="2:24" ht="15.75" thickBot="1" x14ac:dyDescent="0.3">
      <c r="B148" s="299">
        <v>7</v>
      </c>
      <c r="C148" s="298" t="s">
        <v>79</v>
      </c>
      <c r="D148" s="298" t="s">
        <v>59</v>
      </c>
      <c r="E148" s="616"/>
      <c r="F148" s="616"/>
      <c r="G148" s="613"/>
      <c r="H148" s="596"/>
      <c r="I148" s="596"/>
      <c r="J148" s="610"/>
      <c r="K148" s="602"/>
      <c r="L148" s="602"/>
      <c r="M148" s="602"/>
      <c r="N148" s="606"/>
      <c r="O148" s="202"/>
      <c r="P148" s="481"/>
      <c r="Q148" s="481"/>
      <c r="R148" s="481"/>
      <c r="S148" s="481"/>
      <c r="U148" s="191"/>
      <c r="V148" s="192"/>
      <c r="W148" s="192"/>
      <c r="X148" s="193"/>
    </row>
    <row r="149" spans="2:24" ht="15.75" thickBot="1" x14ac:dyDescent="0.3">
      <c r="B149" s="299">
        <v>7</v>
      </c>
      <c r="C149" s="298" t="s">
        <v>79</v>
      </c>
      <c r="D149" s="298" t="s">
        <v>59</v>
      </c>
      <c r="E149" s="616"/>
      <c r="F149" s="616"/>
      <c r="G149" s="613"/>
      <c r="H149" s="596"/>
      <c r="I149" s="596"/>
      <c r="J149" s="596" t="s">
        <v>153</v>
      </c>
      <c r="K149" s="601">
        <f>IFERROR(VLOOKUP($D149,$Z$9:$AD$10,2,FALSE)/IF($D149="Inhalation",IF($J149="Central Tendency",SUMIFS('Inhalation Exposure'!$K$6:$K$65,'Inhalation Exposure'!$B$6:$B$65,$B149,'Inhalation Exposure'!$D$6:$D$65,$C149),SUMIFS('Inhalation Exposure'!$J$6:$J$65,'Inhalation Exposure'!$B$6:$B$65,$B149,'Inhalation Exposure'!$D$6:$D$65,$C149)),IF($J149="Central Tendency",VLOOKUP($B149,'Dermal Exposure'!$A$6:$T$34,17,FALSE),VLOOKUP($B149,'Dermal Exposure'!$A$6:$T$34,11,FALSE))),"--")</f>
        <v>6512.3573362249745</v>
      </c>
      <c r="L149" s="601">
        <f>IFERROR(VLOOKUP($D149,$Z$9:$AD$10,3,FALSE)/IF($D149="Inhalation",IF($J149="Central Tendency",SUMIFS('Inhalation Exposure'!$M$6:$M$65,'Inhalation Exposure'!$B$6:$B$65,$B149,'Inhalation Exposure'!$D$6:$D$65,$C149),SUMIFS('Inhalation Exposure'!$L$6:$L$65,'Inhalation Exposure'!$B$6:$B$65,$B149,'Inhalation Exposure'!$D$6:$D$65,$C149)),IF($J149="Central Tendency",VLOOKUP($B149,'Dermal Exposure'!$A$6:$T$34,18,FALSE),VLOOKUP($B149,'Dermal Exposure'!$A$6:$T$34,12,FALSE))),"--")</f>
        <v>2900.6616732843081</v>
      </c>
      <c r="M149" s="601">
        <f>IFERROR(VLOOKUP($D149,$Z$9:$AD$10,4,FALSE)/IF($D149="Inhalation",IF($J149="Central Tendency",SUMIFS('Inhalation Exposure'!$O$6:$O$65,'Inhalation Exposure'!$B$6:$B$65,$B149,'Inhalation Exposure'!$D$6:$D$65,$C149),SUMIFS('Inhalation Exposure'!$N$6:$N$65,'Inhalation Exposure'!$B$6:$B$65,$B149,'Inhalation Exposure'!$D$6:$D$65,$C149)),IF($J149="Central Tendency",VLOOKUP($B149,'Dermal Exposure'!$A$6:$T$34,19,FALSE),VLOOKUP($B149,'Dermal Exposure'!$A$6:$T$34,13,FALSE))),"--")</f>
        <v>3105.6417648630654</v>
      </c>
      <c r="N149" s="605">
        <f>IFERROR(VLOOKUP(D149,$Z$9:$AD$10,5,FALSE)*IF($D149="Inhalation",IF($J149="Central Tendency",SUMIFS('Inhalation Exposure'!$Q$6:$Q$65,'Inhalation Exposure'!$B$6:$B$65,$B149,'Inhalation Exposure'!$D$6:$D$65,$C149),SUMIFS('Inhalation Exposure'!$P$6:$P$65,'Inhalation Exposure'!$B$6:$B$65,$B149,'Inhalation Exposure'!$D$6:$D$65,$C149)),IF($J149="Central Tendency",VLOOKUP($B149,'Dermal Exposure'!$A$6:$T$34,20,FALSE),VLOOKUP($B149,'Dermal Exposure'!$A$6:$T$34,14,FALSE))),"--")</f>
        <v>3.4311882126961833E-5</v>
      </c>
      <c r="O149" s="202"/>
      <c r="P149" s="481"/>
      <c r="Q149" s="481"/>
      <c r="R149" s="481"/>
      <c r="S149" s="481"/>
      <c r="U149" s="191"/>
      <c r="V149" s="192"/>
      <c r="W149" s="192"/>
      <c r="X149" s="193"/>
    </row>
    <row r="150" spans="2:24" ht="15.75" thickBot="1" x14ac:dyDescent="0.3">
      <c r="B150" s="299">
        <v>7</v>
      </c>
      <c r="C150" s="298" t="s">
        <v>79</v>
      </c>
      <c r="D150" s="298" t="s">
        <v>59</v>
      </c>
      <c r="E150" s="616"/>
      <c r="F150" s="616"/>
      <c r="G150" s="613"/>
      <c r="H150" s="597"/>
      <c r="I150" s="597"/>
      <c r="J150" s="610"/>
      <c r="K150" s="602"/>
      <c r="L150" s="602"/>
      <c r="M150" s="602"/>
      <c r="N150" s="606"/>
      <c r="O150" s="202"/>
      <c r="P150" s="481"/>
      <c r="Q150" s="481"/>
      <c r="R150" s="481"/>
      <c r="S150" s="481"/>
      <c r="U150" s="191"/>
      <c r="V150" s="192"/>
      <c r="W150" s="192"/>
      <c r="X150" s="193"/>
    </row>
    <row r="151" spans="2:24" ht="27" thickTop="1" thickBot="1" x14ac:dyDescent="0.3">
      <c r="B151" s="299">
        <v>7</v>
      </c>
      <c r="C151" s="298" t="s">
        <v>82</v>
      </c>
      <c r="D151" s="298" t="s">
        <v>149</v>
      </c>
      <c r="E151" s="616"/>
      <c r="F151" s="616"/>
      <c r="G151" s="613"/>
      <c r="H151" s="609" t="s">
        <v>82</v>
      </c>
      <c r="I151" s="609" t="s">
        <v>126</v>
      </c>
      <c r="J151" s="482" t="s">
        <v>80</v>
      </c>
      <c r="K151" s="476">
        <f>IFERROR(VLOOKUP($D151,$Z$9:$AD$10,2,FALSE)/IF($D151="Inhalation",IF($J151="Central Tendency",SUMIFS('Inhalation Exposure'!$K$6:$K$65,'Inhalation Exposure'!$B$6:$B$65,$B151,'Inhalation Exposure'!$D$6:$D$65,$C151),SUMIFS('Inhalation Exposure'!$J$6:$J$65,'Inhalation Exposure'!$B$6:$B$65,$B151,'Inhalation Exposure'!$D$6:$D$65,$C151)),IF($J151="Central Tendency",VLOOKUP($B151,'Dermal Exposure'!$A$6:$T$34,17,FALSE),VLOOKUP($B151,'Dermal Exposure'!$A$6:$T$34,11,FALSE))),"--")</f>
        <v>1.5396480366271919</v>
      </c>
      <c r="L151" s="476">
        <f>IFERROR(VLOOKUP($D151,$Z$9:$AD$10,3,FALSE)/IF($D151="Inhalation",IF($J151="Central Tendency",SUMIFS('Inhalation Exposure'!$M$6:$M$65,'Inhalation Exposure'!$B$6:$B$65,$B151,'Inhalation Exposure'!$D$6:$D$65,$C151),SUMIFS('Inhalation Exposure'!$L$6:$L$65,'Inhalation Exposure'!$B$6:$B$65,$B151,'Inhalation Exposure'!$D$6:$D$65,$C151)),IF($J151="Central Tendency",VLOOKUP($B151,'Dermal Exposure'!$A$6:$T$34,18,FALSE),VLOOKUP($B151,'Dermal Exposure'!$A$6:$T$34,12,FALSE))),"--")</f>
        <v>4.5113653965785492</v>
      </c>
      <c r="M151" s="476">
        <f>IFERROR(VLOOKUP($D151,$Z$9:$AD$10,4,FALSE)/IF($D151="Inhalation",IF($J151="Central Tendency",SUMIFS('Inhalation Exposure'!$O$6:$O$65,'Inhalation Exposure'!$B$6:$B$65,$B151,'Inhalation Exposure'!$D$6:$D$65,$C151),SUMIFS('Inhalation Exposure'!$N$6:$N$65,'Inhalation Exposure'!$B$6:$B$65,$B151,'Inhalation Exposure'!$D$6:$D$65,$C151)),IF($J151="Central Tendency",VLOOKUP($B151,'Dermal Exposure'!$A$6:$T$34,19,FALSE),VLOOKUP($B151,'Dermal Exposure'!$A$6:$T$34,13,FALSE))),"--")</f>
        <v>4.8301685512701003</v>
      </c>
      <c r="N151" s="477">
        <f>IFERROR(VLOOKUP(D151,$Z$9:$AD$10,5,FALSE)*IF($D151="Inhalation",IF($J151="Central Tendency",SUMIFS('Inhalation Exposure'!$Q$6:$Q$65,'Inhalation Exposure'!$B$6:$B$65,$B151,'Inhalation Exposure'!$D$6:$D$65,$C151),SUMIFS('Inhalation Exposure'!$P$6:$P$65,'Inhalation Exposure'!$B$6:$B$65,$B151,'Inhalation Exposure'!$D$6:$D$65,$C151)),IF($J151="Central Tendency",VLOOKUP($B151,'Dermal Exposure'!$A$6:$T$34,20,FALSE),VLOOKUP($B151,'Dermal Exposure'!$A$6:$T$34,14,FALSE))),"--")</f>
        <v>1.2408124622809236E-2</v>
      </c>
      <c r="O151" s="202"/>
      <c r="P151" s="481"/>
      <c r="Q151" s="481"/>
      <c r="R151" s="481"/>
      <c r="S151" s="481"/>
      <c r="U151" s="191"/>
      <c r="V151" s="192"/>
      <c r="W151" s="192"/>
      <c r="X151" s="193"/>
    </row>
    <row r="152" spans="2:24" ht="15.75" thickBot="1" x14ac:dyDescent="0.3">
      <c r="B152" s="299">
        <v>7</v>
      </c>
      <c r="C152" s="298" t="s">
        <v>82</v>
      </c>
      <c r="D152" s="298" t="s">
        <v>149</v>
      </c>
      <c r="E152" s="617"/>
      <c r="F152" s="617"/>
      <c r="G152" s="614"/>
      <c r="H152" s="610"/>
      <c r="I152" s="610"/>
      <c r="J152" s="482" t="s">
        <v>153</v>
      </c>
      <c r="K152" s="476">
        <f>IFERROR(VLOOKUP($D152,$Z$9:$AD$10,2,FALSE)/IF($D152="Inhalation",IF($J152="Central Tendency",SUMIFS('Inhalation Exposure'!$K$6:$K$65,'Inhalation Exposure'!$B$6:$B$65,$B152,'Inhalation Exposure'!$D$6:$D$65,$C152),SUMIFS('Inhalation Exposure'!$J$6:$J$65,'Inhalation Exposure'!$B$6:$B$65,$B152,'Inhalation Exposure'!$D$6:$D$65,$C152)),IF($J152="Central Tendency",VLOOKUP($B152,'Dermal Exposure'!$A$6:$T$34,17,FALSE),VLOOKUP($B152,'Dermal Exposure'!$A$6:$T$34,11,FALSE))),"--")</f>
        <v>0.47938454403191499</v>
      </c>
      <c r="L152" s="476">
        <f>IFERROR(VLOOKUP($D152,$Z$9:$AD$10,3,FALSE)/IF($D152="Inhalation",IF($J152="Central Tendency",SUMIFS('Inhalation Exposure'!$M$6:$M$65,'Inhalation Exposure'!$B$6:$B$65,$B152,'Inhalation Exposure'!$D$6:$D$65,$C152),SUMIFS('Inhalation Exposure'!$L$6:$L$65,'Inhalation Exposure'!$B$6:$B$65,$B152,'Inhalation Exposure'!$D$6:$D$65,$C152)),IF($J152="Central Tendency",VLOOKUP($B152,'Dermal Exposure'!$A$6:$T$34,18,FALSE),VLOOKUP($B152,'Dermal Exposure'!$A$6:$T$34,12,FALSE))),"--")</f>
        <v>1.4046579426930641</v>
      </c>
      <c r="M152" s="476">
        <f>IFERROR(VLOOKUP($D152,$Z$9:$AD$10,4,FALSE)/IF($D152="Inhalation",IF($J152="Central Tendency",SUMIFS('Inhalation Exposure'!$O$6:$O$65,'Inhalation Exposure'!$B$6:$B$65,$B152,'Inhalation Exposure'!$D$6:$D$65,$C152),SUMIFS('Inhalation Exposure'!$N$6:$N$65,'Inhalation Exposure'!$B$6:$B$65,$B152,'Inhalation Exposure'!$D$6:$D$65,$C152)),IF($J152="Central Tendency",VLOOKUP($B152,'Dermal Exposure'!$A$6:$T$34,19,FALSE),VLOOKUP($B152,'Dermal Exposure'!$A$6:$T$34,13,FALSE))),"--")</f>
        <v>1.5039204373100408</v>
      </c>
      <c r="N152" s="477">
        <f>IFERROR(VLOOKUP(D152,$Z$9:$AD$10,5,FALSE)*IF($D152="Inhalation",IF($J152="Central Tendency",SUMIFS('Inhalation Exposure'!$Q$6:$Q$65,'Inhalation Exposure'!$B$6:$B$65,$B152,'Inhalation Exposure'!$D$6:$D$65,$C152),SUMIFS('Inhalation Exposure'!$P$6:$P$65,'Inhalation Exposure'!$B$6:$B$65,$B152,'Inhalation Exposure'!$D$6:$D$65,$C152)),IF($J152="Central Tendency",VLOOKUP($B152,'Dermal Exposure'!$A$6:$T$34,20,FALSE),VLOOKUP($B152,'Dermal Exposure'!$A$6:$T$34,14,FALSE))),"--")</f>
        <v>5.1421159932937791E-2</v>
      </c>
      <c r="O152" s="202"/>
      <c r="P152" s="481"/>
      <c r="Q152" s="481"/>
      <c r="R152" s="481"/>
      <c r="S152" s="481"/>
      <c r="U152" s="191"/>
      <c r="V152" s="192"/>
      <c r="W152" s="192"/>
      <c r="X152" s="193"/>
    </row>
    <row r="153" spans="2:24" ht="15" customHeight="1" thickBot="1" x14ac:dyDescent="0.3">
      <c r="B153" s="297">
        <v>8</v>
      </c>
      <c r="C153" s="298" t="s">
        <v>79</v>
      </c>
      <c r="D153" s="298" t="s">
        <v>149</v>
      </c>
      <c r="E153" s="615" t="s">
        <v>196</v>
      </c>
      <c r="F153" s="615" t="s">
        <v>197</v>
      </c>
      <c r="G153" s="612" t="s">
        <v>198</v>
      </c>
      <c r="H153" s="595" t="s">
        <v>79</v>
      </c>
      <c r="I153" s="595" t="s">
        <v>126</v>
      </c>
      <c r="J153" s="598" t="s">
        <v>80</v>
      </c>
      <c r="K153" s="601">
        <f>IFERROR(VLOOKUP($D153,$Z$9:$AD$10,2,FALSE)/IF($D153="Inhalation",IF($J153="Central Tendency",SUMIFS('Inhalation Exposure'!$K$6:$K$65,'Inhalation Exposure'!$B$6:$B$65,$B153,'Inhalation Exposure'!$D$6:$D$65,$C153),SUMIFS('Inhalation Exposure'!$J$6:$J$65,'Inhalation Exposure'!$B$6:$B$65,$B153,'Inhalation Exposure'!$D$6:$D$65,$C153)),IF($J153="Central Tendency",VLOOKUP($B153,'Dermal Exposure'!$A$6:$T$34,17,FALSE),VLOOKUP($B153,'Dermal Exposure'!$A$6:$T$34,11,FALSE))),"--")</f>
        <v>0.25778260869565217</v>
      </c>
      <c r="L153" s="601">
        <f>IFERROR(VLOOKUP($D153,$Z$9:$AD$10,3,FALSE)/IF($D153="Inhalation",IF($J153="Central Tendency",SUMIFS('Inhalation Exposure'!$M$6:$M$65,'Inhalation Exposure'!$B$6:$B$65,$B153,'Inhalation Exposure'!$D$6:$D$65,$C153),SUMIFS('Inhalation Exposure'!$L$6:$L$65,'Inhalation Exposure'!$B$6:$B$65,$B153,'Inhalation Exposure'!$D$6:$D$65,$C153)),IF($J153="Central Tendency",VLOOKUP($B153,'Dermal Exposure'!$A$6:$T$34,18,FALSE),VLOOKUP($B153,'Dermal Exposure'!$A$6:$T$34,12,FALSE))),"--")</f>
        <v>0.75533596837944661</v>
      </c>
      <c r="M153" s="601">
        <f>IFERROR(VLOOKUP($D153,$Z$9:$AD$10,4,FALSE)/IF($D153="Inhalation",IF($J153="Central Tendency",SUMIFS('Inhalation Exposure'!$O$6:$O$65,'Inhalation Exposure'!$B$6:$B$65,$B153,'Inhalation Exposure'!$D$6:$D$65,$C153),SUMIFS('Inhalation Exposure'!$N$6:$N$65,'Inhalation Exposure'!$B$6:$B$65,$B153,'Inhalation Exposure'!$D$6:$D$65,$C153)),IF($J153="Central Tendency",VLOOKUP($B153,'Dermal Exposure'!$A$6:$T$34,19,FALSE),VLOOKUP($B153,'Dermal Exposure'!$A$6:$T$34,13,FALSE))),"--")</f>
        <v>0.80871304347826078</v>
      </c>
      <c r="N153" s="605">
        <f>IFERROR(VLOOKUP(D153,$Z$9:$AD$10,5,FALSE)*IF($D153="Inhalation",IF($J153="Central Tendency",SUMIFS('Inhalation Exposure'!$Q$6:$Q$65,'Inhalation Exposure'!$B$6:$B$65,$B153,'Inhalation Exposure'!$D$6:$D$65,$C153),SUMIFS('Inhalation Exposure'!$P$6:$P$65,'Inhalation Exposure'!$B$6:$B$65,$B153,'Inhalation Exposure'!$D$6:$D$65,$C153)),IF($J153="Central Tendency",VLOOKUP($B153,'Dermal Exposure'!$A$6:$T$34,20,FALSE),VLOOKUP($B153,'Dermal Exposure'!$A$6:$T$34,14,FALSE))),"--")</f>
        <v>7.4109517358049645E-2</v>
      </c>
      <c r="O153" s="477"/>
      <c r="P153" s="481"/>
      <c r="Q153" s="481"/>
      <c r="R153" s="481"/>
      <c r="S153" s="481"/>
      <c r="U153" s="191"/>
      <c r="V153" s="192"/>
      <c r="W153" s="192"/>
      <c r="X153" s="193"/>
    </row>
    <row r="154" spans="2:24" ht="15.75" thickBot="1" x14ac:dyDescent="0.3">
      <c r="B154" s="299">
        <v>8</v>
      </c>
      <c r="C154" s="298" t="s">
        <v>79</v>
      </c>
      <c r="D154" s="298" t="s">
        <v>149</v>
      </c>
      <c r="E154" s="616"/>
      <c r="F154" s="616"/>
      <c r="G154" s="613"/>
      <c r="H154" s="596"/>
      <c r="I154" s="596"/>
      <c r="J154" s="599"/>
      <c r="K154" s="602"/>
      <c r="L154" s="602"/>
      <c r="M154" s="602"/>
      <c r="N154" s="606"/>
      <c r="O154" s="500"/>
      <c r="P154" s="481"/>
      <c r="Q154" s="481"/>
      <c r="R154" s="481"/>
      <c r="S154" s="481"/>
      <c r="U154" s="191"/>
      <c r="V154" s="192"/>
      <c r="W154" s="192"/>
      <c r="X154" s="193"/>
    </row>
    <row r="155" spans="2:24" ht="15.75" thickBot="1" x14ac:dyDescent="0.3">
      <c r="B155" s="299">
        <v>8</v>
      </c>
      <c r="C155" s="298" t="s">
        <v>79</v>
      </c>
      <c r="D155" s="298" t="s">
        <v>149</v>
      </c>
      <c r="E155" s="616"/>
      <c r="F155" s="616"/>
      <c r="G155" s="613"/>
      <c r="H155" s="596"/>
      <c r="I155" s="596"/>
      <c r="J155" s="598" t="s">
        <v>153</v>
      </c>
      <c r="K155" s="601">
        <f>IFERROR(VLOOKUP($D155,$Z$9:$AD$10,2,FALSE)/IF($D155="Inhalation",IF($J155="Central Tendency",SUMIFS('Inhalation Exposure'!$K$6:$K$65,'Inhalation Exposure'!$B$6:$B$65,$B155,'Inhalation Exposure'!$D$6:$D$65,$C155),SUMIFS('Inhalation Exposure'!$J$6:$J$65,'Inhalation Exposure'!$B$6:$B$65,$B155,'Inhalation Exposure'!$D$6:$D$65,$C155)),IF($J155="Central Tendency",VLOOKUP($B155,'Dermal Exposure'!$A$6:$T$34,17,FALSE),VLOOKUP($B155,'Dermal Exposure'!$A$6:$T$34,11,FALSE))),"--")</f>
        <v>4.5724935732647812E-2</v>
      </c>
      <c r="L155" s="601">
        <f>IFERROR(VLOOKUP($D155,$Z$9:$AD$10,3,FALSE)/IF($D155="Inhalation",IF($J155="Central Tendency",SUMIFS('Inhalation Exposure'!$M$6:$M$65,'Inhalation Exposure'!$B$6:$B$65,$B155,'Inhalation Exposure'!$D$6:$D$65,$C155),SUMIFS('Inhalation Exposure'!$L$6:$L$65,'Inhalation Exposure'!$B$6:$B$65,$B155,'Inhalation Exposure'!$D$6:$D$65,$C155)),IF($J155="Central Tendency",VLOOKUP($B155,'Dermal Exposure'!$A$6:$T$34,18,FALSE),VLOOKUP($B155,'Dermal Exposure'!$A$6:$T$34,12,FALSE))),"--")</f>
        <v>0.13397990184622577</v>
      </c>
      <c r="M155" s="601">
        <f>IFERROR(VLOOKUP($D155,$Z$9:$AD$10,4,FALSE)/IF($D155="Inhalation",IF($J155="Central Tendency",SUMIFS('Inhalation Exposure'!$O$6:$O$65,'Inhalation Exposure'!$B$6:$B$65,$B155,'Inhalation Exposure'!$D$6:$D$65,$C155),SUMIFS('Inhalation Exposure'!$N$6:$N$65,'Inhalation Exposure'!$B$6:$B$65,$B155,'Inhalation Exposure'!$D$6:$D$65,$C155)),IF($J155="Central Tendency",VLOOKUP($B155,'Dermal Exposure'!$A$6:$T$34,19,FALSE),VLOOKUP($B155,'Dermal Exposure'!$A$6:$T$34,13,FALSE))),"--")</f>
        <v>0.14344781491002573</v>
      </c>
      <c r="N155" s="605">
        <f>IFERROR(VLOOKUP(D155,$Z$9:$AD$10,5,FALSE)*IF($D155="Inhalation",IF($J155="Central Tendency",SUMIFS('Inhalation Exposure'!$Q$6:$Q$65,'Inhalation Exposure'!$B$6:$B$65,$B155,'Inhalation Exposure'!$D$6:$D$65,$C155),SUMIFS('Inhalation Exposure'!$P$6:$P$65,'Inhalation Exposure'!$B$6:$B$65,$B155,'Inhalation Exposure'!$D$6:$D$65,$C155)),IF($J155="Central Tendency",VLOOKUP($B155,'Dermal Exposure'!$A$6:$T$34,20,FALSE),VLOOKUP($B155,'Dermal Exposure'!$A$6:$T$34,14,FALSE))),"--")</f>
        <v>0.53910429644284841</v>
      </c>
      <c r="O155" s="500"/>
      <c r="P155" s="481"/>
      <c r="Q155" s="481"/>
      <c r="R155" s="481"/>
      <c r="S155" s="481"/>
      <c r="U155" s="191"/>
      <c r="V155" s="192"/>
      <c r="W155" s="192"/>
      <c r="X155" s="193"/>
    </row>
    <row r="156" spans="2:24" ht="15.75" thickBot="1" x14ac:dyDescent="0.3">
      <c r="B156" s="299">
        <v>8</v>
      </c>
      <c r="C156" s="298" t="s">
        <v>79</v>
      </c>
      <c r="D156" s="298" t="s">
        <v>149</v>
      </c>
      <c r="E156" s="616"/>
      <c r="F156" s="616"/>
      <c r="G156" s="613"/>
      <c r="H156" s="596"/>
      <c r="I156" s="597"/>
      <c r="J156" s="600"/>
      <c r="K156" s="602"/>
      <c r="L156" s="602"/>
      <c r="M156" s="602"/>
      <c r="N156" s="606"/>
      <c r="O156" s="500"/>
      <c r="P156" s="481"/>
      <c r="Q156" s="481"/>
      <c r="R156" s="481"/>
      <c r="S156" s="481"/>
      <c r="U156" s="191"/>
      <c r="V156" s="192"/>
      <c r="W156" s="192"/>
      <c r="X156" s="193"/>
    </row>
    <row r="157" spans="2:24" ht="16.5" thickTop="1" thickBot="1" x14ac:dyDescent="0.3">
      <c r="B157" s="299">
        <v>8</v>
      </c>
      <c r="C157" s="298" t="s">
        <v>79</v>
      </c>
      <c r="D157" s="298" t="s">
        <v>59</v>
      </c>
      <c r="E157" s="616"/>
      <c r="F157" s="616"/>
      <c r="G157" s="613"/>
      <c r="H157" s="596"/>
      <c r="I157" s="609" t="s">
        <v>59</v>
      </c>
      <c r="J157" s="609" t="s">
        <v>80</v>
      </c>
      <c r="K157" s="601">
        <f>IFERROR(VLOOKUP($D157,$Z$9:$AD$10,2,FALSE)/IF($D157="Inhalation",IF($J157="Central Tendency",SUMIFS('Inhalation Exposure'!$K$6:$K$65,'Inhalation Exposure'!$B$6:$B$65,$B157,'Inhalation Exposure'!$D$6:$D$65,$C157),SUMIFS('Inhalation Exposure'!$J$6:$J$65,'Inhalation Exposure'!$B$6:$B$65,$B157,'Inhalation Exposure'!$D$6:$D$65,$C157)),IF($J157="Central Tendency",VLOOKUP($B157,'Dermal Exposure'!$A$6:$T$34,17,FALSE),VLOOKUP($B157,'Dermal Exposure'!$A$6:$T$34,11,FALSE))),"--")</f>
        <v>499.63232194430515</v>
      </c>
      <c r="L157" s="601">
        <f>IFERROR(VLOOKUP($D157,$Z$9:$AD$10,3,FALSE)/IF($D157="Inhalation",IF($J157="Central Tendency",SUMIFS('Inhalation Exposure'!$M$6:$M$65,'Inhalation Exposure'!$B$6:$B$65,$B157,'Inhalation Exposure'!$D$6:$D$65,$C157),SUMIFS('Inhalation Exposure'!$L$6:$L$65,'Inhalation Exposure'!$B$6:$B$65,$B157,'Inhalation Exposure'!$D$6:$D$65,$C157)),IF($J157="Central Tendency",VLOOKUP($B157,'Dermal Exposure'!$A$6:$T$34,18,FALSE),VLOOKUP($B157,'Dermal Exposure'!$A$6:$T$34,12,FALSE))),"--")</f>
        <v>222.5406641825937</v>
      </c>
      <c r="M157" s="601">
        <f>IFERROR(VLOOKUP($D157,$Z$9:$AD$10,4,FALSE)/IF($D157="Inhalation",IF($J157="Central Tendency",SUMIFS('Inhalation Exposure'!$O$6:$O$65,'Inhalation Exposure'!$B$6:$B$65,$B157,'Inhalation Exposure'!$D$6:$D$65,$C157),SUMIFS('Inhalation Exposure'!$N$6:$N$65,'Inhalation Exposure'!$B$6:$B$65,$B157,'Inhalation Exposure'!$D$6:$D$65,$C157)),IF($J157="Central Tendency",VLOOKUP($B157,'Dermal Exposure'!$A$6:$T$34,19,FALSE),VLOOKUP($B157,'Dermal Exposure'!$A$6:$T$34,13,FALSE))),"--")</f>
        <v>238.26687111816364</v>
      </c>
      <c r="N157" s="605">
        <f>IFERROR(VLOOKUP(D157,$Z$9:$AD$10,5,FALSE)*IF($D157="Inhalation",IF($J157="Central Tendency",SUMIFS('Inhalation Exposure'!$Q$6:$Q$65,'Inhalation Exposure'!$B$6:$B$65,$B157,'Inhalation Exposure'!$D$6:$D$65,$C157),SUMIFS('Inhalation Exposure'!$P$6:$P$65,'Inhalation Exposure'!$B$6:$B$65,$B157,'Inhalation Exposure'!$D$6:$D$65,$C157)),IF($J157="Central Tendency",VLOOKUP($B157,'Dermal Exposure'!$A$6:$T$34,20,FALSE),VLOOKUP($B157,'Dermal Exposure'!$A$6:$T$34,14,FALSE))),"--")</f>
        <v>3.9826036272886159E-4</v>
      </c>
      <c r="O157" s="500"/>
      <c r="P157" s="481"/>
      <c r="Q157" s="481"/>
      <c r="R157" s="481"/>
      <c r="S157" s="481"/>
      <c r="U157" s="191"/>
      <c r="V157" s="192"/>
      <c r="W157" s="192"/>
      <c r="X157" s="193"/>
    </row>
    <row r="158" spans="2:24" ht="15.75" thickBot="1" x14ac:dyDescent="0.3">
      <c r="B158" s="299">
        <v>8</v>
      </c>
      <c r="C158" s="298" t="s">
        <v>79</v>
      </c>
      <c r="D158" s="298" t="s">
        <v>59</v>
      </c>
      <c r="E158" s="616"/>
      <c r="F158" s="616"/>
      <c r="G158" s="613"/>
      <c r="H158" s="596"/>
      <c r="I158" s="596"/>
      <c r="J158" s="610"/>
      <c r="K158" s="602"/>
      <c r="L158" s="602"/>
      <c r="M158" s="602"/>
      <c r="N158" s="606"/>
      <c r="O158" s="500"/>
      <c r="P158" s="481"/>
      <c r="Q158" s="481"/>
      <c r="R158" s="481"/>
      <c r="S158" s="481"/>
      <c r="U158" s="191"/>
      <c r="V158" s="192"/>
      <c r="W158" s="192"/>
      <c r="X158" s="193"/>
    </row>
    <row r="159" spans="2:24" ht="15.75" thickBot="1" x14ac:dyDescent="0.3">
      <c r="B159" s="299">
        <v>8</v>
      </c>
      <c r="C159" s="298" t="s">
        <v>79</v>
      </c>
      <c r="D159" s="298" t="s">
        <v>59</v>
      </c>
      <c r="E159" s="616"/>
      <c r="F159" s="616"/>
      <c r="G159" s="613"/>
      <c r="H159" s="596"/>
      <c r="I159" s="596"/>
      <c r="J159" s="611" t="s">
        <v>153</v>
      </c>
      <c r="K159" s="601">
        <f>IFERROR(VLOOKUP($D159,$Z$9:$AD$10,2,FALSE)/IF($D159="Inhalation",IF($J159="Central Tendency",SUMIFS('Inhalation Exposure'!$K$6:$K$65,'Inhalation Exposure'!$B$6:$B$65,$B159,'Inhalation Exposure'!$D$6:$D$65,$C159),SUMIFS('Inhalation Exposure'!$J$6:$J$65,'Inhalation Exposure'!$B$6:$B$65,$B159,'Inhalation Exposure'!$D$6:$D$65,$C159)),IF($J159="Central Tendency",VLOOKUP($B159,'Dermal Exposure'!$A$6:$T$34,17,FALSE),VLOOKUP($B159,'Dermal Exposure'!$A$6:$T$34,11,FALSE))),"--")</f>
        <v>291.87346908513922</v>
      </c>
      <c r="L159" s="601">
        <f>IFERROR(VLOOKUP($D159,$Z$9:$AD$10,3,FALSE)/IF($D159="Inhalation",IF($J159="Central Tendency",SUMIFS('Inhalation Exposure'!$M$6:$M$65,'Inhalation Exposure'!$B$6:$B$65,$B159,'Inhalation Exposure'!$D$6:$D$65,$C159),SUMIFS('Inhalation Exposure'!$L$6:$L$65,'Inhalation Exposure'!$B$6:$B$65,$B159,'Inhalation Exposure'!$D$6:$D$65,$C159)),IF($J159="Central Tendency",VLOOKUP($B159,'Dermal Exposure'!$A$6:$T$34,18,FALSE),VLOOKUP($B159,'Dermal Exposure'!$A$6:$T$34,12,FALSE))),"--")</f>
        <v>130.00302985747408</v>
      </c>
      <c r="M159" s="601">
        <f>IFERROR(VLOOKUP($D159,$Z$9:$AD$10,4,FALSE)/IF($D159="Inhalation",IF($J159="Central Tendency",SUMIFS('Inhalation Exposure'!$O$6:$O$65,'Inhalation Exposure'!$B$6:$B$65,$B159,'Inhalation Exposure'!$D$6:$D$65,$C159),SUMIFS('Inhalation Exposure'!$N$6:$N$65,'Inhalation Exposure'!$B$6:$B$65,$B159,'Inhalation Exposure'!$D$6:$D$65,$C159)),IF($J159="Central Tendency",VLOOKUP($B159,'Dermal Exposure'!$A$6:$T$34,19,FALSE),VLOOKUP($B159,'Dermal Exposure'!$A$6:$T$34,13,FALSE))),"--")</f>
        <v>139.18991063406889</v>
      </c>
      <c r="N159" s="605">
        <f>IFERROR(VLOOKUP(D159,$Z$9:$AD$10,5,FALSE)*IF($D159="Inhalation",IF($J159="Central Tendency",SUMIFS('Inhalation Exposure'!$Q$6:$Q$65,'Inhalation Exposure'!$B$6:$B$65,$B159,'Inhalation Exposure'!$D$6:$D$65,$C159),SUMIFS('Inhalation Exposure'!$P$6:$P$65,'Inhalation Exposure'!$B$6:$B$65,$B159,'Inhalation Exposure'!$D$6:$D$65,$C159)),IF($J159="Central Tendency",VLOOKUP($B159,'Dermal Exposure'!$A$6:$T$34,20,FALSE),VLOOKUP($B159,'Dermal Exposure'!$A$6:$T$34,14,FALSE))),"--")</f>
        <v>7.7754369999564349E-4</v>
      </c>
      <c r="O159" s="500"/>
      <c r="P159" s="481"/>
      <c r="Q159" s="481"/>
      <c r="R159" s="481"/>
      <c r="S159" s="481"/>
      <c r="U159" s="191"/>
      <c r="V159" s="192"/>
      <c r="W159" s="192"/>
      <c r="X159" s="193"/>
    </row>
    <row r="160" spans="2:24" ht="15.75" thickBot="1" x14ac:dyDescent="0.3">
      <c r="B160" s="299">
        <v>8</v>
      </c>
      <c r="C160" s="298" t="s">
        <v>79</v>
      </c>
      <c r="D160" s="298" t="s">
        <v>59</v>
      </c>
      <c r="E160" s="616"/>
      <c r="F160" s="616"/>
      <c r="G160" s="613"/>
      <c r="H160" s="597"/>
      <c r="I160" s="597"/>
      <c r="J160" s="600"/>
      <c r="K160" s="602"/>
      <c r="L160" s="602"/>
      <c r="M160" s="602"/>
      <c r="N160" s="606"/>
      <c r="O160" s="500"/>
      <c r="P160" s="481"/>
      <c r="Q160" s="481"/>
      <c r="R160" s="481"/>
      <c r="S160" s="481"/>
      <c r="U160" s="191"/>
      <c r="V160" s="192"/>
      <c r="W160" s="192"/>
      <c r="X160" s="193"/>
    </row>
    <row r="161" spans="2:24" ht="27" thickTop="1" thickBot="1" x14ac:dyDescent="0.3">
      <c r="B161" s="299">
        <v>8</v>
      </c>
      <c r="C161" s="298" t="s">
        <v>82</v>
      </c>
      <c r="D161" s="298" t="s">
        <v>149</v>
      </c>
      <c r="E161" s="616"/>
      <c r="F161" s="616"/>
      <c r="G161" s="613"/>
      <c r="H161" s="609" t="s">
        <v>82</v>
      </c>
      <c r="I161" s="609" t="s">
        <v>126</v>
      </c>
      <c r="J161" s="208" t="s">
        <v>80</v>
      </c>
      <c r="K161" s="476">
        <f>IFERROR(VLOOKUP($D161,$Z$9:$AD$10,2,FALSE)/IF($D161="Inhalation",IF($J161="Central Tendency",SUMIFS('Inhalation Exposure'!$K$6:$K$65,'Inhalation Exposure'!$B$6:$B$65,$B161,'Inhalation Exposure'!$D$6:$D$65,$C161),SUMIFS('Inhalation Exposure'!$J$6:$J$65,'Inhalation Exposure'!$B$6:$B$65,$B161,'Inhalation Exposure'!$D$6:$D$65,$C161)),IF($J161="Central Tendency",VLOOKUP($B161,'Dermal Exposure'!$A$6:$T$34,17,FALSE),VLOOKUP($B161,'Dermal Exposure'!$A$6:$T$34,11,FALSE))),"--")</f>
        <v>3.2339999999999995</v>
      </c>
      <c r="L161" s="476">
        <f>IFERROR(VLOOKUP($D161,$Z$9:$AD$10,3,FALSE)/IF($D161="Inhalation",IF($J161="Central Tendency",SUMIFS('Inhalation Exposure'!$M$6:$M$65,'Inhalation Exposure'!$B$6:$B$65,$B161,'Inhalation Exposure'!$D$6:$D$65,$C161),SUMIFS('Inhalation Exposure'!$L$6:$L$65,'Inhalation Exposure'!$B$6:$B$65,$B161,'Inhalation Exposure'!$D$6:$D$65,$C161)),IF($J161="Central Tendency",VLOOKUP($B161,'Dermal Exposure'!$A$6:$T$34,18,FALSE),VLOOKUP($B161,'Dermal Exposure'!$A$6:$T$34,12,FALSE))),"--")</f>
        <v>9.4760330578512395</v>
      </c>
      <c r="M161" s="476">
        <f>IFERROR(VLOOKUP($D161,$Z$9:$AD$10,4,FALSE)/IF($D161="Inhalation",IF($J161="Central Tendency",SUMIFS('Inhalation Exposure'!$O$6:$O$65,'Inhalation Exposure'!$B$6:$B$65,$B161,'Inhalation Exposure'!$D$6:$D$65,$C161),SUMIFS('Inhalation Exposure'!$N$6:$N$65,'Inhalation Exposure'!$B$6:$B$65,$B161,'Inhalation Exposure'!$D$6:$D$65,$C161)),IF($J161="Central Tendency",VLOOKUP($B161,'Dermal Exposure'!$A$6:$T$34,19,FALSE),VLOOKUP($B161,'Dermal Exposure'!$A$6:$T$34,13,FALSE))),"--")</f>
        <v>10.145672727272727</v>
      </c>
      <c r="N161" s="477">
        <f>IFERROR(VLOOKUP(D161,$Z$9:$AD$10,5,FALSE)*IF($D161="Inhalation",IF($J161="Central Tendency",SUMIFS('Inhalation Exposure'!$Q$6:$Q$65,'Inhalation Exposure'!$B$6:$B$65,$B161,'Inhalation Exposure'!$D$6:$D$65,$C161),SUMIFS('Inhalation Exposure'!$P$6:$P$65,'Inhalation Exposure'!$B$6:$B$65,$B161,'Inhalation Exposure'!$D$6:$D$65,$C161)),IF($J161="Central Tendency",VLOOKUP($B161,'Dermal Exposure'!$A$6:$T$34,20,FALSE),VLOOKUP($B161,'Dermal Exposure'!$A$6:$T$34,14,FALSE))),"--")</f>
        <v>5.9072803691198996E-3</v>
      </c>
      <c r="O161" s="500"/>
      <c r="P161" s="481"/>
      <c r="Q161" s="481"/>
      <c r="R161" s="481"/>
      <c r="S161" s="481"/>
      <c r="U161" s="191"/>
      <c r="V161" s="192"/>
      <c r="W161" s="192"/>
      <c r="X161" s="193"/>
    </row>
    <row r="162" spans="2:24" ht="15.75" thickBot="1" x14ac:dyDescent="0.3">
      <c r="B162" s="299">
        <v>8</v>
      </c>
      <c r="C162" s="298" t="s">
        <v>82</v>
      </c>
      <c r="D162" s="298" t="s">
        <v>149</v>
      </c>
      <c r="E162" s="616"/>
      <c r="F162" s="616"/>
      <c r="G162" s="614"/>
      <c r="H162" s="610"/>
      <c r="I162" s="610"/>
      <c r="J162" s="482" t="s">
        <v>153</v>
      </c>
      <c r="K162" s="476">
        <f>IFERROR(VLOOKUP($D162,$Z$9:$AD$10,2,FALSE)/IF($D162="Inhalation",IF($J162="Central Tendency",SUMIFS('Inhalation Exposure'!$K$6:$K$65,'Inhalation Exposure'!$B$6:$B$65,$B162,'Inhalation Exposure'!$D$6:$D$65,$C162),SUMIFS('Inhalation Exposure'!$J$6:$J$65,'Inhalation Exposure'!$B$6:$B$65,$B162,'Inhalation Exposure'!$D$6:$D$65,$C162)),IF($J162="Central Tendency",VLOOKUP($B162,'Dermal Exposure'!$A$6:$T$34,17,FALSE),VLOOKUP($B162,'Dermal Exposure'!$A$6:$T$34,11,FALSE))),"--")</f>
        <v>0.39092307692307687</v>
      </c>
      <c r="L162" s="476">
        <f>IFERROR(VLOOKUP($D162,$Z$9:$AD$10,3,FALSE)/IF($D162="Inhalation",IF($J162="Central Tendency",SUMIFS('Inhalation Exposure'!$M$6:$M$65,'Inhalation Exposure'!$B$6:$B$65,$B162,'Inhalation Exposure'!$D$6:$D$65,$C162),SUMIFS('Inhalation Exposure'!$L$6:$L$65,'Inhalation Exposure'!$B$6:$B$65,$B162,'Inhalation Exposure'!$D$6:$D$65,$C162)),IF($J162="Central Tendency",VLOOKUP($B162,'Dermal Exposure'!$A$6:$T$34,18,FALSE),VLOOKUP($B162,'Dermal Exposure'!$A$6:$T$34,12,FALSE))),"--")</f>
        <v>1.1454545454545455</v>
      </c>
      <c r="M162" s="476">
        <f>IFERROR(VLOOKUP($D162,$Z$9:$AD$10,4,FALSE)/IF($D162="Inhalation",IF($J162="Central Tendency",SUMIFS('Inhalation Exposure'!$O$6:$O$65,'Inhalation Exposure'!$B$6:$B$65,$B162,'Inhalation Exposure'!$D$6:$D$65,$C162),SUMIFS('Inhalation Exposure'!$N$6:$N$65,'Inhalation Exposure'!$B$6:$B$65,$B162,'Inhalation Exposure'!$D$6:$D$65,$C162)),IF($J162="Central Tendency",VLOOKUP($B162,'Dermal Exposure'!$A$6:$T$34,19,FALSE),VLOOKUP($B162,'Dermal Exposure'!$A$6:$T$34,13,FALSE))),"--")</f>
        <v>1.2264000000000002</v>
      </c>
      <c r="N162" s="477">
        <f>IFERROR(VLOOKUP(D162,$Z$9:$AD$10,5,FALSE)*IF($D162="Inhalation",IF($J162="Central Tendency",SUMIFS('Inhalation Exposure'!$Q$6:$Q$65,'Inhalation Exposure'!$B$6:$B$65,$B162,'Inhalation Exposure'!$D$6:$D$65,$C162),SUMIFS('Inhalation Exposure'!$P$6:$P$65,'Inhalation Exposure'!$B$6:$B$65,$B162,'Inhalation Exposure'!$D$6:$D$65,$C162)),IF($J162="Central Tendency",VLOOKUP($B162,'Dermal Exposure'!$A$6:$T$34,20,FALSE),VLOOKUP($B162,'Dermal Exposure'!$A$6:$T$34,14,FALSE))),"--")</f>
        <v>6.3057186344857574E-2</v>
      </c>
      <c r="O162" s="500"/>
      <c r="P162" s="481"/>
      <c r="Q162" s="481"/>
      <c r="R162" s="481"/>
      <c r="S162" s="481"/>
      <c r="U162" s="191"/>
      <c r="V162" s="192"/>
      <c r="W162" s="192"/>
      <c r="X162" s="193"/>
    </row>
    <row r="163" spans="2:24" ht="55.5" customHeight="1" thickBot="1" x14ac:dyDescent="0.3">
      <c r="B163" s="297">
        <v>9</v>
      </c>
      <c r="C163" s="298" t="s">
        <v>79</v>
      </c>
      <c r="D163" s="298" t="s">
        <v>149</v>
      </c>
      <c r="E163" s="616"/>
      <c r="F163" s="616"/>
      <c r="G163" s="478" t="s">
        <v>199</v>
      </c>
      <c r="H163" s="595" t="s">
        <v>79</v>
      </c>
      <c r="I163" s="595" t="s">
        <v>126</v>
      </c>
      <c r="J163" s="598" t="s">
        <v>80</v>
      </c>
      <c r="K163" s="601">
        <f>IFERROR(VLOOKUP($D163,$Z$9:$AD$10,2,FALSE)/IF($D163="Inhalation",IF($J163="Central Tendency",SUMIFS('Inhalation Exposure'!$K$6:$K$65,'Inhalation Exposure'!$B$6:$B$65,$B163,'Inhalation Exposure'!$D$6:$D$65,$C163),SUMIFS('Inhalation Exposure'!$J$6:$J$65,'Inhalation Exposure'!$B$6:$B$65,$B163,'Inhalation Exposure'!$D$6:$D$65,$C163)),IF($J163="Central Tendency",VLOOKUP($B163,'Dermal Exposure'!$A$6:$T$34,17,FALSE),VLOOKUP($B163,'Dermal Exposure'!$A$6:$T$34,11,FALSE))),"--")</f>
        <v>7.8115942028985502E-2</v>
      </c>
      <c r="L163" s="601">
        <f>IFERROR(VLOOKUP($D163,$Z$9:$AD$10,3,FALSE)/IF($D163="Inhalation",IF($J163="Central Tendency",SUMIFS('Inhalation Exposure'!$M$6:$M$65,'Inhalation Exposure'!$B$6:$B$65,$B163,'Inhalation Exposure'!$D$6:$D$65,$C163),SUMIFS('Inhalation Exposure'!$L$6:$L$65,'Inhalation Exposure'!$B$6:$B$65,$B163,'Inhalation Exposure'!$D$6:$D$65,$C163)),IF($J163="Central Tendency",VLOOKUP($B163,'Dermal Exposure'!$A$6:$T$34,18,FALSE),VLOOKUP($B163,'Dermal Exposure'!$A$6:$T$34,12,FALSE))),"--")</f>
        <v>0.22888968738771109</v>
      </c>
      <c r="M163" s="601">
        <f>IFERROR(VLOOKUP($D163,$Z$9:$AD$10,4,FALSE)/IF($D163="Inhalation",IF($J163="Central Tendency",SUMIFS('Inhalation Exposure'!$O$6:$O$65,'Inhalation Exposure'!$B$6:$B$65,$B163,'Inhalation Exposure'!$D$6:$D$65,$C163),SUMIFS('Inhalation Exposure'!$N$6:$N$65,'Inhalation Exposure'!$B$6:$B$65,$B163,'Inhalation Exposure'!$D$6:$D$65,$C163)),IF($J163="Central Tendency",VLOOKUP($B163,'Dermal Exposure'!$A$6:$T$34,19,FALSE),VLOOKUP($B163,'Dermal Exposure'!$A$6:$T$34,13,FALSE))),"--")</f>
        <v>0.24506455862977602</v>
      </c>
      <c r="N163" s="605">
        <f>IFERROR(VLOOKUP(D163,$Z$9:$AD$10,5,FALSE)*IF($D163="Inhalation",IF($J163="Central Tendency",SUMIFS('Inhalation Exposure'!$Q$6:$Q$65,'Inhalation Exposure'!$B$6:$B$65,$B163,'Inhalation Exposure'!$D$6:$D$65,$C163),SUMIFS('Inhalation Exposure'!$P$6:$P$65,'Inhalation Exposure'!$B$6:$B$65,$B163,'Inhalation Exposure'!$D$6:$D$65,$C163)),IF($J163="Central Tendency",VLOOKUP($B163,'Dermal Exposure'!$A$6:$T$34,20,FALSE),VLOOKUP($B163,'Dermal Exposure'!$A$6:$T$34,14,FALSE))),"--")</f>
        <v>0.24456140728156386</v>
      </c>
      <c r="O163" s="477"/>
      <c r="P163" s="481"/>
      <c r="Q163" s="481"/>
      <c r="R163" s="481"/>
      <c r="S163" s="481"/>
      <c r="U163" s="191"/>
      <c r="V163" s="192"/>
      <c r="W163" s="192"/>
      <c r="X163" s="193"/>
    </row>
    <row r="164" spans="2:24" ht="15.75" thickBot="1" x14ac:dyDescent="0.3">
      <c r="B164" s="299">
        <v>9</v>
      </c>
      <c r="C164" s="298" t="s">
        <v>79</v>
      </c>
      <c r="D164" s="298" t="s">
        <v>149</v>
      </c>
      <c r="E164" s="616"/>
      <c r="F164" s="616"/>
      <c r="G164" s="478"/>
      <c r="H164" s="596"/>
      <c r="I164" s="596"/>
      <c r="J164" s="599"/>
      <c r="K164" s="602"/>
      <c r="L164" s="602"/>
      <c r="M164" s="602"/>
      <c r="N164" s="606"/>
      <c r="O164" s="500"/>
      <c r="P164" s="481"/>
      <c r="Q164" s="481"/>
      <c r="R164" s="481"/>
      <c r="S164" s="481"/>
      <c r="U164" s="191"/>
      <c r="V164" s="192"/>
      <c r="W164" s="192"/>
      <c r="X164" s="193"/>
    </row>
    <row r="165" spans="2:24" ht="15.75" thickBot="1" x14ac:dyDescent="0.3">
      <c r="B165" s="299">
        <v>9</v>
      </c>
      <c r="C165" s="298" t="s">
        <v>79</v>
      </c>
      <c r="D165" s="298" t="s">
        <v>149</v>
      </c>
      <c r="E165" s="616"/>
      <c r="F165" s="616"/>
      <c r="G165" s="478"/>
      <c r="H165" s="596"/>
      <c r="I165" s="596"/>
      <c r="J165" s="595" t="s">
        <v>153</v>
      </c>
      <c r="K165" s="601">
        <f>IFERROR(VLOOKUP($D165,$Z$9:$AD$10,2,FALSE)/IF($D165="Inhalation",IF($J165="Central Tendency",SUMIFS('Inhalation Exposure'!$K$6:$K$65,'Inhalation Exposure'!$B$6:$B$65,$B165,'Inhalation Exposure'!$D$6:$D$65,$C165),SUMIFS('Inhalation Exposure'!$J$6:$J$65,'Inhalation Exposure'!$B$6:$B$65,$B165,'Inhalation Exposure'!$D$6:$D$65,$C165)),IF($J165="Central Tendency",VLOOKUP($B165,'Dermal Exposure'!$A$6:$T$34,17,FALSE),VLOOKUP($B165,'Dermal Exposure'!$A$6:$T$34,11,FALSE))),"--")</f>
        <v>3.1688936397648318E-2</v>
      </c>
      <c r="L165" s="601">
        <f>IFERROR(VLOOKUP($D165,$Z$9:$AD$10,3,FALSE)/IF($D165="Inhalation",IF($J165="Central Tendency",SUMIFS('Inhalation Exposure'!$M$6:$M$65,'Inhalation Exposure'!$B$6:$B$65,$B165,'Inhalation Exposure'!$D$6:$D$65,$C165),SUMIFS('Inhalation Exposure'!$L$6:$L$65,'Inhalation Exposure'!$B$6:$B$65,$B165,'Inhalation Exposure'!$D$6:$D$65,$C165)),IF($J165="Central Tendency",VLOOKUP($B165,'Dermal Exposure'!$A$6:$T$34,18,FALSE),VLOOKUP($B165,'Dermal Exposure'!$A$6:$T$34,12,FALSE))),"--")</f>
        <v>9.2852631067489422E-2</v>
      </c>
      <c r="M165" s="601">
        <f>IFERROR(VLOOKUP($D165,$Z$9:$AD$10,4,FALSE)/IF($D165="Inhalation",IF($J165="Central Tendency",SUMIFS('Inhalation Exposure'!$O$6:$O$65,'Inhalation Exposure'!$B$6:$B$65,$B165,'Inhalation Exposure'!$D$6:$D$65,$C165),SUMIFS('Inhalation Exposure'!$N$6:$N$65,'Inhalation Exposure'!$B$6:$B$65,$B165,'Inhalation Exposure'!$D$6:$D$65,$C165)),IF($J165="Central Tendency",VLOOKUP($B165,'Dermal Exposure'!$A$6:$T$34,19,FALSE),VLOOKUP($B165,'Dermal Exposure'!$A$6:$T$34,13,FALSE))),"--")</f>
        <v>9.9414216996258686E-2</v>
      </c>
      <c r="N165" s="605">
        <f>IFERROR(VLOOKUP(D165,$Z$9:$AD$10,5,FALSE)*IF($D165="Inhalation",IF($J165="Central Tendency",SUMIFS('Inhalation Exposure'!$Q$6:$Q$65,'Inhalation Exposure'!$B$6:$B$65,$B165,'Inhalation Exposure'!$D$6:$D$65,$C165),SUMIFS('Inhalation Exposure'!$P$6:$P$65,'Inhalation Exposure'!$B$6:$B$65,$B165,'Inhalation Exposure'!$D$6:$D$65,$C165)),IF($J165="Central Tendency",VLOOKUP($B165,'Dermal Exposure'!$A$6:$T$34,20,FALSE),VLOOKUP($B165,'Dermal Exposure'!$A$6:$T$34,14,FALSE))),"--")</f>
        <v>0.77789008121689152</v>
      </c>
      <c r="O165" s="500"/>
      <c r="P165" s="481"/>
      <c r="Q165" s="481"/>
      <c r="R165" s="481"/>
      <c r="S165" s="481"/>
      <c r="U165" s="191"/>
      <c r="V165" s="192"/>
      <c r="W165" s="192"/>
      <c r="X165" s="193"/>
    </row>
    <row r="166" spans="2:24" ht="15.75" thickBot="1" x14ac:dyDescent="0.3">
      <c r="B166" s="299">
        <v>9</v>
      </c>
      <c r="C166" s="298" t="s">
        <v>79</v>
      </c>
      <c r="D166" s="298" t="s">
        <v>149</v>
      </c>
      <c r="E166" s="616"/>
      <c r="F166" s="616"/>
      <c r="G166" s="478"/>
      <c r="H166" s="596"/>
      <c r="I166" s="597"/>
      <c r="J166" s="597"/>
      <c r="K166" s="602"/>
      <c r="L166" s="602"/>
      <c r="M166" s="602"/>
      <c r="N166" s="606"/>
      <c r="O166" s="500"/>
      <c r="P166" s="481"/>
      <c r="Q166" s="481"/>
      <c r="R166" s="481"/>
      <c r="S166" s="481"/>
      <c r="U166" s="191"/>
      <c r="V166" s="192"/>
      <c r="W166" s="192"/>
      <c r="X166" s="193"/>
    </row>
    <row r="167" spans="2:24" ht="16.5" thickTop="1" thickBot="1" x14ac:dyDescent="0.3">
      <c r="B167" s="299">
        <v>9</v>
      </c>
      <c r="C167" s="298" t="s">
        <v>79</v>
      </c>
      <c r="D167" s="298" t="s">
        <v>59</v>
      </c>
      <c r="E167" s="616"/>
      <c r="F167" s="616"/>
      <c r="G167" s="478"/>
      <c r="H167" s="596"/>
      <c r="I167" s="609" t="s">
        <v>59</v>
      </c>
      <c r="J167" s="596" t="s">
        <v>80</v>
      </c>
      <c r="K167" s="601">
        <f>IFERROR(VLOOKUP($D167,$Z$9:$AD$10,2,FALSE)/IF($D167="Inhalation",IF($J167="Central Tendency",SUMIFS('Inhalation Exposure'!$K$6:$K$65,'Inhalation Exposure'!$B$6:$B$65,$B167,'Inhalation Exposure'!$D$6:$D$65,$C167),SUMIFS('Inhalation Exposure'!$J$6:$J$65,'Inhalation Exposure'!$B$6:$B$65,$B167,'Inhalation Exposure'!$D$6:$D$65,$C167)),IF($J167="Central Tendency",VLOOKUP($B167,'Dermal Exposure'!$A$6:$T$34,17,FALSE),VLOOKUP($B167,'Dermal Exposure'!$A$6:$T$34,11,FALSE))),"--")</f>
        <v>523.33133724668903</v>
      </c>
      <c r="L167" s="601">
        <f>IFERROR(VLOOKUP($D167,$Z$9:$AD$10,3,FALSE)/IF($D167="Inhalation",IF($J167="Central Tendency",SUMIFS('Inhalation Exposure'!$M$6:$M$65,'Inhalation Exposure'!$B$6:$B$65,$B167,'Inhalation Exposure'!$D$6:$D$65,$C167),SUMIFS('Inhalation Exposure'!$L$6:$L$65,'Inhalation Exposure'!$B$6:$B$65,$B167,'Inhalation Exposure'!$D$6:$D$65,$C167)),IF($J167="Central Tendency",VLOOKUP($B167,'Dermal Exposure'!$A$6:$T$34,18,FALSE),VLOOKUP($B167,'Dermal Exposure'!$A$6:$T$34,12,FALSE))),"--")</f>
        <v>233.09641563066324</v>
      </c>
      <c r="M167" s="601">
        <f>IFERROR(VLOOKUP($D167,$Z$9:$AD$10,4,FALSE)/IF($D167="Inhalation",IF($J167="Central Tendency",SUMIFS('Inhalation Exposure'!$O$6:$O$65,'Inhalation Exposure'!$B$6:$B$65,$B167,'Inhalation Exposure'!$D$6:$D$65,$C167),SUMIFS('Inhalation Exposure'!$N$6:$N$65,'Inhalation Exposure'!$B$6:$B$65,$B167,'Inhalation Exposure'!$D$6:$D$65,$C167)),IF($J167="Central Tendency",VLOOKUP($B167,'Dermal Exposure'!$A$6:$T$34,19,FALSE),VLOOKUP($B167,'Dermal Exposure'!$A$6:$T$34,13,FALSE))),"--")</f>
        <v>249.5685623352301</v>
      </c>
      <c r="N167" s="605">
        <f>IFERROR(VLOOKUP(D167,$Z$9:$AD$10,5,FALSE)*IF($D167="Inhalation",IF($J167="Central Tendency",SUMIFS('Inhalation Exposure'!$Q$6:$Q$65,'Inhalation Exposure'!$B$6:$B$65,$B167,'Inhalation Exposure'!$D$6:$D$65,$C167),SUMIFS('Inhalation Exposure'!$P$6:$P$65,'Inhalation Exposure'!$B$6:$B$65,$B167,'Inhalation Exposure'!$D$6:$D$65,$C167)),IF($J167="Central Tendency",VLOOKUP($B167,'Dermal Exposure'!$A$6:$T$34,20,FALSE),VLOOKUP($B167,'Dermal Exposure'!$A$6:$T$34,14,FALSE))),"--")</f>
        <v>3.8025014582653927E-4</v>
      </c>
      <c r="O167" s="500"/>
      <c r="P167" s="481"/>
      <c r="Q167" s="481"/>
      <c r="R167" s="481"/>
      <c r="S167" s="481"/>
      <c r="U167" s="191"/>
      <c r="V167" s="192"/>
      <c r="W167" s="192"/>
      <c r="X167" s="193"/>
    </row>
    <row r="168" spans="2:24" ht="15.75" thickBot="1" x14ac:dyDescent="0.3">
      <c r="B168" s="299">
        <v>9</v>
      </c>
      <c r="C168" s="298" t="s">
        <v>79</v>
      </c>
      <c r="D168" s="298" t="s">
        <v>59</v>
      </c>
      <c r="E168" s="616"/>
      <c r="F168" s="616"/>
      <c r="G168" s="478"/>
      <c r="H168" s="596"/>
      <c r="I168" s="596"/>
      <c r="J168" s="610"/>
      <c r="K168" s="602"/>
      <c r="L168" s="602"/>
      <c r="M168" s="602"/>
      <c r="N168" s="606"/>
      <c r="O168" s="500"/>
      <c r="P168" s="481"/>
      <c r="Q168" s="481"/>
      <c r="R168" s="481"/>
      <c r="S168" s="481"/>
      <c r="U168" s="191"/>
      <c r="V168" s="192"/>
      <c r="W168" s="192"/>
      <c r="X168" s="193"/>
    </row>
    <row r="169" spans="2:24" ht="15.75" thickBot="1" x14ac:dyDescent="0.3">
      <c r="B169" s="299">
        <v>9</v>
      </c>
      <c r="C169" s="298" t="s">
        <v>79</v>
      </c>
      <c r="D169" s="298" t="s">
        <v>59</v>
      </c>
      <c r="E169" s="616"/>
      <c r="F169" s="616"/>
      <c r="G169" s="478"/>
      <c r="H169" s="596"/>
      <c r="I169" s="596"/>
      <c r="J169" s="595" t="s">
        <v>153</v>
      </c>
      <c r="K169" s="601">
        <f>IFERROR(VLOOKUP($D169,$Z$9:$AD$10,2,FALSE)/IF($D169="Inhalation",IF($J169="Central Tendency",SUMIFS('Inhalation Exposure'!$K$6:$K$65,'Inhalation Exposure'!$B$6:$B$65,$B169,'Inhalation Exposure'!$D$6:$D$65,$C169),SUMIFS('Inhalation Exposure'!$J$6:$J$65,'Inhalation Exposure'!$B$6:$B$65,$B169,'Inhalation Exposure'!$D$6:$D$65,$C169)),IF($J169="Central Tendency",VLOOKUP($B169,'Dermal Exposure'!$A$6:$T$34,17,FALSE),VLOOKUP($B169,'Dermal Exposure'!$A$6:$T$34,11,FALSE))),"--")</f>
        <v>305.19706651526963</v>
      </c>
      <c r="L169" s="601">
        <f>IFERROR(VLOOKUP($D169,$Z$9:$AD$10,3,FALSE)/IF($D169="Inhalation",IF($J169="Central Tendency",SUMIFS('Inhalation Exposure'!$M$6:$M$65,'Inhalation Exposure'!$B$6:$B$65,$B169,'Inhalation Exposure'!$D$6:$D$65,$C169),SUMIFS('Inhalation Exposure'!$L$6:$L$65,'Inhalation Exposure'!$B$6:$B$65,$B169,'Inhalation Exposure'!$D$6:$D$65,$C169)),IF($J169="Central Tendency",VLOOKUP($B169,'Dermal Exposure'!$A$6:$T$34,18,FALSE),VLOOKUP($B169,'Dermal Exposure'!$A$6:$T$34,12,FALSE))),"--")</f>
        <v>135.93747823316033</v>
      </c>
      <c r="M169" s="601">
        <f>IFERROR(VLOOKUP($D169,$Z$9:$AD$10,4,FALSE)/IF($D169="Inhalation",IF($J169="Central Tendency",SUMIFS('Inhalation Exposure'!$O$6:$O$65,'Inhalation Exposure'!$B$6:$B$65,$B169,'Inhalation Exposure'!$D$6:$D$65,$C169),SUMIFS('Inhalation Exposure'!$N$6:$N$65,'Inhalation Exposure'!$B$6:$B$65,$B169,'Inhalation Exposure'!$D$6:$D$65,$C169)),IF($J169="Central Tendency",VLOOKUP($B169,'Dermal Exposure'!$A$6:$T$34,19,FALSE),VLOOKUP($B169,'Dermal Exposure'!$A$6:$T$34,13,FALSE))),"--")</f>
        <v>145.5437266949703</v>
      </c>
      <c r="N169" s="605">
        <f>IFERROR(VLOOKUP(D169,$Z$9:$AD$10,5,FALSE)*IF($D169="Inhalation",IF($J169="Central Tendency",SUMIFS('Inhalation Exposure'!$Q$6:$Q$65,'Inhalation Exposure'!$B$6:$B$65,$B169,'Inhalation Exposure'!$D$6:$D$65,$C169),SUMIFS('Inhalation Exposure'!$P$6:$P$65,'Inhalation Exposure'!$B$6:$B$65,$B169,'Inhalation Exposure'!$D$6:$D$65,$C169)),IF($J169="Central Tendency",VLOOKUP($B169,'Dermal Exposure'!$A$6:$T$34,20,FALSE),VLOOKUP($B169,'Dermal Exposure'!$A$6:$T$34,14,FALSE))),"--")</f>
        <v>7.4348374106688025E-4</v>
      </c>
      <c r="O169" s="500"/>
      <c r="P169" s="481"/>
      <c r="Q169" s="481"/>
      <c r="R169" s="481"/>
      <c r="S169" s="481"/>
      <c r="U169" s="191"/>
      <c r="V169" s="192"/>
      <c r="W169" s="192"/>
      <c r="X169" s="193"/>
    </row>
    <row r="170" spans="2:24" ht="15.75" thickBot="1" x14ac:dyDescent="0.3">
      <c r="B170" s="299">
        <v>9</v>
      </c>
      <c r="C170" s="298" t="s">
        <v>79</v>
      </c>
      <c r="D170" s="298" t="s">
        <v>59</v>
      </c>
      <c r="E170" s="616"/>
      <c r="F170" s="616"/>
      <c r="G170" s="478"/>
      <c r="H170" s="597"/>
      <c r="I170" s="597"/>
      <c r="J170" s="597"/>
      <c r="K170" s="602"/>
      <c r="L170" s="602"/>
      <c r="M170" s="602"/>
      <c r="N170" s="606"/>
      <c r="O170" s="500"/>
      <c r="P170" s="481"/>
      <c r="Q170" s="481"/>
      <c r="R170" s="481"/>
      <c r="S170" s="481"/>
      <c r="U170" s="191"/>
      <c r="V170" s="192"/>
      <c r="W170" s="192"/>
      <c r="X170" s="193"/>
    </row>
    <row r="171" spans="2:24" ht="27" thickTop="1" thickBot="1" x14ac:dyDescent="0.3">
      <c r="B171" s="299">
        <v>9</v>
      </c>
      <c r="C171" s="298" t="s">
        <v>82</v>
      </c>
      <c r="D171" s="298" t="s">
        <v>149</v>
      </c>
      <c r="E171" s="616"/>
      <c r="F171" s="616"/>
      <c r="G171" s="478"/>
      <c r="H171" s="609" t="s">
        <v>82</v>
      </c>
      <c r="I171" s="609" t="s">
        <v>126</v>
      </c>
      <c r="J171" s="482" t="s">
        <v>80</v>
      </c>
      <c r="K171" s="476">
        <f>IFERROR(VLOOKUP($D171,$Z$9:$AD$10,2,FALSE)/IF($D171="Inhalation",IF($J171="Central Tendency",SUMIFS('Inhalation Exposure'!$K$6:$K$65,'Inhalation Exposure'!$B$6:$B$65,$B171,'Inhalation Exposure'!$D$6:$D$65,$C171),SUMIFS('Inhalation Exposure'!$J$6:$J$65,'Inhalation Exposure'!$B$6:$B$65,$B171,'Inhalation Exposure'!$D$6:$D$65,$C171)),IF($J171="Central Tendency",VLOOKUP($B171,'Dermal Exposure'!$A$6:$T$34,17,FALSE),VLOOKUP($B171,'Dermal Exposure'!$A$6:$T$34,11,FALSE))),"--")</f>
        <v>0.11756113681427625</v>
      </c>
      <c r="L171" s="476">
        <f>IFERROR(VLOOKUP($D171,$Z$9:$AD$10,3,FALSE)/IF($D171="Inhalation",IF($J171="Central Tendency",SUMIFS('Inhalation Exposure'!$M$6:$M$65,'Inhalation Exposure'!$B$6:$B$65,$B171,'Inhalation Exposure'!$D$6:$D$65,$C171),SUMIFS('Inhalation Exposure'!$L$6:$L$65,'Inhalation Exposure'!$B$6:$B$65,$B171,'Inhalation Exposure'!$D$6:$D$65,$C171)),IF($J171="Central Tendency",VLOOKUP($B171,'Dermal Exposure'!$A$6:$T$34,18,FALSE),VLOOKUP($B171,'Dermal Exposure'!$A$6:$T$34,12,FALSE))),"--")</f>
        <v>0.34446914618758634</v>
      </c>
      <c r="M171" s="476">
        <f>IFERROR(VLOOKUP($D171,$Z$9:$AD$10,4,FALSE)/IF($D171="Inhalation",IF($J171="Central Tendency",SUMIFS('Inhalation Exposure'!$O$6:$O$65,'Inhalation Exposure'!$B$6:$B$65,$B171,'Inhalation Exposure'!$D$6:$D$65,$C171),SUMIFS('Inhalation Exposure'!$N$6:$N$65,'Inhalation Exposure'!$B$6:$B$65,$B171,'Inhalation Exposure'!$D$6:$D$65,$C171)),IF($J171="Central Tendency",VLOOKUP($B171,'Dermal Exposure'!$A$6:$T$34,19,FALSE),VLOOKUP($B171,'Dermal Exposure'!$A$6:$T$34,13,FALSE))),"--")</f>
        <v>0.36881163251817578</v>
      </c>
      <c r="N171" s="477">
        <f>IFERROR(VLOOKUP(D171,$Z$9:$AD$10,5,FALSE)*IF($D171="Inhalation",IF($J171="Central Tendency",SUMIFS('Inhalation Exposure'!$Q$6:$Q$65,'Inhalation Exposure'!$B$6:$B$65,$B171,'Inhalation Exposure'!$D$6:$D$65,$C171),SUMIFS('Inhalation Exposure'!$P$6:$P$65,'Inhalation Exposure'!$B$6:$B$65,$B171,'Inhalation Exposure'!$D$6:$D$65,$C171)),IF($J171="Central Tendency",VLOOKUP($B171,'Dermal Exposure'!$A$6:$T$34,20,FALSE),VLOOKUP($B171,'Dermal Exposure'!$A$6:$T$34,14,FALSE))),"--")</f>
        <v>0.16250391269960743</v>
      </c>
      <c r="O171" s="500"/>
      <c r="P171" s="481"/>
      <c r="Q171" s="481"/>
      <c r="R171" s="481"/>
      <c r="S171" s="481"/>
      <c r="U171" s="191"/>
      <c r="V171" s="192"/>
      <c r="W171" s="192"/>
      <c r="X171" s="193"/>
    </row>
    <row r="172" spans="2:24" ht="15.75" thickBot="1" x14ac:dyDescent="0.3">
      <c r="B172" s="297">
        <v>9</v>
      </c>
      <c r="C172" s="298" t="s">
        <v>82</v>
      </c>
      <c r="D172" s="298" t="s">
        <v>149</v>
      </c>
      <c r="E172" s="617"/>
      <c r="F172" s="617"/>
      <c r="G172" s="479"/>
      <c r="H172" s="610"/>
      <c r="I172" s="610"/>
      <c r="J172" s="482" t="s">
        <v>153</v>
      </c>
      <c r="K172" s="476">
        <f>IFERROR(VLOOKUP($D172,$Z$9:$AD$10,2,FALSE)/IF($D172="Inhalation",IF($J172="Central Tendency",SUMIFS('Inhalation Exposure'!$K$6:$K$65,'Inhalation Exposure'!$B$6:$B$65,$B172,'Inhalation Exposure'!$D$6:$D$65,$C172),SUMIFS('Inhalation Exposure'!$J$6:$J$65,'Inhalation Exposure'!$B$6:$B$65,$B172,'Inhalation Exposure'!$D$6:$D$65,$C172)),IF($J172="Central Tendency",VLOOKUP($B172,'Dermal Exposure'!$A$6:$T$34,17,FALSE),VLOOKUP($B172,'Dermal Exposure'!$A$6:$T$34,11,FALSE))),"--")</f>
        <v>3.8272189349112425E-2</v>
      </c>
      <c r="L172" s="476">
        <f>IFERROR(VLOOKUP($D172,$Z$9:$AD$10,3,FALSE)/IF($D172="Inhalation",IF($J172="Central Tendency",SUMIFS('Inhalation Exposure'!$M$6:$M$65,'Inhalation Exposure'!$B$6:$B$65,$B172,'Inhalation Exposure'!$D$6:$D$65,$C172),SUMIFS('Inhalation Exposure'!$L$6:$L$65,'Inhalation Exposure'!$B$6:$B$65,$B172,'Inhalation Exposure'!$D$6:$D$65,$C172)),IF($J172="Central Tendency",VLOOKUP($B172,'Dermal Exposure'!$A$6:$T$34,18,FALSE),VLOOKUP($B172,'Dermal Exposure'!$A$6:$T$34,12,FALSE))),"--")</f>
        <v>0.11214240305149395</v>
      </c>
      <c r="M172" s="476">
        <f>IFERROR(VLOOKUP($D172,$Z$9:$AD$10,4,FALSE)/IF($D172="Inhalation",IF($J172="Central Tendency",SUMIFS('Inhalation Exposure'!$O$6:$O$65,'Inhalation Exposure'!$B$6:$B$65,$B172,'Inhalation Exposure'!$D$6:$D$65,$C172),SUMIFS('Inhalation Exposure'!$N$6:$N$65,'Inhalation Exposure'!$B$6:$B$65,$B172,'Inhalation Exposure'!$D$6:$D$65,$C172)),IF($J172="Central Tendency",VLOOKUP($B172,'Dermal Exposure'!$A$6:$T$34,19,FALSE),VLOOKUP($B172,'Dermal Exposure'!$A$6:$T$34,13,FALSE))),"--")</f>
        <v>0.12006713286713286</v>
      </c>
      <c r="N172" s="477">
        <f>IFERROR(VLOOKUP(D172,$Z$9:$AD$10,5,FALSE)*IF($D172="Inhalation",IF($J172="Central Tendency",SUMIFS('Inhalation Exposure'!$Q$6:$Q$65,'Inhalation Exposure'!$B$6:$B$65,$B172,'Inhalation Exposure'!$D$6:$D$65,$C172),SUMIFS('Inhalation Exposure'!$P$6:$P$65,'Inhalation Exposure'!$B$6:$B$65,$B172,'Inhalation Exposure'!$D$6:$D$65,$C172)),IF($J172="Central Tendency",VLOOKUP($B172,'Dermal Exposure'!$A$6:$T$34,20,FALSE),VLOOKUP($B172,'Dermal Exposure'!$A$6:$T$34,14,FALSE))),"--")</f>
        <v>0.64408411766533102</v>
      </c>
      <c r="O172" s="499"/>
      <c r="P172" s="481"/>
      <c r="Q172" s="481"/>
      <c r="R172" s="481"/>
      <c r="S172" s="481"/>
      <c r="U172" s="191"/>
      <c r="V172" s="192"/>
      <c r="W172" s="192"/>
      <c r="X172" s="193"/>
    </row>
    <row r="173" spans="2:24" ht="15.75" customHeight="1" thickBot="1" x14ac:dyDescent="0.3">
      <c r="B173" s="299" t="s">
        <v>200</v>
      </c>
      <c r="C173" s="298" t="s">
        <v>79</v>
      </c>
      <c r="D173" s="298" t="s">
        <v>149</v>
      </c>
      <c r="E173" s="615" t="s">
        <v>201</v>
      </c>
      <c r="F173" s="615" t="s">
        <v>202</v>
      </c>
      <c r="G173" s="592" t="s">
        <v>203</v>
      </c>
      <c r="H173" s="595" t="s">
        <v>79</v>
      </c>
      <c r="I173" s="595" t="s">
        <v>126</v>
      </c>
      <c r="J173" s="598" t="s">
        <v>80</v>
      </c>
      <c r="K173" s="601">
        <f>IFERROR(VLOOKUP($D173,$Z$9:$AD$10,2,FALSE)/IF($D173="Inhalation",IF($J173="Central Tendency",SUMIFS('Inhalation Exposure'!$K$6:$K$65,'Inhalation Exposure'!$B$6:$B$65,$B173,'Inhalation Exposure'!$D$6:$D$65,$C173),SUMIFS('Inhalation Exposure'!$J$6:$J$65,'Inhalation Exposure'!$B$6:$B$65,$B173,'Inhalation Exposure'!$D$6:$D$65,$C173)),IF($J173="Central Tendency",VLOOKUP($B173,'Dermal Exposure'!$A$6:$T$34,17,FALSE),VLOOKUP($B173,'Dermal Exposure'!$A$6:$T$34,11,FALSE))),"--")</f>
        <v>122.90736342042754</v>
      </c>
      <c r="L173" s="601">
        <f>IFERROR(VLOOKUP($D173,$Z$9:$AD$10,3,FALSE)/IF($D173="Inhalation",IF($J173="Central Tendency",SUMIFS('Inhalation Exposure'!$M$6:$M$65,'Inhalation Exposure'!$B$6:$B$65,$B173,'Inhalation Exposure'!$D$6:$D$65,$C173),SUMIFS('Inhalation Exposure'!$L$6:$L$65,'Inhalation Exposure'!$B$6:$B$65,$B173,'Inhalation Exposure'!$D$6:$D$65,$C173)),IF($J173="Central Tendency",VLOOKUP($B173,'Dermal Exposure'!$A$6:$T$34,18,FALSE),VLOOKUP($B173,'Dermal Exposure'!$A$6:$T$34,12,FALSE))),"--")</f>
        <v>360.13427298246995</v>
      </c>
      <c r="M173" s="601">
        <f>IFERROR(VLOOKUP($D173,$Z$9:$AD$10,4,FALSE)/IF($D173="Inhalation",IF($J173="Central Tendency",SUMIFS('Inhalation Exposure'!$O$6:$O$65,'Inhalation Exposure'!$B$6:$B$65,$B173,'Inhalation Exposure'!$D$6:$D$65,$C173),SUMIFS('Inhalation Exposure'!$N$6:$N$65,'Inhalation Exposure'!$B$6:$B$65,$B173,'Inhalation Exposure'!$D$6:$D$65,$C173)),IF($J173="Central Tendency",VLOOKUP($B173,'Dermal Exposure'!$A$6:$T$34,19,FALSE),VLOOKUP($B173,'Dermal Exposure'!$A$6:$T$34,13,FALSE))),"--")</f>
        <v>385.58376160656445</v>
      </c>
      <c r="N173" s="603">
        <f>IFERROR(VLOOKUP(D173,$Z$9:$AD$10,5,FALSE)*IF($D173="Inhalation",IF($J173="Central Tendency",SUMIFS('Inhalation Exposure'!$Q$6:$Q$65,'Inhalation Exposure'!$B$6:$B$65,$B173,'Inhalation Exposure'!$D$6:$D$65,$C173),SUMIFS('Inhalation Exposure'!$P$6:$P$65,'Inhalation Exposure'!$B$6:$B$65,$B173,'Inhalation Exposure'!$D$6:$D$65,$C173)),IF($J173="Central Tendency",VLOOKUP($B173,'Dermal Exposure'!$A$6:$T$34,20,FALSE),VLOOKUP($B173,'Dermal Exposure'!$A$6:$T$34,14,FALSE))),"--")</f>
        <v>1.5543531471246737E-4</v>
      </c>
      <c r="O173" s="477"/>
      <c r="P173" s="183">
        <f>IFERROR(K173*U173, "--")</f>
        <v>1229.0736342042755</v>
      </c>
      <c r="Q173" s="183">
        <f>IFERROR(L173*V173, "--")</f>
        <v>3601.3427298246997</v>
      </c>
      <c r="R173" s="183">
        <f>IFERROR(M173*W173, "--")</f>
        <v>3855.8376160656444</v>
      </c>
      <c r="S173" s="184">
        <f>IFERROR(N173/X173, "--")</f>
        <v>1.5543531471246735E-5</v>
      </c>
      <c r="U173" s="185">
        <v>10</v>
      </c>
      <c r="V173" s="186">
        <v>10</v>
      </c>
      <c r="W173" s="186">
        <v>10</v>
      </c>
      <c r="X173" s="187">
        <v>10</v>
      </c>
    </row>
    <row r="174" spans="2:24" ht="15.75" thickBot="1" x14ac:dyDescent="0.3">
      <c r="B174" s="299" t="s">
        <v>200</v>
      </c>
      <c r="C174" s="298" t="s">
        <v>79</v>
      </c>
      <c r="D174" s="298" t="s">
        <v>149</v>
      </c>
      <c r="E174" s="616"/>
      <c r="F174" s="616"/>
      <c r="G174" s="593"/>
      <c r="H174" s="596"/>
      <c r="I174" s="596"/>
      <c r="J174" s="599"/>
      <c r="K174" s="602"/>
      <c r="L174" s="602"/>
      <c r="M174" s="602"/>
      <c r="N174" s="604"/>
      <c r="O174" s="500"/>
      <c r="P174" s="482" t="str">
        <f>CONCATENATE("(APF ",U173,")")</f>
        <v>(APF 10)</v>
      </c>
      <c r="Q174" s="482" t="str">
        <f>CONCATENATE("(APF ",V173,")")</f>
        <v>(APF 10)</v>
      </c>
      <c r="R174" s="482" t="str">
        <f>CONCATENATE("(APF ",W173,")")</f>
        <v>(APF 10)</v>
      </c>
      <c r="S174" s="482" t="str">
        <f>CONCATENATE("(APF ",X173,")")</f>
        <v>(APF 10)</v>
      </c>
      <c r="U174" s="191" t="s">
        <v>152</v>
      </c>
      <c r="V174" s="192" t="s">
        <v>152</v>
      </c>
      <c r="W174" s="192" t="s">
        <v>152</v>
      </c>
      <c r="X174" s="193" t="s">
        <v>152</v>
      </c>
    </row>
    <row r="175" spans="2:24" ht="15.75" thickBot="1" x14ac:dyDescent="0.3">
      <c r="B175" s="299" t="s">
        <v>200</v>
      </c>
      <c r="C175" s="298" t="s">
        <v>79</v>
      </c>
      <c r="D175" s="298" t="s">
        <v>149</v>
      </c>
      <c r="E175" s="616"/>
      <c r="F175" s="616"/>
      <c r="G175" s="593"/>
      <c r="H175" s="596"/>
      <c r="I175" s="596"/>
      <c r="J175" s="598" t="s">
        <v>153</v>
      </c>
      <c r="K175" s="601">
        <f>IFERROR(VLOOKUP($D175,$Z$9:$AD$10,2,FALSE)/IF($D175="Inhalation",IF($J175="Central Tendency",SUMIFS('Inhalation Exposure'!$K$6:$K$65,'Inhalation Exposure'!$B$6:$B$65,$B175,'Inhalation Exposure'!$D$6:$D$65,$C175),SUMIFS('Inhalation Exposure'!$J$6:$J$65,'Inhalation Exposure'!$B$6:$B$65,$B175,'Inhalation Exposure'!$D$6:$D$65,$C175)),IF($J175="Central Tendency",VLOOKUP($B175,'Dermal Exposure'!$A$6:$T$34,17,FALSE),VLOOKUP($B175,'Dermal Exposure'!$A$6:$T$34,11,FALSE))),"--")</f>
        <v>2.5966699767181218</v>
      </c>
      <c r="L175" s="601">
        <f>IFERROR(VLOOKUP($D175,$Z$9:$AD$10,3,FALSE)/IF($D175="Inhalation",IF($J175="Central Tendency",SUMIFS('Inhalation Exposure'!$M$6:$M$65,'Inhalation Exposure'!$B$6:$B$65,$B175,'Inhalation Exposure'!$D$6:$D$65,$C175),SUMIFS('Inhalation Exposure'!$L$6:$L$65,'Inhalation Exposure'!$B$6:$B$65,$B175,'Inhalation Exposure'!$D$6:$D$65,$C175)),IF($J175="Central Tendency",VLOOKUP($B175,'Dermal Exposure'!$A$6:$T$34,18,FALSE),VLOOKUP($B175,'Dermal Exposure'!$A$6:$T$34,12,FALSE))),"--")</f>
        <v>7.6085746876038129</v>
      </c>
      <c r="M175" s="601">
        <f>IFERROR(VLOOKUP($D175,$Z$9:$AD$10,4,FALSE)/IF($D175="Inhalation",IF($J175="Central Tendency",SUMIFS('Inhalation Exposure'!$O$6:$O$65,'Inhalation Exposure'!$B$6:$B$65,$B175,'Inhalation Exposure'!$D$6:$D$65,$C175),SUMIFS('Inhalation Exposure'!$N$6:$N$65,'Inhalation Exposure'!$B$6:$B$65,$B175,'Inhalation Exposure'!$D$6:$D$65,$C175)),IF($J175="Central Tendency",VLOOKUP($B175,'Dermal Exposure'!$A$6:$T$34,19,FALSE),VLOOKUP($B175,'Dermal Exposure'!$A$6:$T$34,13,FALSE))),"--")</f>
        <v>8.1462472988611516</v>
      </c>
      <c r="N175" s="603">
        <f>IFERROR(VLOOKUP(D175,$Z$9:$AD$10,5,FALSE)*IF($D175="Inhalation",IF($J175="Central Tendency",SUMIFS('Inhalation Exposure'!$Q$6:$Q$65,'Inhalation Exposure'!$B$6:$B$65,$B175,'Inhalation Exposure'!$D$6:$D$65,$C175),SUMIFS('Inhalation Exposure'!$P$6:$P$65,'Inhalation Exposure'!$B$6:$B$65,$B175,'Inhalation Exposure'!$D$6:$D$65,$C175)),IF($J175="Central Tendency",VLOOKUP($B175,'Dermal Exposure'!$A$6:$T$34,20,FALSE),VLOOKUP($B175,'Dermal Exposure'!$A$6:$T$34,14,FALSE))),"--")</f>
        <v>9.4931237042293771E-3</v>
      </c>
      <c r="O175" s="500"/>
      <c r="P175" s="183">
        <f>IFERROR(K175*U175, "--")</f>
        <v>25.966699767181218</v>
      </c>
      <c r="Q175" s="183">
        <f>IFERROR(L175*V175, "--")</f>
        <v>76.085746876038129</v>
      </c>
      <c r="R175" s="183">
        <f>IFERROR(M175*W175, "--")</f>
        <v>81.462472988611523</v>
      </c>
      <c r="S175" s="184">
        <f>IFERROR(N175/X175, "--")</f>
        <v>1.8986247408458754E-4</v>
      </c>
      <c r="U175" s="194">
        <v>10</v>
      </c>
      <c r="V175" s="195">
        <v>10</v>
      </c>
      <c r="W175" s="195">
        <v>10</v>
      </c>
      <c r="X175" s="196">
        <v>50</v>
      </c>
    </row>
    <row r="176" spans="2:24" ht="15.75" thickBot="1" x14ac:dyDescent="0.3">
      <c r="B176" s="299" t="s">
        <v>200</v>
      </c>
      <c r="C176" s="298" t="s">
        <v>79</v>
      </c>
      <c r="D176" s="298" t="s">
        <v>149</v>
      </c>
      <c r="E176" s="616"/>
      <c r="F176" s="616"/>
      <c r="G176" s="594"/>
      <c r="H176" s="596"/>
      <c r="I176" s="597"/>
      <c r="J176" s="600"/>
      <c r="K176" s="602"/>
      <c r="L176" s="602"/>
      <c r="M176" s="602"/>
      <c r="N176" s="604"/>
      <c r="O176" s="500"/>
      <c r="P176" s="480" t="str">
        <f>CONCATENATE("(APF ",U175,")")</f>
        <v>(APF 10)</v>
      </c>
      <c r="Q176" s="480" t="str">
        <f>CONCATENATE("(APF ",V175,")")</f>
        <v>(APF 10)</v>
      </c>
      <c r="R176" s="480" t="str">
        <f>CONCATENATE("(APF ",W175,")")</f>
        <v>(APF 10)</v>
      </c>
      <c r="S176" s="480" t="str">
        <f>CONCATENATE("(APF ",X175,")")</f>
        <v>(APF 50)</v>
      </c>
      <c r="U176" s="199" t="s">
        <v>152</v>
      </c>
      <c r="V176" s="200" t="s">
        <v>152</v>
      </c>
      <c r="W176" s="200" t="s">
        <v>152</v>
      </c>
      <c r="X176" s="201" t="s">
        <v>152</v>
      </c>
    </row>
    <row r="177" spans="2:24" ht="15.75" thickBot="1" x14ac:dyDescent="0.3">
      <c r="B177" s="299" t="s">
        <v>204</v>
      </c>
      <c r="C177" s="298" t="s">
        <v>79</v>
      </c>
      <c r="D177" s="298" t="s">
        <v>149</v>
      </c>
      <c r="E177" s="616"/>
      <c r="F177" s="616"/>
      <c r="G177" s="592" t="s">
        <v>205</v>
      </c>
      <c r="H177" s="596"/>
      <c r="I177" s="595" t="s">
        <v>126</v>
      </c>
      <c r="J177" s="598" t="s">
        <v>80</v>
      </c>
      <c r="K177" s="601">
        <f>IFERROR(VLOOKUP($D177,$Z$9:$AD$10,2,FALSE)/IF($D177="Inhalation",IF($J177="Central Tendency",SUMIFS('Inhalation Exposure'!$K$6:$K$65,'Inhalation Exposure'!$B$6:$B$65,$B177,'Inhalation Exposure'!$D$6:$D$65,$C177),SUMIFS('Inhalation Exposure'!$J$6:$J$65,'Inhalation Exposure'!$B$6:$B$65,$B177,'Inhalation Exposure'!$D$6:$D$65,$C177)),IF($J177="Central Tendency",VLOOKUP($B177,'Dermal Exposure'!$A$6:$T$34,17,FALSE),VLOOKUP($B177,'Dermal Exposure'!$A$6:$T$34,11,FALSE))),"--")</f>
        <v>62.410526315789468</v>
      </c>
      <c r="L177" s="601">
        <f>IFERROR(VLOOKUP($D177,$Z$9:$AD$10,3,FALSE)/IF($D177="Inhalation",IF($J177="Central Tendency",SUMIFS('Inhalation Exposure'!$M$6:$M$65,'Inhalation Exposure'!$B$6:$B$65,$B177,'Inhalation Exposure'!$D$6:$D$65,$C177),SUMIFS('Inhalation Exposure'!$L$6:$L$65,'Inhalation Exposure'!$B$6:$B$65,$B177,'Inhalation Exposure'!$D$6:$D$65,$C177)),IF($J177="Central Tendency",VLOOKUP($B177,'Dermal Exposure'!$A$6:$T$34,18,FALSE),VLOOKUP($B177,'Dermal Exposure'!$A$6:$T$34,12,FALSE))),"--")</f>
        <v>182.87081339712918</v>
      </c>
      <c r="M177" s="601">
        <f>IFERROR(VLOOKUP($D177,$Z$9:$AD$10,4,FALSE)/IF($D177="Inhalation",IF($J177="Central Tendency",SUMIFS('Inhalation Exposure'!$O$6:$O$65,'Inhalation Exposure'!$B$6:$B$65,$B177,'Inhalation Exposure'!$D$6:$D$65,$C177),SUMIFS('Inhalation Exposure'!$N$6:$N$65,'Inhalation Exposure'!$B$6:$B$65,$B177,'Inhalation Exposure'!$D$6:$D$65,$C177)),IF($J177="Central Tendency",VLOOKUP($B177,'Dermal Exposure'!$A$6:$T$34,19,FALSE),VLOOKUP($B177,'Dermal Exposure'!$A$6:$T$34,13,FALSE))),"--")</f>
        <v>195.79368421052629</v>
      </c>
      <c r="N177" s="603">
        <f>IFERROR(VLOOKUP(D177,$Z$9:$AD$10,5,FALSE)*IF($D177="Inhalation",IF($J177="Central Tendency",SUMIFS('Inhalation Exposure'!$Q$6:$Q$65,'Inhalation Exposure'!$B$6:$B$65,$B177,'Inhalation Exposure'!$D$6:$D$65,$C177),SUMIFS('Inhalation Exposure'!$P$6:$P$65,'Inhalation Exposure'!$B$6:$B$65,$B177,'Inhalation Exposure'!$D$6:$D$65,$C177)),IF($J177="Central Tendency",VLOOKUP($B177,'Dermal Exposure'!$A$6:$T$34,20,FALSE),VLOOKUP($B177,'Dermal Exposure'!$A$6:$T$34,14,FALSE))),"--")</f>
        <v>3.0610452821803119E-4</v>
      </c>
      <c r="O177" s="500"/>
      <c r="P177" s="481"/>
      <c r="Q177" s="481"/>
      <c r="R177" s="481"/>
      <c r="S177" s="481"/>
      <c r="U177" s="191"/>
      <c r="V177" s="192"/>
      <c r="W177" s="192"/>
      <c r="X177" s="193"/>
    </row>
    <row r="178" spans="2:24" ht="15.75" thickBot="1" x14ac:dyDescent="0.3">
      <c r="B178" s="299" t="s">
        <v>204</v>
      </c>
      <c r="C178" s="298" t="s">
        <v>79</v>
      </c>
      <c r="D178" s="298" t="s">
        <v>149</v>
      </c>
      <c r="E178" s="616"/>
      <c r="F178" s="616"/>
      <c r="G178" s="593"/>
      <c r="H178" s="596"/>
      <c r="I178" s="596"/>
      <c r="J178" s="599"/>
      <c r="K178" s="602"/>
      <c r="L178" s="602"/>
      <c r="M178" s="602"/>
      <c r="N178" s="604"/>
      <c r="O178" s="500"/>
      <c r="P178" s="481"/>
      <c r="Q178" s="481"/>
      <c r="R178" s="481"/>
      <c r="S178" s="481"/>
      <c r="U178" s="191"/>
      <c r="V178" s="192"/>
      <c r="W178" s="192"/>
      <c r="X178" s="193"/>
    </row>
    <row r="179" spans="2:24" ht="15.75" thickBot="1" x14ac:dyDescent="0.3">
      <c r="B179" s="299" t="s">
        <v>204</v>
      </c>
      <c r="C179" s="298" t="s">
        <v>79</v>
      </c>
      <c r="D179" s="298" t="s">
        <v>149</v>
      </c>
      <c r="E179" s="616"/>
      <c r="F179" s="616"/>
      <c r="G179" s="593"/>
      <c r="H179" s="596"/>
      <c r="I179" s="596"/>
      <c r="J179" s="598" t="s">
        <v>153</v>
      </c>
      <c r="K179" s="601">
        <f>IFERROR(VLOOKUP($D179,$Z$9:$AD$10,2,FALSE)/IF($D179="Inhalation",IF($J179="Central Tendency",SUMIFS('Inhalation Exposure'!$K$6:$K$65,'Inhalation Exposure'!$B$6:$B$65,$B179,'Inhalation Exposure'!$D$6:$D$65,$C179),SUMIFS('Inhalation Exposure'!$J$6:$J$65,'Inhalation Exposure'!$B$6:$B$65,$B179,'Inhalation Exposure'!$D$6:$D$65,$C179)),IF($J179="Central Tendency",VLOOKUP($B179,'Dermal Exposure'!$A$6:$T$34,17,FALSE),VLOOKUP($B179,'Dermal Exposure'!$A$6:$T$34,11,FALSE))),"--")</f>
        <v>61.33448275862068</v>
      </c>
      <c r="L179" s="601">
        <f>IFERROR(VLOOKUP($D179,$Z$9:$AD$10,3,FALSE)/IF($D179="Inhalation",IF($J179="Central Tendency",SUMIFS('Inhalation Exposure'!$M$6:$M$65,'Inhalation Exposure'!$B$6:$B$65,$B179,'Inhalation Exposure'!$D$6:$D$65,$C179),SUMIFS('Inhalation Exposure'!$L$6:$L$65,'Inhalation Exposure'!$B$6:$B$65,$B179,'Inhalation Exposure'!$D$6:$D$65,$C179)),IF($J179="Central Tendency",VLOOKUP($B179,'Dermal Exposure'!$A$6:$T$34,18,FALSE),VLOOKUP($B179,'Dermal Exposure'!$A$6:$T$34,12,FALSE))),"--")</f>
        <v>179.71786833855799</v>
      </c>
      <c r="M179" s="601">
        <f>IFERROR(VLOOKUP($D179,$Z$9:$AD$10,4,FALSE)/IF($D179="Inhalation",IF($J179="Central Tendency",SUMIFS('Inhalation Exposure'!$O$6:$O$65,'Inhalation Exposure'!$B$6:$B$65,$B179,'Inhalation Exposure'!$D$6:$D$65,$C179),SUMIFS('Inhalation Exposure'!$N$6:$N$65,'Inhalation Exposure'!$B$6:$B$65,$B179,'Inhalation Exposure'!$D$6:$D$65,$C179)),IF($J179="Central Tendency",VLOOKUP($B179,'Dermal Exposure'!$A$6:$T$34,19,FALSE),VLOOKUP($B179,'Dermal Exposure'!$A$6:$T$34,13,FALSE))),"--")</f>
        <v>192.41793103448276</v>
      </c>
      <c r="N179" s="603">
        <f>IFERROR(VLOOKUP(D179,$Z$9:$AD$10,5,FALSE)*IF($D179="Inhalation",IF($J179="Central Tendency",SUMIFS('Inhalation Exposure'!$Q$6:$Q$65,'Inhalation Exposure'!$B$6:$B$65,$B179,'Inhalation Exposure'!$D$6:$D$65,$C179),SUMIFS('Inhalation Exposure'!$P$6:$P$65,'Inhalation Exposure'!$B$6:$B$65,$B179,'Inhalation Exposure'!$D$6:$D$65,$C179)),IF($J179="Central Tendency",VLOOKUP($B179,'Dermal Exposure'!$A$6:$T$34,20,FALSE),VLOOKUP($B179,'Dermal Exposure'!$A$6:$T$34,14,FALSE))),"--")</f>
        <v>4.0190294593425713E-4</v>
      </c>
      <c r="O179" s="500"/>
      <c r="P179" s="481"/>
      <c r="Q179" s="481"/>
      <c r="R179" s="481"/>
      <c r="S179" s="481"/>
      <c r="U179" s="191"/>
      <c r="V179" s="192"/>
      <c r="W179" s="192"/>
      <c r="X179" s="193"/>
    </row>
    <row r="180" spans="2:24" ht="15.75" thickBot="1" x14ac:dyDescent="0.3">
      <c r="B180" s="299" t="s">
        <v>204</v>
      </c>
      <c r="C180" s="298" t="s">
        <v>79</v>
      </c>
      <c r="D180" s="298" t="s">
        <v>149</v>
      </c>
      <c r="E180" s="616"/>
      <c r="F180" s="616"/>
      <c r="G180" s="594"/>
      <c r="H180" s="596"/>
      <c r="I180" s="597"/>
      <c r="J180" s="600"/>
      <c r="K180" s="602"/>
      <c r="L180" s="602"/>
      <c r="M180" s="602"/>
      <c r="N180" s="604"/>
      <c r="O180" s="500"/>
      <c r="P180" s="481"/>
      <c r="Q180" s="481"/>
      <c r="R180" s="481"/>
      <c r="S180" s="481"/>
      <c r="U180" s="191"/>
      <c r="V180" s="192"/>
      <c r="W180" s="192"/>
      <c r="X180" s="193"/>
    </row>
    <row r="181" spans="2:24" ht="51.75" customHeight="1" thickBot="1" x14ac:dyDescent="0.3">
      <c r="B181" s="299" t="s">
        <v>206</v>
      </c>
      <c r="C181" s="298" t="s">
        <v>79</v>
      </c>
      <c r="D181" s="298" t="s">
        <v>149</v>
      </c>
      <c r="E181" s="616"/>
      <c r="F181" s="616"/>
      <c r="G181" s="592" t="s">
        <v>207</v>
      </c>
      <c r="H181" s="596"/>
      <c r="I181" s="595" t="s">
        <v>126</v>
      </c>
      <c r="J181" s="598" t="s">
        <v>80</v>
      </c>
      <c r="K181" s="601">
        <f>IFERROR(VLOOKUP($D181,$Z$9:$AD$10,2,FALSE)/IF($D181="Inhalation",IF($J181="Central Tendency",SUMIFS('Inhalation Exposure'!$K$6:$K$65,'Inhalation Exposure'!$B$6:$B$65,$B181,'Inhalation Exposure'!$D$6:$D$65,$C181),SUMIFS('Inhalation Exposure'!$J$6:$J$65,'Inhalation Exposure'!$B$6:$B$65,$B181,'Inhalation Exposure'!$D$6:$D$65,$C181)),IF($J181="Central Tendency",VLOOKUP($B181,'Dermal Exposure'!$A$6:$T$34,17,FALSE),VLOOKUP($B181,'Dermal Exposure'!$A$6:$T$34,11,FALSE))),"--")</f>
        <v>51.556521739130424</v>
      </c>
      <c r="L181" s="601">
        <f>IFERROR(VLOOKUP($D181,$Z$9:$AD$10,3,FALSE)/IF($D181="Inhalation",IF($J181="Central Tendency",SUMIFS('Inhalation Exposure'!$M$6:$M$65,'Inhalation Exposure'!$B$6:$B$65,$B181,'Inhalation Exposure'!$D$6:$D$65,$C181),SUMIFS('Inhalation Exposure'!$L$6:$L$65,'Inhalation Exposure'!$B$6:$B$65,$B181,'Inhalation Exposure'!$D$6:$D$65,$C181)),IF($J181="Central Tendency",VLOOKUP($B181,'Dermal Exposure'!$A$6:$T$34,18,FALSE),VLOOKUP($B181,'Dermal Exposure'!$A$6:$T$34,12,FALSE))),"--")</f>
        <v>151.06719367588929</v>
      </c>
      <c r="M181" s="601">
        <f>IFERROR(VLOOKUP($D181,$Z$9:$AD$10,4,FALSE)/IF($D181="Inhalation",IF($J181="Central Tendency",SUMIFS('Inhalation Exposure'!$O$6:$O$65,'Inhalation Exposure'!$B$6:$B$65,$B181,'Inhalation Exposure'!$D$6:$D$65,$C181),SUMIFS('Inhalation Exposure'!$N$6:$N$65,'Inhalation Exposure'!$B$6:$B$65,$B181,'Inhalation Exposure'!$D$6:$D$65,$C181)),IF($J181="Central Tendency",VLOOKUP($B181,'Dermal Exposure'!$A$6:$T$34,19,FALSE),VLOOKUP($B181,'Dermal Exposure'!$A$6:$T$34,13,FALSE))),"--")</f>
        <v>161.74260869565217</v>
      </c>
      <c r="N181" s="603">
        <f>IFERROR(VLOOKUP(D181,$Z$9:$AD$10,5,FALSE)*IF($D181="Inhalation",IF($J181="Central Tendency",SUMIFS('Inhalation Exposure'!$Q$6:$Q$65,'Inhalation Exposure'!$B$6:$B$65,$B181,'Inhalation Exposure'!$D$6:$D$65,$C181),SUMIFS('Inhalation Exposure'!$P$6:$P$65,'Inhalation Exposure'!$B$6:$B$65,$B181,'Inhalation Exposure'!$D$6:$D$65,$C181)),IF($J181="Central Tendency",VLOOKUP($B181,'Dermal Exposure'!$A$6:$T$34,20,FALSE),VLOOKUP($B181,'Dermal Exposure'!$A$6:$T$34,14,FALSE))),"--")</f>
        <v>3.7054758679024827E-4</v>
      </c>
      <c r="O181" s="500"/>
      <c r="P181" s="481"/>
      <c r="Q181" s="481"/>
      <c r="R181" s="481"/>
      <c r="S181" s="481"/>
      <c r="U181" s="191"/>
      <c r="V181" s="192"/>
      <c r="W181" s="192"/>
      <c r="X181" s="193"/>
    </row>
    <row r="182" spans="2:24" ht="15.75" thickBot="1" x14ac:dyDescent="0.3">
      <c r="B182" s="299" t="s">
        <v>206</v>
      </c>
      <c r="C182" s="298" t="s">
        <v>79</v>
      </c>
      <c r="D182" s="298" t="s">
        <v>149</v>
      </c>
      <c r="E182" s="616"/>
      <c r="F182" s="616"/>
      <c r="G182" s="593"/>
      <c r="H182" s="596"/>
      <c r="I182" s="596"/>
      <c r="J182" s="599"/>
      <c r="K182" s="602"/>
      <c r="L182" s="602"/>
      <c r="M182" s="602"/>
      <c r="N182" s="604"/>
      <c r="O182" s="500"/>
      <c r="P182" s="481"/>
      <c r="Q182" s="481"/>
      <c r="R182" s="481"/>
      <c r="S182" s="481"/>
      <c r="U182" s="191"/>
      <c r="V182" s="192"/>
      <c r="W182" s="192"/>
      <c r="X182" s="193"/>
    </row>
    <row r="183" spans="2:24" ht="15.75" thickBot="1" x14ac:dyDescent="0.3">
      <c r="B183" s="299" t="s">
        <v>206</v>
      </c>
      <c r="C183" s="298" t="s">
        <v>79</v>
      </c>
      <c r="D183" s="298" t="s">
        <v>149</v>
      </c>
      <c r="E183" s="616"/>
      <c r="F183" s="616"/>
      <c r="G183" s="593"/>
      <c r="H183" s="596"/>
      <c r="I183" s="596"/>
      <c r="J183" s="598" t="s">
        <v>153</v>
      </c>
      <c r="K183" s="601">
        <f>IFERROR(VLOOKUP($D183,$Z$9:$AD$10,2,FALSE)/IF($D183="Inhalation",IF($J183="Central Tendency",SUMIFS('Inhalation Exposure'!$K$6:$K$65,'Inhalation Exposure'!$B$6:$B$65,$B183,'Inhalation Exposure'!$D$6:$D$65,$C183),SUMIFS('Inhalation Exposure'!$J$6:$J$65,'Inhalation Exposure'!$B$6:$B$65,$B183,'Inhalation Exposure'!$D$6:$D$65,$C183)),IF($J183="Central Tendency",VLOOKUP($B183,'Dermal Exposure'!$A$6:$T$34,17,FALSE),VLOOKUP($B183,'Dermal Exposure'!$A$6:$T$34,11,FALSE))),"--")</f>
        <v>4.6807894736842099</v>
      </c>
      <c r="L183" s="601">
        <f>IFERROR(VLOOKUP($D183,$Z$9:$AD$10,3,FALSE)/IF($D183="Inhalation",IF($J183="Central Tendency",SUMIFS('Inhalation Exposure'!$M$6:$M$65,'Inhalation Exposure'!$B$6:$B$65,$B183,'Inhalation Exposure'!$D$6:$D$65,$C183),SUMIFS('Inhalation Exposure'!$L$6:$L$65,'Inhalation Exposure'!$B$6:$B$65,$B183,'Inhalation Exposure'!$D$6:$D$65,$C183)),IF($J183="Central Tendency",VLOOKUP($B183,'Dermal Exposure'!$A$6:$T$34,18,FALSE),VLOOKUP($B183,'Dermal Exposure'!$A$6:$T$34,12,FALSE))),"--")</f>
        <v>13.71531100478469</v>
      </c>
      <c r="M183" s="601">
        <f>IFERROR(VLOOKUP($D183,$Z$9:$AD$10,4,FALSE)/IF($D183="Inhalation",IF($J183="Central Tendency",SUMIFS('Inhalation Exposure'!$O$6:$O$65,'Inhalation Exposure'!$B$6:$B$65,$B183,'Inhalation Exposure'!$D$6:$D$65,$C183),SUMIFS('Inhalation Exposure'!$N$6:$N$65,'Inhalation Exposure'!$B$6:$B$65,$B183,'Inhalation Exposure'!$D$6:$D$65,$C183)),IF($J183="Central Tendency",VLOOKUP($B183,'Dermal Exposure'!$A$6:$T$34,19,FALSE),VLOOKUP($B183,'Dermal Exposure'!$A$6:$T$34,13,FALSE))),"--")</f>
        <v>14.684526315789475</v>
      </c>
      <c r="N183" s="603">
        <f>IFERROR(VLOOKUP(D183,$Z$9:$AD$10,5,FALSE)*IF($D183="Inhalation",IF($J183="Central Tendency",SUMIFS('Inhalation Exposure'!$Q$6:$Q$65,'Inhalation Exposure'!$B$6:$B$65,$B183,'Inhalation Exposure'!$D$6:$D$65,$C183),SUMIFS('Inhalation Exposure'!$P$6:$P$65,'Inhalation Exposure'!$B$6:$B$65,$B183,'Inhalation Exposure'!$D$6:$D$65,$C183)),IF($J183="Central Tendency",VLOOKUP($B183,'Dermal Exposure'!$A$6:$T$34,20,FALSE),VLOOKUP($B183,'Dermal Exposure'!$A$6:$T$34,14,FALSE))),"--")</f>
        <v>5.2663144639661279E-3</v>
      </c>
      <c r="O183" s="500"/>
      <c r="P183" s="481"/>
      <c r="Q183" s="481"/>
      <c r="R183" s="481"/>
      <c r="S183" s="481"/>
      <c r="U183" s="191"/>
      <c r="V183" s="192"/>
      <c r="W183" s="192"/>
      <c r="X183" s="193"/>
    </row>
    <row r="184" spans="2:24" ht="15.75" thickBot="1" x14ac:dyDescent="0.3">
      <c r="B184" s="299" t="s">
        <v>206</v>
      </c>
      <c r="C184" s="298" t="s">
        <v>79</v>
      </c>
      <c r="D184" s="298" t="s">
        <v>149</v>
      </c>
      <c r="E184" s="616"/>
      <c r="F184" s="616"/>
      <c r="G184" s="594"/>
      <c r="H184" s="596"/>
      <c r="I184" s="597"/>
      <c r="J184" s="600"/>
      <c r="K184" s="602"/>
      <c r="L184" s="602"/>
      <c r="M184" s="602"/>
      <c r="N184" s="604"/>
      <c r="O184" s="500"/>
      <c r="P184" s="481"/>
      <c r="Q184" s="481"/>
      <c r="R184" s="481"/>
      <c r="S184" s="481"/>
      <c r="U184" s="191"/>
      <c r="V184" s="192"/>
      <c r="W184" s="192"/>
      <c r="X184" s="193"/>
    </row>
    <row r="185" spans="2:24" ht="16.5" customHeight="1" thickTop="1" thickBot="1" x14ac:dyDescent="0.3">
      <c r="B185" s="299">
        <v>10</v>
      </c>
      <c r="C185" s="298" t="s">
        <v>79</v>
      </c>
      <c r="D185" s="298" t="s">
        <v>59</v>
      </c>
      <c r="E185" s="616"/>
      <c r="F185" s="616"/>
      <c r="G185" s="592" t="s">
        <v>208</v>
      </c>
      <c r="H185" s="596"/>
      <c r="I185" s="609" t="s">
        <v>59</v>
      </c>
      <c r="J185" s="609" t="s">
        <v>80</v>
      </c>
      <c r="K185" s="601">
        <f>IFERROR(VLOOKUP($D185,$Z$9:$AD$10,2,FALSE)/IF($D185="Inhalation",IF($J185="Central Tendency",SUMIFS('Inhalation Exposure'!$K$6:$K$65,'Inhalation Exposure'!$B$6:$B$65,$B185,'Inhalation Exposure'!$D$6:$D$65,$C185),SUMIFS('Inhalation Exposure'!$J$6:$J$65,'Inhalation Exposure'!$B$6:$B$65,$B185,'Inhalation Exposure'!$D$6:$D$65,$C185)),IF($J185="Central Tendency",VLOOKUP($B185,'Dermal Exposure'!$A$6:$T$34,17,FALSE),VLOOKUP($B185,'Dermal Exposure'!$A$6:$T$34,11,FALSE))),"--")</f>
        <v>580.16349850901156</v>
      </c>
      <c r="L185" s="601">
        <f>IFERROR(VLOOKUP($D185,$Z$9:$AD$10,3,FALSE)/IF($D185="Inhalation",IF($J185="Central Tendency",SUMIFS('Inhalation Exposure'!$M$6:$M$65,'Inhalation Exposure'!$B$6:$B$65,$B185,'Inhalation Exposure'!$D$6:$D$65,$C185),SUMIFS('Inhalation Exposure'!$L$6:$L$65,'Inhalation Exposure'!$B$6:$B$65,$B185,'Inhalation Exposure'!$D$6:$D$65,$C185)),IF($J185="Central Tendency",VLOOKUP($B185,'Dermal Exposure'!$A$6:$T$34,18,FALSE),VLOOKUP($B185,'Dermal Exposure'!$A$6:$T$34,12,FALSE))),"--")</f>
        <v>258.40996393160634</v>
      </c>
      <c r="M185" s="601">
        <f>IFERROR(VLOOKUP($D185,$Z$9:$AD$10,4,FALSE)/IF($D185="Inhalation",IF($J185="Central Tendency",SUMIFS('Inhalation Exposure'!$O$6:$O$65,'Inhalation Exposure'!$B$6:$B$65,$B185,'Inhalation Exposure'!$D$6:$D$65,$C185),SUMIFS('Inhalation Exposure'!$N$6:$N$65,'Inhalation Exposure'!$B$6:$B$65,$B185,'Inhalation Exposure'!$D$6:$D$65,$C185)),IF($J185="Central Tendency",VLOOKUP($B185,'Dermal Exposure'!$A$6:$T$34,19,FALSE),VLOOKUP($B185,'Dermal Exposure'!$A$6:$T$34,13,FALSE))),"--")</f>
        <v>300.6069324796992</v>
      </c>
      <c r="N185" s="603">
        <f>IFERROR(VLOOKUP(D185,$Z$9:$AD$10,5,FALSE)*IF($D185="Inhalation",IF($J185="Central Tendency",SUMIFS('Inhalation Exposure'!$Q$6:$Q$65,'Inhalation Exposure'!$B$6:$B$65,$B185,'Inhalation Exposure'!$D$6:$D$65,$C185),SUMIFS('Inhalation Exposure'!$P$6:$P$65,'Inhalation Exposure'!$B$6:$B$65,$B185,'Inhalation Exposure'!$D$6:$D$65,$C185)),IF($J185="Central Tendency",VLOOKUP($B185,'Dermal Exposure'!$A$6:$T$34,20,FALSE),VLOOKUP($B185,'Dermal Exposure'!$A$6:$T$34,14,FALSE))),"--")</f>
        <v>3.1554806594484607E-4</v>
      </c>
      <c r="O185" s="500"/>
      <c r="P185" s="183">
        <f>IFERROR(K185*U185, "--")</f>
        <v>2900.8174925450576</v>
      </c>
      <c r="Q185" s="183">
        <f>IFERROR(L185*V185, "--")</f>
        <v>1292.0498196580318</v>
      </c>
      <c r="R185" s="183">
        <f>IFERROR(M185*W185, "--")</f>
        <v>1503.034662398496</v>
      </c>
      <c r="S185" s="202">
        <f>IFERROR(N185/X185, "--")</f>
        <v>6.3109613188969214E-5</v>
      </c>
      <c r="U185" s="191">
        <v>5</v>
      </c>
      <c r="V185" s="192">
        <v>5</v>
      </c>
      <c r="W185" s="192">
        <v>5</v>
      </c>
      <c r="X185" s="193">
        <v>5</v>
      </c>
    </row>
    <row r="186" spans="2:24" ht="15.75" thickBot="1" x14ac:dyDescent="0.3">
      <c r="B186" s="299">
        <v>10</v>
      </c>
      <c r="C186" s="298" t="s">
        <v>79</v>
      </c>
      <c r="D186" s="298" t="s">
        <v>59</v>
      </c>
      <c r="E186" s="616"/>
      <c r="F186" s="616"/>
      <c r="G186" s="593"/>
      <c r="H186" s="596"/>
      <c r="I186" s="596"/>
      <c r="J186" s="610"/>
      <c r="K186" s="602"/>
      <c r="L186" s="602"/>
      <c r="M186" s="602"/>
      <c r="N186" s="604"/>
      <c r="O186" s="500"/>
      <c r="P186" s="183" t="str">
        <f>CONCATENATE("(PF ",U185,")")</f>
        <v>(PF 5)</v>
      </c>
      <c r="Q186" s="183" t="str">
        <f>CONCATENATE("(PF ",V185,")")</f>
        <v>(PF 5)</v>
      </c>
      <c r="R186" s="183" t="str">
        <f>CONCATENATE("(PF ",W185,")")</f>
        <v>(PF 5)</v>
      </c>
      <c r="S186" s="202" t="str">
        <f>CONCATENATE("(PF ",X185,")")</f>
        <v>(PF 5)</v>
      </c>
      <c r="U186" s="199" t="s">
        <v>161</v>
      </c>
      <c r="V186" s="200" t="s">
        <v>161</v>
      </c>
      <c r="W186" s="200" t="s">
        <v>161</v>
      </c>
      <c r="X186" s="201" t="s">
        <v>161</v>
      </c>
    </row>
    <row r="187" spans="2:24" ht="15.75" thickBot="1" x14ac:dyDescent="0.3">
      <c r="B187" s="299">
        <v>10</v>
      </c>
      <c r="C187" s="298" t="s">
        <v>79</v>
      </c>
      <c r="D187" s="298" t="s">
        <v>59</v>
      </c>
      <c r="E187" s="616"/>
      <c r="F187" s="616"/>
      <c r="G187" s="593"/>
      <c r="H187" s="596"/>
      <c r="I187" s="596"/>
      <c r="J187" s="611" t="s">
        <v>153</v>
      </c>
      <c r="K187" s="601">
        <f>IFERROR(VLOOKUP($D187,$Z$9:$AD$10,2,FALSE)/IF($D187="Inhalation",IF($J187="Central Tendency",SUMIFS('Inhalation Exposure'!$K$6:$K$65,'Inhalation Exposure'!$B$6:$B$65,$B187,'Inhalation Exposure'!$D$6:$D$65,$C187),SUMIFS('Inhalation Exposure'!$J$6:$J$65,'Inhalation Exposure'!$B$6:$B$65,$B187,'Inhalation Exposure'!$D$6:$D$65,$C187)),IF($J187="Central Tendency",VLOOKUP($B187,'Dermal Exposure'!$A$6:$T$34,17,FALSE),VLOOKUP($B187,'Dermal Exposure'!$A$6:$T$34,11,FALSE))),"--")</f>
        <v>3.7317772655707615</v>
      </c>
      <c r="L187" s="601">
        <f>IFERROR(VLOOKUP($D187,$Z$9:$AD$10,3,FALSE)/IF($D187="Inhalation",IF($J187="Central Tendency",SUMIFS('Inhalation Exposure'!$M$6:$M$65,'Inhalation Exposure'!$B$6:$B$65,$B187,'Inhalation Exposure'!$D$6:$D$65,$C187),SUMIFS('Inhalation Exposure'!$L$6:$L$65,'Inhalation Exposure'!$B$6:$B$65,$B187,'Inhalation Exposure'!$D$6:$D$65,$C187)),IF($J187="Central Tendency",VLOOKUP($B187,'Dermal Exposure'!$A$6:$T$34,18,FALSE),VLOOKUP($B187,'Dermal Exposure'!$A$6:$T$34,12,FALSE))),"--")</f>
        <v>97.513777793808856</v>
      </c>
      <c r="M187" s="601">
        <f>IFERROR(VLOOKUP($D187,$Z$9:$AD$10,4,FALSE)/IF($D187="Inhalation",IF($J187="Central Tendency",SUMIFS('Inhalation Exposure'!$O$6:$O$65,'Inhalation Exposure'!$B$6:$B$65,$B187,'Inhalation Exposure'!$D$6:$D$65,$C187),SUMIFS('Inhalation Exposure'!$N$6:$N$65,'Inhalation Exposure'!$B$6:$B$65,$B187,'Inhalation Exposure'!$D$6:$D$65,$C187)),IF($J187="Central Tendency",VLOOKUP($B187,'Dermal Exposure'!$A$6:$T$34,19,FALSE),VLOOKUP($B187,'Dermal Exposure'!$A$6:$T$34,13,FALSE))),"--")</f>
        <v>132.97333335519389</v>
      </c>
      <c r="N187" s="603">
        <f>IFERROR(VLOOKUP(D187,$Z$9:$AD$10,5,FALSE)*IF($D187="Inhalation",IF($J187="Central Tendency",SUMIFS('Inhalation Exposure'!$Q$6:$Q$65,'Inhalation Exposure'!$B$6:$B$65,$B187,'Inhalation Exposure'!$D$6:$D$65,$C187),SUMIFS('Inhalation Exposure'!$P$6:$P$65,'Inhalation Exposure'!$B$6:$B$65,$B187,'Inhalation Exposure'!$D$6:$D$65,$C187)),IF($J187="Central Tendency",VLOOKUP($B187,'Dermal Exposure'!$A$6:$T$34,20,FALSE),VLOOKUP($B187,'Dermal Exposure'!$A$6:$T$34,14,FALSE))),"--")</f>
        <v>1.6653472647575936E-3</v>
      </c>
      <c r="O187" s="500"/>
      <c r="P187" s="525">
        <f>IFERROR(K187*U187, "--")</f>
        <v>18.658886327853807</v>
      </c>
      <c r="Q187" s="476">
        <f>IFERROR(L187*V187, "--")</f>
        <v>487.56888896904428</v>
      </c>
      <c r="R187" s="476">
        <f>IFERROR(M187*W187, "--")</f>
        <v>664.86666677596941</v>
      </c>
      <c r="S187" s="203">
        <f>IFERROR(N187/X187, "--")</f>
        <v>3.3306945295151871E-4</v>
      </c>
      <c r="U187" s="191">
        <v>5</v>
      </c>
      <c r="V187" s="192">
        <v>5</v>
      </c>
      <c r="W187" s="192">
        <v>5</v>
      </c>
      <c r="X187" s="193">
        <v>5</v>
      </c>
    </row>
    <row r="188" spans="2:24" ht="15.75" thickBot="1" x14ac:dyDescent="0.3">
      <c r="B188" s="299">
        <v>10</v>
      </c>
      <c r="C188" s="298" t="s">
        <v>79</v>
      </c>
      <c r="D188" s="298" t="s">
        <v>59</v>
      </c>
      <c r="E188" s="616"/>
      <c r="F188" s="616"/>
      <c r="G188" s="593"/>
      <c r="H188" s="597"/>
      <c r="I188" s="597"/>
      <c r="J188" s="600"/>
      <c r="K188" s="602"/>
      <c r="L188" s="602"/>
      <c r="M188" s="602"/>
      <c r="N188" s="604"/>
      <c r="O188" s="500"/>
      <c r="P188" s="480" t="str">
        <f>CONCATENATE("(PF ",U187,")")</f>
        <v>(PF 5)</v>
      </c>
      <c r="Q188" s="480" t="str">
        <f>CONCATENATE("(PF ",V187,")")</f>
        <v>(PF 5)</v>
      </c>
      <c r="R188" s="480" t="str">
        <f>CONCATENATE("(PF ",W187,")")</f>
        <v>(PF 5)</v>
      </c>
      <c r="S188" s="198" t="str">
        <f>CONCATENATE("(PF ",X187,")")</f>
        <v>(PF 5)</v>
      </c>
      <c r="U188" s="199" t="s">
        <v>161</v>
      </c>
      <c r="V188" s="200" t="s">
        <v>161</v>
      </c>
      <c r="W188" s="200" t="s">
        <v>161</v>
      </c>
      <c r="X188" s="201" t="s">
        <v>161</v>
      </c>
    </row>
    <row r="189" spans="2:24" ht="27" thickTop="1" thickBot="1" x14ac:dyDescent="0.3">
      <c r="B189" s="299">
        <v>10</v>
      </c>
      <c r="C189" s="298" t="s">
        <v>82</v>
      </c>
      <c r="D189" s="298" t="s">
        <v>149</v>
      </c>
      <c r="E189" s="616"/>
      <c r="F189" s="616"/>
      <c r="G189" s="592" t="s">
        <v>208</v>
      </c>
      <c r="H189" s="609" t="s">
        <v>82</v>
      </c>
      <c r="I189" s="609" t="s">
        <v>126</v>
      </c>
      <c r="J189" s="208" t="s">
        <v>80</v>
      </c>
      <c r="K189" s="476">
        <f>IFERROR(VLOOKUP($D189,$Z$9:$AD$10,2,FALSE)/IF($D189="Inhalation",IF($J189="Central Tendency",SUMIFS('Inhalation Exposure'!$K$6:$K$65,'Inhalation Exposure'!$B$6:$B$65,$B189,'Inhalation Exposure'!$D$6:$D$65,$C189),SUMIFS('Inhalation Exposure'!$J$6:$J$65,'Inhalation Exposure'!$B$6:$B$65,$B189,'Inhalation Exposure'!$D$6:$D$65,$C189)),IF($J189="Central Tendency",VLOOKUP($B189,'Dermal Exposure'!$A$6:$T$34,17,FALSE),VLOOKUP($B189,'Dermal Exposure'!$A$6:$T$34,11,FALSE))),"--")</f>
        <v>122.90736342042754</v>
      </c>
      <c r="L189" s="476">
        <f>IFERROR(VLOOKUP($D189,$Z$9:$AD$10,3,FALSE)/IF($D189="Inhalation",IF($J189="Central Tendency",SUMIFS('Inhalation Exposure'!$M$6:$M$65,'Inhalation Exposure'!$B$6:$B$65,$B189,'Inhalation Exposure'!$D$6:$D$65,$C189),SUMIFS('Inhalation Exposure'!$L$6:$L$65,'Inhalation Exposure'!$B$6:$B$65,$B189,'Inhalation Exposure'!$D$6:$D$65,$C189)),IF($J189="Central Tendency",VLOOKUP($B189,'Dermal Exposure'!$A$6:$T$34,18,FALSE),VLOOKUP($B189,'Dermal Exposure'!$A$6:$T$34,12,FALSE))),"--")</f>
        <v>360.13427298246995</v>
      </c>
      <c r="M189" s="476">
        <f>IFERROR(VLOOKUP($D189,$Z$9:$AD$10,4,FALSE)/IF($D189="Inhalation",IF($J189="Central Tendency",SUMIFS('Inhalation Exposure'!$O$6:$O$65,'Inhalation Exposure'!$B$6:$B$65,$B189,'Inhalation Exposure'!$D$6:$D$65,$C189),SUMIFS('Inhalation Exposure'!$N$6:$N$65,'Inhalation Exposure'!$B$6:$B$65,$B189,'Inhalation Exposure'!$D$6:$D$65,$C189)),IF($J189="Central Tendency",VLOOKUP($B189,'Dermal Exposure'!$A$6:$T$34,19,FALSE),VLOOKUP($B189,'Dermal Exposure'!$A$6:$T$34,13,FALSE))),"--")</f>
        <v>385.58376160656445</v>
      </c>
      <c r="N189" s="523">
        <f>IFERROR(VLOOKUP(D189,$Z$9:$AD$10,5,FALSE)*IF($D189="Inhalation",IF($J189="Central Tendency",SUMIFS('Inhalation Exposure'!$Q$6:$Q$65,'Inhalation Exposure'!$B$6:$B$65,$B189,'Inhalation Exposure'!$D$6:$D$65,$C189),SUMIFS('Inhalation Exposure'!$P$6:$P$65,'Inhalation Exposure'!$B$6:$B$65,$B189,'Inhalation Exposure'!$D$6:$D$65,$C189)),IF($J189="Central Tendency",VLOOKUP($B189,'Dermal Exposure'!$A$6:$T$34,20,FALSE),VLOOKUP($B189,'Dermal Exposure'!$A$6:$T$34,14,FALSE))),"--")</f>
        <v>1.5543531471246737E-4</v>
      </c>
      <c r="O189" s="500"/>
      <c r="P189" s="482" t="s">
        <v>162</v>
      </c>
      <c r="Q189" s="482" t="s">
        <v>162</v>
      </c>
      <c r="R189" s="482" t="s">
        <v>162</v>
      </c>
      <c r="S189" s="482" t="s">
        <v>162</v>
      </c>
      <c r="U189" s="191" t="s">
        <v>162</v>
      </c>
      <c r="V189" s="192" t="s">
        <v>162</v>
      </c>
      <c r="W189" s="192" t="s">
        <v>162</v>
      </c>
      <c r="X189" s="193" t="s">
        <v>162</v>
      </c>
    </row>
    <row r="190" spans="2:24" ht="15.75" thickBot="1" x14ac:dyDescent="0.3">
      <c r="B190" s="299">
        <v>10</v>
      </c>
      <c r="C190" s="298" t="s">
        <v>82</v>
      </c>
      <c r="D190" s="298" t="s">
        <v>149</v>
      </c>
      <c r="E190" s="616"/>
      <c r="F190" s="617"/>
      <c r="G190" s="594"/>
      <c r="H190" s="596"/>
      <c r="I190" s="610"/>
      <c r="J190" s="482" t="s">
        <v>153</v>
      </c>
      <c r="K190" s="476">
        <f>IFERROR(VLOOKUP($D190,$Z$9:$AD$10,2,FALSE)/IF($D190="Inhalation",IF($J190="Central Tendency",SUMIFS('Inhalation Exposure'!$K$6:$K$65,'Inhalation Exposure'!$B$6:$B$65,$B190,'Inhalation Exposure'!$D$6:$D$65,$C190),SUMIFS('Inhalation Exposure'!$J$6:$J$65,'Inhalation Exposure'!$B$6:$B$65,$B190,'Inhalation Exposure'!$D$6:$D$65,$C190)),IF($J190="Central Tendency",VLOOKUP($B190,'Dermal Exposure'!$A$6:$T$34,17,FALSE),VLOOKUP($B190,'Dermal Exposure'!$A$6:$T$34,11,FALSE))),"--")</f>
        <v>122.90736342042754</v>
      </c>
      <c r="L190" s="476">
        <f>IFERROR(VLOOKUP($D190,$Z$9:$AD$10,3,FALSE)/IF($D190="Inhalation",IF($J190="Central Tendency",SUMIFS('Inhalation Exposure'!$M$6:$M$65,'Inhalation Exposure'!$B$6:$B$65,$B190,'Inhalation Exposure'!$D$6:$D$65,$C190),SUMIFS('Inhalation Exposure'!$L$6:$L$65,'Inhalation Exposure'!$B$6:$B$65,$B190,'Inhalation Exposure'!$D$6:$D$65,$C190)),IF($J190="Central Tendency",VLOOKUP($B190,'Dermal Exposure'!$A$6:$T$34,18,FALSE),VLOOKUP($B190,'Dermal Exposure'!$A$6:$T$34,12,FALSE))),"--")</f>
        <v>360.13427298246995</v>
      </c>
      <c r="M190" s="476">
        <f>IFERROR(VLOOKUP($D190,$Z$9:$AD$10,4,FALSE)/IF($D190="Inhalation",IF($J190="Central Tendency",SUMIFS('Inhalation Exposure'!$O$6:$O$65,'Inhalation Exposure'!$B$6:$B$65,$B190,'Inhalation Exposure'!$D$6:$D$65,$C190),SUMIFS('Inhalation Exposure'!$N$6:$N$65,'Inhalation Exposure'!$B$6:$B$65,$B190,'Inhalation Exposure'!$D$6:$D$65,$C190)),IF($J190="Central Tendency",VLOOKUP($B190,'Dermal Exposure'!$A$6:$T$34,19,FALSE),VLOOKUP($B190,'Dermal Exposure'!$A$6:$T$34,13,FALSE))),"--")</f>
        <v>385.58376160656445</v>
      </c>
      <c r="N190" s="523">
        <f>IFERROR(VLOOKUP(D190,$Z$9:$AD$10,5,FALSE)*IF($D190="Inhalation",IF($J190="Central Tendency",SUMIFS('Inhalation Exposure'!$Q$6:$Q$65,'Inhalation Exposure'!$B$6:$B$65,$B190,'Inhalation Exposure'!$D$6:$D$65,$C190),SUMIFS('Inhalation Exposure'!$P$6:$P$65,'Inhalation Exposure'!$B$6:$B$65,$B190,'Inhalation Exposure'!$D$6:$D$65,$C190)),IF($J190="Central Tendency",VLOOKUP($B190,'Dermal Exposure'!$A$6:$T$34,20,FALSE),VLOOKUP($B190,'Dermal Exposure'!$A$6:$T$34,14,FALSE))),"--")</f>
        <v>2.0056169640318369E-4</v>
      </c>
      <c r="O190" s="499"/>
      <c r="P190" s="271" t="s">
        <v>162</v>
      </c>
      <c r="Q190" s="204" t="s">
        <v>162</v>
      </c>
      <c r="R190" s="204" t="s">
        <v>162</v>
      </c>
      <c r="S190" s="204" t="s">
        <v>162</v>
      </c>
      <c r="U190" s="205" t="s">
        <v>162</v>
      </c>
      <c r="V190" s="206" t="s">
        <v>162</v>
      </c>
      <c r="W190" s="206" t="s">
        <v>162</v>
      </c>
      <c r="X190" s="207" t="s">
        <v>162</v>
      </c>
    </row>
    <row r="191" spans="2:24" ht="15.75" customHeight="1" thickBot="1" x14ac:dyDescent="0.3">
      <c r="B191" s="297">
        <v>11</v>
      </c>
      <c r="C191" s="298" t="s">
        <v>79</v>
      </c>
      <c r="D191" s="298" t="s">
        <v>149</v>
      </c>
      <c r="E191" s="615" t="s">
        <v>209</v>
      </c>
      <c r="F191" s="615" t="s">
        <v>210</v>
      </c>
      <c r="G191" s="612" t="s">
        <v>211</v>
      </c>
      <c r="H191" s="595" t="s">
        <v>79</v>
      </c>
      <c r="I191" s="595" t="s">
        <v>126</v>
      </c>
      <c r="J191" s="598" t="s">
        <v>80</v>
      </c>
      <c r="K191" s="601">
        <f>IFERROR(VLOOKUP($D191,$Z$9:$AD$10,2,FALSE)/IF($D191="Inhalation",IF($J191="Central Tendency",SUMIFS('Inhalation Exposure'!$K$6:$K$65,'Inhalation Exposure'!$B$6:$B$65,$B191,'Inhalation Exposure'!$D$6:$D$65,$C191),SUMIFS('Inhalation Exposure'!$J$6:$J$65,'Inhalation Exposure'!$B$6:$B$65,$B191,'Inhalation Exposure'!$D$6:$D$65,$C191)),IF($J191="Central Tendency",VLOOKUP($B191,'Dermal Exposure'!$A$6:$T$34,17,FALSE),VLOOKUP($B191,'Dermal Exposure'!$A$6:$T$34,11,FALSE))),"--")</f>
        <v>4570.9131561008862</v>
      </c>
      <c r="L191" s="601">
        <f>IFERROR(VLOOKUP($D191,$Z$9:$AD$10,3,FALSE)/IF($D191="Inhalation",IF($J191="Central Tendency",SUMIFS('Inhalation Exposure'!$M$6:$M$65,'Inhalation Exposure'!$B$6:$B$65,$B191,'Inhalation Exposure'!$D$6:$D$65,$C191),SUMIFS('Inhalation Exposure'!$L$6:$L$65,'Inhalation Exposure'!$B$6:$B$65,$B191,'Inhalation Exposure'!$D$6:$D$65,$C191)),IF($J191="Central Tendency",VLOOKUP($B191,'Dermal Exposure'!$A$6:$T$34,18,FALSE),VLOOKUP($B191,'Dermal Exposure'!$A$6:$T$34,12,FALSE))),"--")</f>
        <v>13393.359360475924</v>
      </c>
      <c r="M191" s="601">
        <f>IFERROR(VLOOKUP($D191,$Z$9:$AD$10,4,FALSE)/IF($D191="Inhalation",IF($J191="Central Tendency",SUMIFS('Inhalation Exposure'!$O$6:$O$65,'Inhalation Exposure'!$B$6:$B$65,$B191,'Inhalation Exposure'!$D$6:$D$65,$C191),SUMIFS('Inhalation Exposure'!$N$6:$N$65,'Inhalation Exposure'!$B$6:$B$65,$B191,'Inhalation Exposure'!$D$6:$D$65,$C191)),IF($J191="Central Tendency",VLOOKUP($B191,'Dermal Exposure'!$A$6:$T$34,19,FALSE),VLOOKUP($B191,'Dermal Exposure'!$A$6:$T$34,13,FALSE))),"--")</f>
        <v>14339.823421949557</v>
      </c>
      <c r="N191" s="603">
        <f>IFERROR(VLOOKUP(D191,$Z$9:$AD$10,5,FALSE)*IF($D191="Inhalation",IF($J191="Central Tendency",SUMIFS('Inhalation Exposure'!$Q$6:$Q$65,'Inhalation Exposure'!$B$6:$B$65,$B191,'Inhalation Exposure'!$D$6:$D$65,$C191),SUMIFS('Inhalation Exposure'!$P$6:$P$65,'Inhalation Exposure'!$B$6:$B$65,$B191,'Inhalation Exposure'!$D$6:$D$65,$C191)),IF($J191="Central Tendency",VLOOKUP($B191,'Dermal Exposure'!$A$6:$T$34,20,FALSE),VLOOKUP($B191,'Dermal Exposure'!$A$6:$T$34,14,FALSE))),"--")</f>
        <v>4.1795028829710068E-6</v>
      </c>
      <c r="O191" s="500"/>
      <c r="P191" s="183">
        <f>IFERROR(K191*U191, "--")</f>
        <v>45709.131561008864</v>
      </c>
      <c r="Q191" s="183">
        <f>IFERROR(L191*V191, "--")</f>
        <v>133933.59360475925</v>
      </c>
      <c r="R191" s="183">
        <f>IFERROR(M191*W191, "--")</f>
        <v>143398.23421949556</v>
      </c>
      <c r="S191" s="184">
        <f>IFERROR(N191/X191, "--")</f>
        <v>4.1795028829710066E-7</v>
      </c>
      <c r="U191" s="185">
        <v>10</v>
      </c>
      <c r="V191" s="186">
        <v>10</v>
      </c>
      <c r="W191" s="186">
        <v>10</v>
      </c>
      <c r="X191" s="187">
        <v>10</v>
      </c>
    </row>
    <row r="192" spans="2:24" ht="15.75" thickBot="1" x14ac:dyDescent="0.3">
      <c r="B192" s="297">
        <v>11</v>
      </c>
      <c r="C192" s="298" t="s">
        <v>79</v>
      </c>
      <c r="D192" s="298" t="s">
        <v>149</v>
      </c>
      <c r="E192" s="616"/>
      <c r="F192" s="616"/>
      <c r="G192" s="613"/>
      <c r="H192" s="596"/>
      <c r="I192" s="596"/>
      <c r="J192" s="599"/>
      <c r="K192" s="602"/>
      <c r="L192" s="602"/>
      <c r="M192" s="602"/>
      <c r="N192" s="604"/>
      <c r="O192" s="500"/>
      <c r="P192" s="482" t="str">
        <f>CONCATENATE("(APF ",U191,")")</f>
        <v>(APF 10)</v>
      </c>
      <c r="Q192" s="482" t="str">
        <f>CONCATENATE("(APF ",V191,")")</f>
        <v>(APF 10)</v>
      </c>
      <c r="R192" s="482" t="str">
        <f>CONCATENATE("(APF ",W191,")")</f>
        <v>(APF 10)</v>
      </c>
      <c r="S192" s="482" t="str">
        <f>CONCATENATE("(APF ",X191,")")</f>
        <v>(APF 10)</v>
      </c>
      <c r="U192" s="191" t="s">
        <v>152</v>
      </c>
      <c r="V192" s="192" t="s">
        <v>152</v>
      </c>
      <c r="W192" s="192" t="s">
        <v>152</v>
      </c>
      <c r="X192" s="193" t="s">
        <v>152</v>
      </c>
    </row>
    <row r="193" spans="2:24" ht="15.75" customHeight="1" thickBot="1" x14ac:dyDescent="0.3">
      <c r="B193" s="297">
        <v>11</v>
      </c>
      <c r="C193" s="298" t="s">
        <v>79</v>
      </c>
      <c r="D193" s="298" t="s">
        <v>149</v>
      </c>
      <c r="E193" s="616"/>
      <c r="F193" s="616"/>
      <c r="G193" s="613"/>
      <c r="H193" s="596"/>
      <c r="I193" s="596"/>
      <c r="J193" s="598" t="s">
        <v>153</v>
      </c>
      <c r="K193" s="601">
        <f>IFERROR(VLOOKUP($D193,$Z$9:$AD$10,2,FALSE)/IF($D193="Inhalation",IF($J193="Central Tendency",SUMIFS('Inhalation Exposure'!$K$6:$K$65,'Inhalation Exposure'!$B$6:$B$65,$B193,'Inhalation Exposure'!$D$6:$D$65,$C193),SUMIFS('Inhalation Exposure'!$J$6:$J$65,'Inhalation Exposure'!$B$6:$B$65,$B193,'Inhalation Exposure'!$D$6:$D$65,$C193)),IF($J193="Central Tendency",VLOOKUP($B193,'Dermal Exposure'!$A$6:$T$34,17,FALSE),VLOOKUP($B193,'Dermal Exposure'!$A$6:$T$34,11,FALSE))),"--")</f>
        <v>1279.8556837082485</v>
      </c>
      <c r="L193" s="601">
        <f>IFERROR(VLOOKUP($D193,$Z$9:$AD$10,3,FALSE)/IF($D193="Inhalation",IF($J193="Central Tendency",SUMIFS('Inhalation Exposure'!$M$6:$M$65,'Inhalation Exposure'!$B$6:$B$65,$B193,'Inhalation Exposure'!$D$6:$D$65,$C193),SUMIFS('Inhalation Exposure'!$L$6:$L$65,'Inhalation Exposure'!$B$6:$B$65,$B193,'Inhalation Exposure'!$D$6:$D$65,$C193)),IF($J193="Central Tendency",VLOOKUP($B193,'Dermal Exposure'!$A$6:$T$34,18,FALSE),VLOOKUP($B193,'Dermal Exposure'!$A$6:$T$34,12,FALSE))),"--")</f>
        <v>3750.1406209332604</v>
      </c>
      <c r="M193" s="601">
        <f>IFERROR(VLOOKUP($D193,$Z$9:$AD$10,4,FALSE)/IF($D193="Inhalation",IF($J193="Central Tendency",SUMIFS('Inhalation Exposure'!$O$6:$O$65,'Inhalation Exposure'!$B$6:$B$65,$B193,'Inhalation Exposure'!$D$6:$D$65,$C193),SUMIFS('Inhalation Exposure'!$N$6:$N$65,'Inhalation Exposure'!$B$6:$B$65,$B193,'Inhalation Exposure'!$D$6:$D$65,$C193)),IF($J193="Central Tendency",VLOOKUP($B193,'Dermal Exposure'!$A$6:$T$34,19,FALSE),VLOOKUP($B193,'Dermal Exposure'!$A$6:$T$34,13,FALSE))),"--")</f>
        <v>4015.1505581458778</v>
      </c>
      <c r="N193" s="603">
        <f>IFERROR(VLOOKUP(D193,$Z$9:$AD$10,5,FALSE)*IF($D193="Inhalation",IF($J193="Central Tendency",SUMIFS('Inhalation Exposure'!$Q$6:$Q$65,'Inhalation Exposure'!$B$6:$B$65,$B193,'Inhalation Exposure'!$D$6:$D$65,$C193),SUMIFS('Inhalation Exposure'!$P$6:$P$65,'Inhalation Exposure'!$B$6:$B$65,$B193,'Inhalation Exposure'!$D$6:$D$65,$C193)),IF($J193="Central Tendency",VLOOKUP($B193,'Dermal Exposure'!$A$6:$T$34,20,FALSE),VLOOKUP($B193,'Dermal Exposure'!$A$6:$T$34,14,FALSE))),"--")</f>
        <v>1.9260381949175137E-5</v>
      </c>
      <c r="O193" s="500"/>
      <c r="P193" s="183">
        <f>IFERROR(K193*U193, "--")</f>
        <v>12798.556837082486</v>
      </c>
      <c r="Q193" s="183">
        <f>IFERROR(L193*V193, "--")</f>
        <v>37501.406209332607</v>
      </c>
      <c r="R193" s="183">
        <f>IFERROR(M193*W193, "--")</f>
        <v>40151.505581458776</v>
      </c>
      <c r="S193" s="184">
        <f>IFERROR(N193/X193, "--")</f>
        <v>3.8520763898350271E-7</v>
      </c>
      <c r="U193" s="194">
        <v>10</v>
      </c>
      <c r="V193" s="195">
        <v>10</v>
      </c>
      <c r="W193" s="195">
        <v>10</v>
      </c>
      <c r="X193" s="196">
        <v>50</v>
      </c>
    </row>
    <row r="194" spans="2:24" ht="15.75" thickBot="1" x14ac:dyDescent="0.3">
      <c r="B194" s="297">
        <v>11</v>
      </c>
      <c r="C194" s="298" t="s">
        <v>79</v>
      </c>
      <c r="D194" s="298" t="s">
        <v>149</v>
      </c>
      <c r="E194" s="616"/>
      <c r="F194" s="616"/>
      <c r="G194" s="613"/>
      <c r="H194" s="596"/>
      <c r="I194" s="597"/>
      <c r="J194" s="600"/>
      <c r="K194" s="602"/>
      <c r="L194" s="602"/>
      <c r="M194" s="602"/>
      <c r="N194" s="604"/>
      <c r="O194" s="500"/>
      <c r="P194" s="480" t="str">
        <f>CONCATENATE("(APF ",U193,")")</f>
        <v>(APF 10)</v>
      </c>
      <c r="Q194" s="480" t="str">
        <f>CONCATENATE("(APF ",V193,")")</f>
        <v>(APF 10)</v>
      </c>
      <c r="R194" s="480" t="str">
        <f>CONCATENATE("(APF ",W193,")")</f>
        <v>(APF 10)</v>
      </c>
      <c r="S194" s="480" t="str">
        <f>CONCATENATE("(APF ",X193,")")</f>
        <v>(APF 50)</v>
      </c>
      <c r="U194" s="199" t="s">
        <v>152</v>
      </c>
      <c r="V194" s="200" t="s">
        <v>152</v>
      </c>
      <c r="W194" s="200" t="s">
        <v>152</v>
      </c>
      <c r="X194" s="201" t="s">
        <v>152</v>
      </c>
    </row>
    <row r="195" spans="2:24" ht="16.5" customHeight="1" thickTop="1" thickBot="1" x14ac:dyDescent="0.3">
      <c r="B195" s="297">
        <v>11</v>
      </c>
      <c r="C195" s="298" t="s">
        <v>79</v>
      </c>
      <c r="D195" s="298" t="s">
        <v>59</v>
      </c>
      <c r="E195" s="616"/>
      <c r="F195" s="616"/>
      <c r="G195" s="613"/>
      <c r="H195" s="596"/>
      <c r="I195" s="609" t="s">
        <v>59</v>
      </c>
      <c r="J195" s="609" t="s">
        <v>80</v>
      </c>
      <c r="K195" s="601">
        <f>IFERROR(VLOOKUP($D195,$Z$9:$AD$10,2,FALSE)/IF($D195="Inhalation",IF($J195="Central Tendency",SUMIFS('Inhalation Exposure'!$K$6:$K$65,'Inhalation Exposure'!$B$6:$B$65,$B195,'Inhalation Exposure'!$D$6:$D$65,$C195),SUMIFS('Inhalation Exposure'!$J$6:$J$65,'Inhalation Exposure'!$B$6:$B$65,$B195,'Inhalation Exposure'!$D$6:$D$65,$C195)),IF($J195="Central Tendency",VLOOKUP($B195,'Dermal Exposure'!$A$6:$T$34,17,FALSE),VLOOKUP($B195,'Dermal Exposure'!$A$6:$T$34,11,FALSE))),"--")</f>
        <v>784.31901377817826</v>
      </c>
      <c r="L195" s="601">
        <f>IFERROR(VLOOKUP($D195,$Z$9:$AD$10,3,FALSE)/IF($D195="Inhalation",IF($J195="Central Tendency",SUMIFS('Inhalation Exposure'!$M$6:$M$65,'Inhalation Exposure'!$B$6:$B$65,$B195,'Inhalation Exposure'!$D$6:$D$65,$C195),SUMIFS('Inhalation Exposure'!$L$6:$L$65,'Inhalation Exposure'!$B$6:$B$65,$B195,'Inhalation Exposure'!$D$6:$D$65,$C195)),IF($J195="Central Tendency",VLOOKUP($B195,'Dermal Exposure'!$A$6:$T$34,18,FALSE),VLOOKUP($B195,'Dermal Exposure'!$A$6:$T$34,12,FALSE))),"--")</f>
        <v>349.34263975958146</v>
      </c>
      <c r="M195" s="601">
        <f>IFERROR(VLOOKUP($D195,$Z$9:$AD$10,4,FALSE)/IF($D195="Inhalation",IF($J195="Central Tendency",SUMIFS('Inhalation Exposure'!$O$6:$O$65,'Inhalation Exposure'!$B$6:$B$65,$B195,'Inhalation Exposure'!$D$6:$D$65,$C195),SUMIFS('Inhalation Exposure'!$N$6:$N$65,'Inhalation Exposure'!$B$6:$B$65,$B195,'Inhalation Exposure'!$D$6:$D$65,$C195)),IF($J195="Central Tendency",VLOOKUP($B195,'Dermal Exposure'!$A$6:$T$34,19,FALSE),VLOOKUP($B195,'Dermal Exposure'!$A$6:$T$34,13,FALSE))),"--")</f>
        <v>374.02951963592523</v>
      </c>
      <c r="N195" s="603">
        <f>IFERROR(VLOOKUP(D195,$Z$9:$AD$10,5,FALSE)*IF($D195="Inhalation",IF($J195="Central Tendency",SUMIFS('Inhalation Exposure'!$Q$6:$Q$65,'Inhalation Exposure'!$B$6:$B$65,$B195,'Inhalation Exposure'!$D$6:$D$65,$C195),SUMIFS('Inhalation Exposure'!$P$6:$P$65,'Inhalation Exposure'!$B$6:$B$65,$B195,'Inhalation Exposure'!$D$6:$D$65,$C195)),IF($J195="Central Tendency",VLOOKUP($B195,'Dermal Exposure'!$A$6:$T$34,20,FALSE),VLOOKUP($B195,'Dermal Exposure'!$A$6:$T$34,14,FALSE))),"--")</f>
        <v>2.4983745414524885E-4</v>
      </c>
      <c r="O195" s="500"/>
      <c r="P195" s="183">
        <f>IFERROR(K195*U195, "--")</f>
        <v>3921.5950688908915</v>
      </c>
      <c r="Q195" s="183">
        <f>IFERROR(L195*V195, "--")</f>
        <v>1746.7131987979074</v>
      </c>
      <c r="R195" s="183">
        <f>IFERROR(M195*W195, "--")</f>
        <v>1870.1475981796261</v>
      </c>
      <c r="S195" s="202">
        <f>IFERROR(N195/X195, "--")</f>
        <v>4.9967490829049772E-5</v>
      </c>
      <c r="U195" s="191">
        <v>5</v>
      </c>
      <c r="V195" s="192">
        <v>5</v>
      </c>
      <c r="W195" s="192">
        <v>5</v>
      </c>
      <c r="X195" s="193">
        <v>5</v>
      </c>
    </row>
    <row r="196" spans="2:24" ht="15.75" thickBot="1" x14ac:dyDescent="0.3">
      <c r="B196" s="297">
        <v>11</v>
      </c>
      <c r="C196" s="298" t="s">
        <v>79</v>
      </c>
      <c r="D196" s="298" t="s">
        <v>59</v>
      </c>
      <c r="E196" s="616"/>
      <c r="F196" s="616"/>
      <c r="G196" s="613"/>
      <c r="H196" s="596"/>
      <c r="I196" s="596"/>
      <c r="J196" s="610"/>
      <c r="K196" s="602"/>
      <c r="L196" s="602"/>
      <c r="M196" s="602"/>
      <c r="N196" s="604"/>
      <c r="O196" s="500"/>
      <c r="P196" s="183" t="str">
        <f>CONCATENATE("(PF ",U195,")")</f>
        <v>(PF 5)</v>
      </c>
      <c r="Q196" s="183" t="str">
        <f>CONCATENATE("(PF ",V195,")")</f>
        <v>(PF 5)</v>
      </c>
      <c r="R196" s="183" t="str">
        <f>CONCATENATE("(PF ",W195,")")</f>
        <v>(PF 5)</v>
      </c>
      <c r="S196" s="202" t="str">
        <f>CONCATENATE("(PF ",X195,")")</f>
        <v>(PF 5)</v>
      </c>
      <c r="U196" s="199" t="s">
        <v>161</v>
      </c>
      <c r="V196" s="200" t="s">
        <v>161</v>
      </c>
      <c r="W196" s="200" t="s">
        <v>161</v>
      </c>
      <c r="X196" s="201" t="s">
        <v>161</v>
      </c>
    </row>
    <row r="197" spans="2:24" ht="15.75" thickBot="1" x14ac:dyDescent="0.3">
      <c r="B197" s="297">
        <v>11</v>
      </c>
      <c r="C197" s="298" t="s">
        <v>79</v>
      </c>
      <c r="D197" s="298" t="s">
        <v>59</v>
      </c>
      <c r="E197" s="616"/>
      <c r="F197" s="616"/>
      <c r="G197" s="613"/>
      <c r="H197" s="596"/>
      <c r="I197" s="596"/>
      <c r="J197" s="611" t="s">
        <v>153</v>
      </c>
      <c r="K197" s="601">
        <f>IFERROR(VLOOKUP($D197,$Z$9:$AD$10,2,FALSE)/IF($D197="Inhalation",IF($J197="Central Tendency",SUMIFS('Inhalation Exposure'!$K$6:$K$65,'Inhalation Exposure'!$B$6:$B$65,$B197,'Inhalation Exposure'!$D$6:$D$65,$C197),SUMIFS('Inhalation Exposure'!$J$6:$J$65,'Inhalation Exposure'!$B$6:$B$65,$B197,'Inhalation Exposure'!$D$6:$D$65,$C197)),IF($J197="Central Tendency",VLOOKUP($B197,'Dermal Exposure'!$A$6:$T$34,17,FALSE),VLOOKUP($B197,'Dermal Exposure'!$A$6:$T$34,11,FALSE))),"--")</f>
        <v>323.85313076449711</v>
      </c>
      <c r="L197" s="601">
        <f>IFERROR(VLOOKUP($D197,$Z$9:$AD$10,3,FALSE)/IF($D197="Inhalation",IF($J197="Central Tendency",SUMIFS('Inhalation Exposure'!$M$6:$M$65,'Inhalation Exposure'!$B$6:$B$65,$B197,'Inhalation Exposure'!$D$6:$D$65,$C197),SUMIFS('Inhalation Exposure'!$L$6:$L$65,'Inhalation Exposure'!$B$6:$B$65,$B197,'Inhalation Exposure'!$D$6:$D$65,$C197)),IF($J197="Central Tendency",VLOOKUP($B197,'Dermal Exposure'!$A$6:$T$34,18,FALSE),VLOOKUP($B197,'Dermal Exposure'!$A$6:$T$34,12,FALSE))),"--")</f>
        <v>144.24705458902909</v>
      </c>
      <c r="M197" s="601">
        <f>IFERROR(VLOOKUP($D197,$Z$9:$AD$10,4,FALSE)/IF($D197="Inhalation",IF($J197="Central Tendency",SUMIFS('Inhalation Exposure'!$O$6:$O$65,'Inhalation Exposure'!$B$6:$B$65,$B197,'Inhalation Exposure'!$D$6:$D$65,$C197),SUMIFS('Inhalation Exposure'!$N$6:$N$65,'Inhalation Exposure'!$B$6:$B$65,$B197,'Inhalation Exposure'!$D$6:$D$65,$C197)),IF($J197="Central Tendency",VLOOKUP($B197,'Dermal Exposure'!$A$6:$T$34,19,FALSE),VLOOKUP($B197,'Dermal Exposure'!$A$6:$T$34,13,FALSE))),"--")</f>
        <v>154.44051311332049</v>
      </c>
      <c r="N197" s="603">
        <f>IFERROR(VLOOKUP(D197,$Z$9:$AD$10,5,FALSE)*IF($D197="Inhalation",IF($J197="Central Tendency",SUMIFS('Inhalation Exposure'!$Q$6:$Q$65,'Inhalation Exposure'!$B$6:$B$65,$B197,'Inhalation Exposure'!$D$6:$D$65,$C197),SUMIFS('Inhalation Exposure'!$P$6:$P$65,'Inhalation Exposure'!$B$6:$B$65,$B197,'Inhalation Exposure'!$D$6:$D$65,$C197)),IF($J197="Central Tendency",VLOOKUP($B197,'Dermal Exposure'!$A$6:$T$34,20,FALSE),VLOOKUP($B197,'Dermal Exposure'!$A$6:$T$34,14,FALSE))),"--")</f>
        <v>6.7781054470673148E-4</v>
      </c>
      <c r="O197" s="500"/>
      <c r="P197" s="525">
        <f>IFERROR(K197*U197, "--")</f>
        <v>1619.2656538224855</v>
      </c>
      <c r="Q197" s="476">
        <f>IFERROR(L197*V197, "--")</f>
        <v>721.23527294514543</v>
      </c>
      <c r="R197" s="476">
        <f>IFERROR(M197*W197, "--")</f>
        <v>772.20256556660252</v>
      </c>
      <c r="S197" s="203">
        <f>IFERROR(N197/X197, "--")</f>
        <v>1.355621089413463E-4</v>
      </c>
      <c r="U197" s="191">
        <v>5</v>
      </c>
      <c r="V197" s="192">
        <v>5</v>
      </c>
      <c r="W197" s="192">
        <v>5</v>
      </c>
      <c r="X197" s="193">
        <v>5</v>
      </c>
    </row>
    <row r="198" spans="2:24" ht="15.75" thickBot="1" x14ac:dyDescent="0.3">
      <c r="B198" s="297">
        <v>11</v>
      </c>
      <c r="C198" s="298" t="s">
        <v>79</v>
      </c>
      <c r="D198" s="298" t="s">
        <v>59</v>
      </c>
      <c r="E198" s="616"/>
      <c r="F198" s="616"/>
      <c r="G198" s="613"/>
      <c r="H198" s="597"/>
      <c r="I198" s="597"/>
      <c r="J198" s="600"/>
      <c r="K198" s="602"/>
      <c r="L198" s="602"/>
      <c r="M198" s="602"/>
      <c r="N198" s="604"/>
      <c r="O198" s="500"/>
      <c r="P198" s="480" t="str">
        <f>CONCATENATE("(PF ",U197,")")</f>
        <v>(PF 5)</v>
      </c>
      <c r="Q198" s="480" t="str">
        <f>CONCATENATE("(PF ",V197,")")</f>
        <v>(PF 5)</v>
      </c>
      <c r="R198" s="480" t="str">
        <f>CONCATENATE("(PF ",W197,")")</f>
        <v>(PF 5)</v>
      </c>
      <c r="S198" s="198" t="str">
        <f>CONCATENATE("(PF ",X197,")")</f>
        <v>(PF 5)</v>
      </c>
      <c r="U198" s="199" t="s">
        <v>161</v>
      </c>
      <c r="V198" s="200" t="s">
        <v>161</v>
      </c>
      <c r="W198" s="200" t="s">
        <v>161</v>
      </c>
      <c r="X198" s="201" t="s">
        <v>161</v>
      </c>
    </row>
    <row r="199" spans="2:24" ht="27" customHeight="1" thickTop="1" thickBot="1" x14ac:dyDescent="0.3">
      <c r="B199" s="297">
        <v>11</v>
      </c>
      <c r="C199" s="298" t="s">
        <v>82</v>
      </c>
      <c r="D199" s="298" t="s">
        <v>149</v>
      </c>
      <c r="E199" s="616"/>
      <c r="F199" s="616"/>
      <c r="G199" s="613"/>
      <c r="H199" s="609" t="s">
        <v>82</v>
      </c>
      <c r="I199" s="609" t="s">
        <v>126</v>
      </c>
      <c r="J199" s="208" t="s">
        <v>80</v>
      </c>
      <c r="K199" s="476">
        <f>IFERROR(VLOOKUP($D199,$Z$9:$AD$10,2,FALSE)/IF($D199="Inhalation",IF($J199="Central Tendency",SUMIFS('Inhalation Exposure'!$K$6:$K$65,'Inhalation Exposure'!$B$6:$B$65,$B199,'Inhalation Exposure'!$D$6:$D$65,$C199),SUMIFS('Inhalation Exposure'!$J$6:$J$65,'Inhalation Exposure'!$B$6:$B$65,$B199,'Inhalation Exposure'!$D$6:$D$65,$C199)),IF($J199="Central Tendency",VLOOKUP($B199,'Dermal Exposure'!$A$6:$T$34,17,FALSE),VLOOKUP($B199,'Dermal Exposure'!$A$6:$T$34,11,FALSE))),"--")</f>
        <v>4570.9131561008862</v>
      </c>
      <c r="L199" s="476">
        <f>IFERROR(VLOOKUP($D199,$Z$9:$AD$10,3,FALSE)/IF($D199="Inhalation",IF($J199="Central Tendency",SUMIFS('Inhalation Exposure'!$M$6:$M$65,'Inhalation Exposure'!$B$6:$B$65,$B199,'Inhalation Exposure'!$D$6:$D$65,$C199),SUMIFS('Inhalation Exposure'!$L$6:$L$65,'Inhalation Exposure'!$B$6:$B$65,$B199,'Inhalation Exposure'!$D$6:$D$65,$C199)),IF($J199="Central Tendency",VLOOKUP($B199,'Dermal Exposure'!$A$6:$T$34,18,FALSE),VLOOKUP($B199,'Dermal Exposure'!$A$6:$T$34,12,FALSE))),"--")</f>
        <v>13393.359360475924</v>
      </c>
      <c r="M199" s="476">
        <f>IFERROR(VLOOKUP($D199,$Z$9:$AD$10,4,FALSE)/IF($D199="Inhalation",IF($J199="Central Tendency",SUMIFS('Inhalation Exposure'!$O$6:$O$65,'Inhalation Exposure'!$B$6:$B$65,$B199,'Inhalation Exposure'!$D$6:$D$65,$C199),SUMIFS('Inhalation Exposure'!$N$6:$N$65,'Inhalation Exposure'!$B$6:$B$65,$B199,'Inhalation Exposure'!$D$6:$D$65,$C199)),IF($J199="Central Tendency",VLOOKUP($B199,'Dermal Exposure'!$A$6:$T$34,19,FALSE),VLOOKUP($B199,'Dermal Exposure'!$A$6:$T$34,13,FALSE))),"--")</f>
        <v>14339.823421949557</v>
      </c>
      <c r="N199" s="523">
        <f>IFERROR(VLOOKUP(D199,$Z$9:$AD$10,5,FALSE)*IF($D199="Inhalation",IF($J199="Central Tendency",SUMIFS('Inhalation Exposure'!$Q$6:$Q$65,'Inhalation Exposure'!$B$6:$B$65,$B199,'Inhalation Exposure'!$D$6:$D$65,$C199),SUMIFS('Inhalation Exposure'!$P$6:$P$65,'Inhalation Exposure'!$B$6:$B$65,$B199,'Inhalation Exposure'!$D$6:$D$65,$C199)),IF($J199="Central Tendency",VLOOKUP($B199,'Dermal Exposure'!$A$6:$T$34,20,FALSE),VLOOKUP($B199,'Dermal Exposure'!$A$6:$T$34,14,FALSE))),"--")</f>
        <v>4.1795028829710068E-6</v>
      </c>
      <c r="O199" s="499"/>
      <c r="P199" s="482" t="s">
        <v>162</v>
      </c>
      <c r="Q199" s="482" t="s">
        <v>162</v>
      </c>
      <c r="R199" s="482" t="s">
        <v>162</v>
      </c>
      <c r="S199" s="482" t="s">
        <v>162</v>
      </c>
      <c r="U199" s="191" t="s">
        <v>162</v>
      </c>
      <c r="V199" s="192" t="s">
        <v>162</v>
      </c>
      <c r="W199" s="192" t="s">
        <v>162</v>
      </c>
      <c r="X199" s="193" t="s">
        <v>162</v>
      </c>
    </row>
    <row r="200" spans="2:24" ht="15.75" thickBot="1" x14ac:dyDescent="0.3">
      <c r="B200" s="297">
        <v>11</v>
      </c>
      <c r="C200" s="298" t="s">
        <v>82</v>
      </c>
      <c r="D200" s="298" t="s">
        <v>149</v>
      </c>
      <c r="E200" s="617"/>
      <c r="F200" s="617"/>
      <c r="G200" s="614"/>
      <c r="H200" s="596"/>
      <c r="I200" s="610"/>
      <c r="J200" s="482" t="s">
        <v>153</v>
      </c>
      <c r="K200" s="476">
        <f>IFERROR(VLOOKUP($D200,$Z$9:$AD$10,2,FALSE)/IF($D200="Inhalation",IF($J200="Central Tendency",SUMIFS('Inhalation Exposure'!$K$6:$K$65,'Inhalation Exposure'!$B$6:$B$65,$B200,'Inhalation Exposure'!$D$6:$D$65,$C200),SUMIFS('Inhalation Exposure'!$J$6:$J$65,'Inhalation Exposure'!$B$6:$B$65,$B200,'Inhalation Exposure'!$D$6:$D$65,$C200)),IF($J200="Central Tendency",VLOOKUP($B200,'Dermal Exposure'!$A$6:$T$34,17,FALSE),VLOOKUP($B200,'Dermal Exposure'!$A$6:$T$34,11,FALSE))),"--")</f>
        <v>4570.9131561008862</v>
      </c>
      <c r="L200" s="476">
        <f>IFERROR(VLOOKUP($D200,$Z$9:$AD$10,3,FALSE)/IF($D200="Inhalation",IF($J200="Central Tendency",SUMIFS('Inhalation Exposure'!$M$6:$M$65,'Inhalation Exposure'!$B$6:$B$65,$B200,'Inhalation Exposure'!$D$6:$D$65,$C200),SUMIFS('Inhalation Exposure'!$L$6:$L$65,'Inhalation Exposure'!$B$6:$B$65,$B200,'Inhalation Exposure'!$D$6:$D$65,$C200)),IF($J200="Central Tendency",VLOOKUP($B200,'Dermal Exposure'!$A$6:$T$34,18,FALSE),VLOOKUP($B200,'Dermal Exposure'!$A$6:$T$34,12,FALSE))),"--")</f>
        <v>13393.359360475924</v>
      </c>
      <c r="M200" s="476">
        <f>IFERROR(VLOOKUP($D200,$Z$9:$AD$10,4,FALSE)/IF($D200="Inhalation",IF($J200="Central Tendency",SUMIFS('Inhalation Exposure'!$O$6:$O$65,'Inhalation Exposure'!$B$6:$B$65,$B200,'Inhalation Exposure'!$D$6:$D$65,$C200),SUMIFS('Inhalation Exposure'!$N$6:$N$65,'Inhalation Exposure'!$B$6:$B$65,$B200,'Inhalation Exposure'!$D$6:$D$65,$C200)),IF($J200="Central Tendency",VLOOKUP($B200,'Dermal Exposure'!$A$6:$T$34,19,FALSE),VLOOKUP($B200,'Dermal Exposure'!$A$6:$T$34,13,FALSE))),"--")</f>
        <v>14339.823421949557</v>
      </c>
      <c r="N200" s="523">
        <f>IFERROR(VLOOKUP(D200,$Z$9:$AD$10,5,FALSE)*IF($D200="Inhalation",IF($J200="Central Tendency",SUMIFS('Inhalation Exposure'!$Q$6:$Q$65,'Inhalation Exposure'!$B$6:$B$65,$B200,'Inhalation Exposure'!$D$6:$D$65,$C200),SUMIFS('Inhalation Exposure'!$P$6:$P$65,'Inhalation Exposure'!$B$6:$B$65,$B200,'Inhalation Exposure'!$D$6:$D$65,$C200)),IF($J200="Central Tendency",VLOOKUP($B200,'Dermal Exposure'!$A$6:$T$34,20,FALSE),VLOOKUP($B200,'Dermal Exposure'!$A$6:$T$34,14,FALSE))),"--")</f>
        <v>5.3929069457690404E-6</v>
      </c>
      <c r="O200" s="500"/>
      <c r="P200" s="271" t="s">
        <v>162</v>
      </c>
      <c r="Q200" s="204" t="s">
        <v>162</v>
      </c>
      <c r="R200" s="204" t="s">
        <v>162</v>
      </c>
      <c r="S200" s="204" t="s">
        <v>162</v>
      </c>
      <c r="U200" s="205" t="s">
        <v>162</v>
      </c>
      <c r="V200" s="206" t="s">
        <v>162</v>
      </c>
      <c r="W200" s="206" t="s">
        <v>162</v>
      </c>
      <c r="X200" s="207" t="s">
        <v>162</v>
      </c>
    </row>
    <row r="201" spans="2:24" ht="15.75" customHeight="1" thickBot="1" x14ac:dyDescent="0.3">
      <c r="B201" s="297">
        <v>12</v>
      </c>
      <c r="C201" s="298" t="s">
        <v>79</v>
      </c>
      <c r="D201" s="298" t="s">
        <v>149</v>
      </c>
      <c r="E201" s="615" t="s">
        <v>209</v>
      </c>
      <c r="F201" s="615" t="s">
        <v>210</v>
      </c>
      <c r="G201" s="612" t="s">
        <v>212</v>
      </c>
      <c r="H201" s="595" t="s">
        <v>79</v>
      </c>
      <c r="I201" s="595" t="s">
        <v>126</v>
      </c>
      <c r="J201" s="598" t="s">
        <v>80</v>
      </c>
      <c r="K201" s="601">
        <f>IFERROR(VLOOKUP($D201,$Z$9:$AD$10,2,FALSE)/IF($D201="Inhalation",IF($J201="Central Tendency",SUMIFS('Inhalation Exposure'!$K$6:$K$65,'Inhalation Exposure'!$B$6:$B$65,$B201,'Inhalation Exposure'!$D$6:$D$65,$C201),SUMIFS('Inhalation Exposure'!$J$6:$J$65,'Inhalation Exposure'!$B$6:$B$65,$B201,'Inhalation Exposure'!$D$6:$D$65,$C201)),IF($J201="Central Tendency",VLOOKUP($B201,'Dermal Exposure'!$A$6:$T$34,17,FALSE),VLOOKUP($B201,'Dermal Exposure'!$A$6:$T$34,11,FALSE))),"--")</f>
        <v>24.704166666666666</v>
      </c>
      <c r="L201" s="601">
        <f>IFERROR(VLOOKUP($D201,$Z$9:$AD$10,3,FALSE)/IF($D201="Inhalation",IF($J201="Central Tendency",SUMIFS('Inhalation Exposure'!$M$6:$M$65,'Inhalation Exposure'!$B$6:$B$65,$B201,'Inhalation Exposure'!$D$6:$D$65,$C201),SUMIFS('Inhalation Exposure'!$L$6:$L$65,'Inhalation Exposure'!$B$6:$B$65,$B201,'Inhalation Exposure'!$D$6:$D$65,$C201)),IF($J201="Central Tendency",VLOOKUP($B201,'Dermal Exposure'!$A$6:$T$34,18,FALSE),VLOOKUP($B201,'Dermal Exposure'!$A$6:$T$34,12,FALSE))),"--")</f>
        <v>72.386363636363654</v>
      </c>
      <c r="M201" s="601">
        <f>IFERROR(VLOOKUP($D201,$Z$9:$AD$10,4,FALSE)/IF($D201="Inhalation",IF($J201="Central Tendency",SUMIFS('Inhalation Exposure'!$O$6:$O$65,'Inhalation Exposure'!$B$6:$B$65,$B201,'Inhalation Exposure'!$D$6:$D$65,$C201),SUMIFS('Inhalation Exposure'!$N$6:$N$65,'Inhalation Exposure'!$B$6:$B$65,$B201,'Inhalation Exposure'!$D$6:$D$65,$C201)),IF($J201="Central Tendency",VLOOKUP($B201,'Dermal Exposure'!$A$6:$T$34,19,FALSE),VLOOKUP($B201,'Dermal Exposure'!$A$6:$T$34,13,FALSE))),"--")</f>
        <v>77.501666666666665</v>
      </c>
      <c r="N201" s="603">
        <f>IFERROR(VLOOKUP(D201,$Z$9:$AD$10,5,FALSE)*IF($D201="Inhalation",IF($J201="Central Tendency",SUMIFS('Inhalation Exposure'!$Q$6:$Q$65,'Inhalation Exposure'!$B$6:$B$65,$B201,'Inhalation Exposure'!$D$6:$D$65,$C201),SUMIFS('Inhalation Exposure'!$P$6:$P$65,'Inhalation Exposure'!$B$6:$B$65,$B201,'Inhalation Exposure'!$D$6:$D$65,$C201)),IF($J201="Central Tendency",VLOOKUP($B201,'Dermal Exposure'!$A$6:$T$34,20,FALSE),VLOOKUP($B201,'Dermal Exposure'!$A$6:$T$34,14,FALSE))),"--")</f>
        <v>7.7331670286660511E-4</v>
      </c>
      <c r="O201" s="500"/>
      <c r="P201" s="183">
        <f>IFERROR(K201*U201, "--")</f>
        <v>247.04166666666666</v>
      </c>
      <c r="Q201" s="183">
        <f>IFERROR(L201*V201, "--")</f>
        <v>723.86363636363649</v>
      </c>
      <c r="R201" s="183">
        <f>IFERROR(M201*W201, "--")</f>
        <v>775.01666666666665</v>
      </c>
      <c r="S201" s="184">
        <f>IFERROR(N201/X201, "--")</f>
        <v>7.7331670286660508E-5</v>
      </c>
      <c r="U201" s="185">
        <v>10</v>
      </c>
      <c r="V201" s="186">
        <v>10</v>
      </c>
      <c r="W201" s="186">
        <v>10</v>
      </c>
      <c r="X201" s="187">
        <v>10</v>
      </c>
    </row>
    <row r="202" spans="2:24" ht="15.75" thickBot="1" x14ac:dyDescent="0.3">
      <c r="B202" s="297">
        <v>12</v>
      </c>
      <c r="C202" s="298" t="s">
        <v>79</v>
      </c>
      <c r="D202" s="298" t="s">
        <v>149</v>
      </c>
      <c r="E202" s="616"/>
      <c r="F202" s="616"/>
      <c r="G202" s="613"/>
      <c r="H202" s="596"/>
      <c r="I202" s="596"/>
      <c r="J202" s="599"/>
      <c r="K202" s="602"/>
      <c r="L202" s="602"/>
      <c r="M202" s="602"/>
      <c r="N202" s="604"/>
      <c r="O202" s="500"/>
      <c r="P202" s="482" t="str">
        <f>CONCATENATE("(APF ",U201,")")</f>
        <v>(APF 10)</v>
      </c>
      <c r="Q202" s="482" t="str">
        <f>CONCATENATE("(APF ",V201,")")</f>
        <v>(APF 10)</v>
      </c>
      <c r="R202" s="482" t="str">
        <f>CONCATENATE("(APF ",W201,")")</f>
        <v>(APF 10)</v>
      </c>
      <c r="S202" s="482" t="str">
        <f>CONCATENATE("(APF ",X201,")")</f>
        <v>(APF 10)</v>
      </c>
      <c r="U202" s="191" t="s">
        <v>152</v>
      </c>
      <c r="V202" s="192" t="s">
        <v>152</v>
      </c>
      <c r="W202" s="192" t="s">
        <v>152</v>
      </c>
      <c r="X202" s="193" t="s">
        <v>152</v>
      </c>
    </row>
    <row r="203" spans="2:24" ht="15.75" thickBot="1" x14ac:dyDescent="0.3">
      <c r="B203" s="297">
        <v>12</v>
      </c>
      <c r="C203" s="298" t="s">
        <v>79</v>
      </c>
      <c r="D203" s="298" t="s">
        <v>149</v>
      </c>
      <c r="E203" s="616"/>
      <c r="F203" s="616"/>
      <c r="G203" s="613"/>
      <c r="H203" s="596"/>
      <c r="I203" s="596"/>
      <c r="J203" s="598" t="s">
        <v>153</v>
      </c>
      <c r="K203" s="601">
        <f>IFERROR(VLOOKUP($D203,$Z$9:$AD$10,2,FALSE)/IF($D203="Inhalation",IF($J203="Central Tendency",SUMIFS('Inhalation Exposure'!$K$6:$K$65,'Inhalation Exposure'!$B$6:$B$65,$B203,'Inhalation Exposure'!$D$6:$D$65,$C203),SUMIFS('Inhalation Exposure'!$J$6:$J$65,'Inhalation Exposure'!$B$6:$B$65,$B203,'Inhalation Exposure'!$D$6:$D$65,$C203)),IF($J203="Central Tendency",VLOOKUP($B203,'Dermal Exposure'!$A$6:$T$34,17,FALSE),VLOOKUP($B203,'Dermal Exposure'!$A$6:$T$34,11,FALSE))),"--")</f>
        <v>4.9569693011103846</v>
      </c>
      <c r="L203" s="601">
        <f>IFERROR(VLOOKUP($D203,$Z$9:$AD$10,3,FALSE)/IF($D203="Inhalation",IF($J203="Central Tendency",SUMIFS('Inhalation Exposure'!$M$6:$M$65,'Inhalation Exposure'!$B$6:$B$65,$B203,'Inhalation Exposure'!$D$6:$D$65,$C203),SUMIFS('Inhalation Exposure'!$L$6:$L$65,'Inhalation Exposure'!$B$6:$B$65,$B203,'Inhalation Exposure'!$D$6:$D$65,$C203)),IF($J203="Central Tendency",VLOOKUP($B203,'Dermal Exposure'!$A$6:$T$34,18,FALSE),VLOOKUP($B203,'Dermal Exposure'!$A$6:$T$34,12,FALSE))),"--")</f>
        <v>14.524553173802028</v>
      </c>
      <c r="M203" s="601">
        <f>IFERROR(VLOOKUP($D203,$Z$9:$AD$10,4,FALSE)/IF($D203="Inhalation",IF($J203="Central Tendency",SUMIFS('Inhalation Exposure'!$O$6:$O$65,'Inhalation Exposure'!$B$6:$B$65,$B203,'Inhalation Exposure'!$D$6:$D$65,$C203),SUMIFS('Inhalation Exposure'!$N$6:$N$65,'Inhalation Exposure'!$B$6:$B$65,$B203,'Inhalation Exposure'!$D$6:$D$65,$C203)),IF($J203="Central Tendency",VLOOKUP($B203,'Dermal Exposure'!$A$6:$T$34,19,FALSE),VLOOKUP($B203,'Dermal Exposure'!$A$6:$T$34,13,FALSE))),"--")</f>
        <v>15.550954931417373</v>
      </c>
      <c r="N203" s="603">
        <f>IFERROR(VLOOKUP(D203,$Z$9:$AD$10,5,FALSE)*IF($D203="Inhalation",IF($J203="Central Tendency",SUMIFS('Inhalation Exposure'!$Q$6:$Q$65,'Inhalation Exposure'!$B$6:$B$65,$B203,'Inhalation Exposure'!$D$6:$D$65,$C203),SUMIFS('Inhalation Exposure'!$P$6:$P$65,'Inhalation Exposure'!$B$6:$B$65,$B203,'Inhalation Exposure'!$D$6:$D$65,$C203)),IF($J203="Central Tendency",VLOOKUP($B203,'Dermal Exposure'!$A$6:$T$34,20,FALSE),VLOOKUP($B203,'Dermal Exposure'!$A$6:$T$34,14,FALSE))),"--")</f>
        <v>4.9728993283298575E-3</v>
      </c>
      <c r="O203" s="500"/>
      <c r="P203" s="183">
        <f>IFERROR(K203*U203, "--")</f>
        <v>49.569693011103844</v>
      </c>
      <c r="Q203" s="183">
        <f>IFERROR(L203*V203, "--")</f>
        <v>145.24553173802028</v>
      </c>
      <c r="R203" s="183">
        <f>IFERROR(M203*W203, "--")</f>
        <v>155.50954931417374</v>
      </c>
      <c r="S203" s="184">
        <f>IFERROR(N203/X203, "--")</f>
        <v>9.9457986566597154E-5</v>
      </c>
      <c r="U203" s="194">
        <v>10</v>
      </c>
      <c r="V203" s="195">
        <v>10</v>
      </c>
      <c r="W203" s="195">
        <v>10</v>
      </c>
      <c r="X203" s="196">
        <v>50</v>
      </c>
    </row>
    <row r="204" spans="2:24" ht="15.75" thickBot="1" x14ac:dyDescent="0.3">
      <c r="B204" s="297">
        <v>12</v>
      </c>
      <c r="C204" s="298" t="s">
        <v>79</v>
      </c>
      <c r="D204" s="298" t="s">
        <v>149</v>
      </c>
      <c r="E204" s="616"/>
      <c r="F204" s="616"/>
      <c r="G204" s="613"/>
      <c r="H204" s="596"/>
      <c r="I204" s="597"/>
      <c r="J204" s="600"/>
      <c r="K204" s="602"/>
      <c r="L204" s="602"/>
      <c r="M204" s="602"/>
      <c r="N204" s="604"/>
      <c r="O204" s="500"/>
      <c r="P204" s="480" t="str">
        <f>CONCATENATE("(APF ",U203,")")</f>
        <v>(APF 10)</v>
      </c>
      <c r="Q204" s="480" t="str">
        <f>CONCATENATE("(APF ",V203,")")</f>
        <v>(APF 10)</v>
      </c>
      <c r="R204" s="480" t="str">
        <f>CONCATENATE("(APF ",W203,")")</f>
        <v>(APF 10)</v>
      </c>
      <c r="S204" s="480" t="str">
        <f>CONCATENATE("(APF ",X203,")")</f>
        <v>(APF 50)</v>
      </c>
      <c r="U204" s="199" t="s">
        <v>152</v>
      </c>
      <c r="V204" s="200" t="s">
        <v>152</v>
      </c>
      <c r="W204" s="200" t="s">
        <v>152</v>
      </c>
      <c r="X204" s="201" t="s">
        <v>152</v>
      </c>
    </row>
    <row r="205" spans="2:24" ht="16.5" customHeight="1" thickTop="1" thickBot="1" x14ac:dyDescent="0.3">
      <c r="B205" s="297">
        <v>12</v>
      </c>
      <c r="C205" s="298" t="s">
        <v>79</v>
      </c>
      <c r="D205" s="298" t="s">
        <v>59</v>
      </c>
      <c r="E205" s="616"/>
      <c r="F205" s="616"/>
      <c r="G205" s="613"/>
      <c r="H205" s="596"/>
      <c r="I205" s="609" t="s">
        <v>59</v>
      </c>
      <c r="J205" s="609" t="s">
        <v>80</v>
      </c>
      <c r="K205" s="601">
        <f>IFERROR(VLOOKUP($D205,$Z$9:$AD$10,2,FALSE)/IF($D205="Inhalation",IF($J205="Central Tendency",SUMIFS('Inhalation Exposure'!$K$6:$K$65,'Inhalation Exposure'!$B$6:$B$65,$B205,'Inhalation Exposure'!$D$6:$D$65,$C205),SUMIFS('Inhalation Exposure'!$J$6:$J$65,'Inhalation Exposure'!$B$6:$B$65,$B205,'Inhalation Exposure'!$D$6:$D$65,$C205)),IF($J205="Central Tendency",VLOOKUP($B205,'Dermal Exposure'!$A$6:$T$34,17,FALSE),VLOOKUP($B205,'Dermal Exposure'!$A$6:$T$34,11,FALSE))),"--")</f>
        <v>784.31901377817826</v>
      </c>
      <c r="L205" s="601">
        <f>IFERROR(VLOOKUP($D205,$Z$9:$AD$10,3,FALSE)/IF($D205="Inhalation",IF($J205="Central Tendency",SUMIFS('Inhalation Exposure'!$M$6:$M$65,'Inhalation Exposure'!$B$6:$B$65,$B205,'Inhalation Exposure'!$D$6:$D$65,$C205),SUMIFS('Inhalation Exposure'!$L$6:$L$65,'Inhalation Exposure'!$B$6:$B$65,$B205,'Inhalation Exposure'!$D$6:$D$65,$C205)),IF($J205="Central Tendency",VLOOKUP($B205,'Dermal Exposure'!$A$6:$T$34,18,FALSE),VLOOKUP($B205,'Dermal Exposure'!$A$6:$T$34,12,FALSE))),"--")</f>
        <v>349.34263975958146</v>
      </c>
      <c r="M205" s="601">
        <f>IFERROR(VLOOKUP($D205,$Z$9:$AD$10,4,FALSE)/IF($D205="Inhalation",IF($J205="Central Tendency",SUMIFS('Inhalation Exposure'!$O$6:$O$65,'Inhalation Exposure'!$B$6:$B$65,$B205,'Inhalation Exposure'!$D$6:$D$65,$C205),SUMIFS('Inhalation Exposure'!$N$6:$N$65,'Inhalation Exposure'!$B$6:$B$65,$B205,'Inhalation Exposure'!$D$6:$D$65,$C205)),IF($J205="Central Tendency",VLOOKUP($B205,'Dermal Exposure'!$A$6:$T$34,19,FALSE),VLOOKUP($B205,'Dermal Exposure'!$A$6:$T$34,13,FALSE))),"--")</f>
        <v>374.02951963592523</v>
      </c>
      <c r="N205" s="603">
        <f>IFERROR(VLOOKUP(D205,$Z$9:$AD$10,5,FALSE)*IF($D205="Inhalation",IF($J205="Central Tendency",SUMIFS('Inhalation Exposure'!$Q$6:$Q$65,'Inhalation Exposure'!$B$6:$B$65,$B205,'Inhalation Exposure'!$D$6:$D$65,$C205),SUMIFS('Inhalation Exposure'!$P$6:$P$65,'Inhalation Exposure'!$B$6:$B$65,$B205,'Inhalation Exposure'!$D$6:$D$65,$C205)),IF($J205="Central Tendency",VLOOKUP($B205,'Dermal Exposure'!$A$6:$T$34,20,FALSE),VLOOKUP($B205,'Dermal Exposure'!$A$6:$T$34,14,FALSE))),"--")</f>
        <v>2.4983745414524885E-4</v>
      </c>
      <c r="O205" s="500"/>
      <c r="P205" s="183">
        <f>IFERROR(K205*U205, "--")</f>
        <v>3921.5950688908915</v>
      </c>
      <c r="Q205" s="183">
        <f>IFERROR(L205*V205, "--")</f>
        <v>1746.7131987979074</v>
      </c>
      <c r="R205" s="183">
        <f>IFERROR(M205*W205, "--")</f>
        <v>1870.1475981796261</v>
      </c>
      <c r="S205" s="202">
        <f>IFERROR(N205/X205, "--")</f>
        <v>4.9967490829049772E-5</v>
      </c>
      <c r="U205" s="191">
        <v>5</v>
      </c>
      <c r="V205" s="192">
        <v>5</v>
      </c>
      <c r="W205" s="192">
        <v>5</v>
      </c>
      <c r="X205" s="193">
        <v>5</v>
      </c>
    </row>
    <row r="206" spans="2:24" ht="15.75" thickBot="1" x14ac:dyDescent="0.3">
      <c r="B206" s="297">
        <v>12</v>
      </c>
      <c r="C206" s="298" t="s">
        <v>79</v>
      </c>
      <c r="D206" s="298" t="s">
        <v>59</v>
      </c>
      <c r="E206" s="616"/>
      <c r="F206" s="616"/>
      <c r="G206" s="613"/>
      <c r="H206" s="596"/>
      <c r="I206" s="596"/>
      <c r="J206" s="610"/>
      <c r="K206" s="602"/>
      <c r="L206" s="602"/>
      <c r="M206" s="602"/>
      <c r="N206" s="604"/>
      <c r="O206" s="500"/>
      <c r="P206" s="183" t="str">
        <f>CONCATENATE("(PF ",U205,")")</f>
        <v>(PF 5)</v>
      </c>
      <c r="Q206" s="183" t="str">
        <f>CONCATENATE("(PF ",V205,")")</f>
        <v>(PF 5)</v>
      </c>
      <c r="R206" s="183" t="str">
        <f>CONCATENATE("(PF ",W205,")")</f>
        <v>(PF 5)</v>
      </c>
      <c r="S206" s="202" t="str">
        <f>CONCATENATE("(PF ",X205,")")</f>
        <v>(PF 5)</v>
      </c>
      <c r="U206" s="199" t="s">
        <v>161</v>
      </c>
      <c r="V206" s="200" t="s">
        <v>161</v>
      </c>
      <c r="W206" s="200" t="s">
        <v>161</v>
      </c>
      <c r="X206" s="201" t="s">
        <v>161</v>
      </c>
    </row>
    <row r="207" spans="2:24" ht="15.75" thickBot="1" x14ac:dyDescent="0.3">
      <c r="B207" s="297">
        <v>12</v>
      </c>
      <c r="C207" s="298" t="s">
        <v>79</v>
      </c>
      <c r="D207" s="298" t="s">
        <v>59</v>
      </c>
      <c r="E207" s="616"/>
      <c r="F207" s="616"/>
      <c r="G207" s="613"/>
      <c r="H207" s="596"/>
      <c r="I207" s="596"/>
      <c r="J207" s="611" t="s">
        <v>153</v>
      </c>
      <c r="K207" s="601">
        <f>IFERROR(VLOOKUP($D207,$Z$9:$AD$10,2,FALSE)/IF($D207="Inhalation",IF($J207="Central Tendency",SUMIFS('Inhalation Exposure'!$K$6:$K$65,'Inhalation Exposure'!$B$6:$B$65,$B207,'Inhalation Exposure'!$D$6:$D$65,$C207),SUMIFS('Inhalation Exposure'!$J$6:$J$65,'Inhalation Exposure'!$B$6:$B$65,$B207,'Inhalation Exposure'!$D$6:$D$65,$C207)),IF($J207="Central Tendency",VLOOKUP($B207,'Dermal Exposure'!$A$6:$T$34,17,FALSE),VLOOKUP($B207,'Dermal Exposure'!$A$6:$T$34,11,FALSE))),"--")</f>
        <v>323.85313076449711</v>
      </c>
      <c r="L207" s="601">
        <f>IFERROR(VLOOKUP($D207,$Z$9:$AD$10,3,FALSE)/IF($D207="Inhalation",IF($J207="Central Tendency",SUMIFS('Inhalation Exposure'!$M$6:$M$65,'Inhalation Exposure'!$B$6:$B$65,$B207,'Inhalation Exposure'!$D$6:$D$65,$C207),SUMIFS('Inhalation Exposure'!$L$6:$L$65,'Inhalation Exposure'!$B$6:$B$65,$B207,'Inhalation Exposure'!$D$6:$D$65,$C207)),IF($J207="Central Tendency",VLOOKUP($B207,'Dermal Exposure'!$A$6:$T$34,18,FALSE),VLOOKUP($B207,'Dermal Exposure'!$A$6:$T$34,12,FALSE))),"--")</f>
        <v>144.24705458902909</v>
      </c>
      <c r="M207" s="601">
        <f>IFERROR(VLOOKUP($D207,$Z$9:$AD$10,4,FALSE)/IF($D207="Inhalation",IF($J207="Central Tendency",SUMIFS('Inhalation Exposure'!$O$6:$O$65,'Inhalation Exposure'!$B$6:$B$65,$B207,'Inhalation Exposure'!$D$6:$D$65,$C207),SUMIFS('Inhalation Exposure'!$N$6:$N$65,'Inhalation Exposure'!$B$6:$B$65,$B207,'Inhalation Exposure'!$D$6:$D$65,$C207)),IF($J207="Central Tendency",VLOOKUP($B207,'Dermal Exposure'!$A$6:$T$34,19,FALSE),VLOOKUP($B207,'Dermal Exposure'!$A$6:$T$34,13,FALSE))),"--")</f>
        <v>154.44051311332049</v>
      </c>
      <c r="N207" s="603">
        <f>IFERROR(VLOOKUP(D207,$Z$9:$AD$10,5,FALSE)*IF($D207="Inhalation",IF($J207="Central Tendency",SUMIFS('Inhalation Exposure'!$Q$6:$Q$65,'Inhalation Exposure'!$B$6:$B$65,$B207,'Inhalation Exposure'!$D$6:$D$65,$C207),SUMIFS('Inhalation Exposure'!$P$6:$P$65,'Inhalation Exposure'!$B$6:$B$65,$B207,'Inhalation Exposure'!$D$6:$D$65,$C207)),IF($J207="Central Tendency",VLOOKUP($B207,'Dermal Exposure'!$A$6:$T$34,20,FALSE),VLOOKUP($B207,'Dermal Exposure'!$A$6:$T$34,14,FALSE))),"--")</f>
        <v>6.7781054470673148E-4</v>
      </c>
      <c r="O207" s="500"/>
      <c r="P207" s="525">
        <f>IFERROR(K207*U207, "--")</f>
        <v>1619.2656538224855</v>
      </c>
      <c r="Q207" s="476">
        <f>IFERROR(L207*V207, "--")</f>
        <v>721.23527294514543</v>
      </c>
      <c r="R207" s="476">
        <f>IFERROR(M207*W207, "--")</f>
        <v>772.20256556660252</v>
      </c>
      <c r="S207" s="203">
        <f>IFERROR(N207/X207, "--")</f>
        <v>1.355621089413463E-4</v>
      </c>
      <c r="U207" s="191">
        <v>5</v>
      </c>
      <c r="V207" s="192">
        <v>5</v>
      </c>
      <c r="W207" s="192">
        <v>5</v>
      </c>
      <c r="X207" s="193">
        <v>5</v>
      </c>
    </row>
    <row r="208" spans="2:24" ht="15.75" thickBot="1" x14ac:dyDescent="0.3">
      <c r="B208" s="297">
        <v>12</v>
      </c>
      <c r="C208" s="298" t="s">
        <v>79</v>
      </c>
      <c r="D208" s="298" t="s">
        <v>59</v>
      </c>
      <c r="E208" s="616"/>
      <c r="F208" s="616"/>
      <c r="G208" s="613"/>
      <c r="H208" s="597"/>
      <c r="I208" s="597"/>
      <c r="J208" s="600"/>
      <c r="K208" s="602"/>
      <c r="L208" s="602"/>
      <c r="M208" s="602"/>
      <c r="N208" s="604"/>
      <c r="O208" s="500"/>
      <c r="P208" s="480" t="str">
        <f>CONCATENATE("(PF ",U207,")")</f>
        <v>(PF 5)</v>
      </c>
      <c r="Q208" s="480" t="str">
        <f>CONCATENATE("(PF ",V207,")")</f>
        <v>(PF 5)</v>
      </c>
      <c r="R208" s="480" t="str">
        <f>CONCATENATE("(PF ",W207,")")</f>
        <v>(PF 5)</v>
      </c>
      <c r="S208" s="198" t="str">
        <f>CONCATENATE("(PF ",X207,")")</f>
        <v>(PF 5)</v>
      </c>
      <c r="U208" s="199" t="s">
        <v>161</v>
      </c>
      <c r="V208" s="200" t="s">
        <v>161</v>
      </c>
      <c r="W208" s="200" t="s">
        <v>161</v>
      </c>
      <c r="X208" s="201" t="s">
        <v>161</v>
      </c>
    </row>
    <row r="209" spans="2:24" ht="27" thickTop="1" thickBot="1" x14ac:dyDescent="0.3">
      <c r="B209" s="297">
        <v>12</v>
      </c>
      <c r="C209" s="298" t="s">
        <v>82</v>
      </c>
      <c r="D209" s="298" t="s">
        <v>149</v>
      </c>
      <c r="E209" s="616"/>
      <c r="F209" s="616"/>
      <c r="G209" s="613"/>
      <c r="H209" s="609" t="s">
        <v>82</v>
      </c>
      <c r="I209" s="609" t="s">
        <v>126</v>
      </c>
      <c r="J209" s="208" t="s">
        <v>80</v>
      </c>
      <c r="K209" s="476">
        <f>IFERROR(VLOOKUP($D209,$Z$9:$AD$10,2,FALSE)/IF($D209="Inhalation",IF($J209="Central Tendency",SUMIFS('Inhalation Exposure'!$K$6:$K$65,'Inhalation Exposure'!$B$6:$B$65,$B209,'Inhalation Exposure'!$D$6:$D$65,$C209),SUMIFS('Inhalation Exposure'!$J$6:$J$65,'Inhalation Exposure'!$B$6:$B$65,$B209,'Inhalation Exposure'!$D$6:$D$65,$C209)),IF($J209="Central Tendency",VLOOKUP($B209,'Dermal Exposure'!$A$6:$T$34,17,FALSE),VLOOKUP($B209,'Dermal Exposure'!$A$6:$T$34,11,FALSE))),"--")</f>
        <v>77.616</v>
      </c>
      <c r="L209" s="476">
        <f>IFERROR(VLOOKUP($D209,$Z$9:$AD$10,3,FALSE)/IF($D209="Inhalation",IF($J209="Central Tendency",SUMIFS('Inhalation Exposure'!$M$6:$M$65,'Inhalation Exposure'!$B$6:$B$65,$B209,'Inhalation Exposure'!$D$6:$D$65,$C209),SUMIFS('Inhalation Exposure'!$L$6:$L$65,'Inhalation Exposure'!$B$6:$B$65,$B209,'Inhalation Exposure'!$D$6:$D$65,$C209)),IF($J209="Central Tendency",VLOOKUP($B209,'Dermal Exposure'!$A$6:$T$34,18,FALSE),VLOOKUP($B209,'Dermal Exposure'!$A$6:$T$34,12,FALSE))),"--")</f>
        <v>227.42479338842975</v>
      </c>
      <c r="M209" s="476">
        <f>IFERROR(VLOOKUP($D209,$Z$9:$AD$10,4,FALSE)/IF($D209="Inhalation",IF($J209="Central Tendency",SUMIFS('Inhalation Exposure'!$O$6:$O$65,'Inhalation Exposure'!$B$6:$B$65,$B209,'Inhalation Exposure'!$D$6:$D$65,$C209),SUMIFS('Inhalation Exposure'!$N$6:$N$65,'Inhalation Exposure'!$B$6:$B$65,$B209,'Inhalation Exposure'!$D$6:$D$65,$C209)),IF($J209="Central Tendency",VLOOKUP($B209,'Dermal Exposure'!$A$6:$T$34,19,FALSE),VLOOKUP($B209,'Dermal Exposure'!$A$6:$T$34,13,FALSE))),"--")</f>
        <v>243.49614545454548</v>
      </c>
      <c r="N209" s="523">
        <f>IFERROR(VLOOKUP(D209,$Z$9:$AD$10,5,FALSE)*IF($D209="Inhalation",IF($J209="Central Tendency",SUMIFS('Inhalation Exposure'!$Q$6:$Q$65,'Inhalation Exposure'!$B$6:$B$65,$B209,'Inhalation Exposure'!$D$6:$D$65,$C209),SUMIFS('Inhalation Exposure'!$P$6:$P$65,'Inhalation Exposure'!$B$6:$B$65,$B209,'Inhalation Exposure'!$D$6:$D$65,$C209)),IF($J209="Central Tendency",VLOOKUP($B209,'Dermal Exposure'!$A$6:$T$34,20,FALSE),VLOOKUP($B209,'Dermal Exposure'!$A$6:$T$34,14,FALSE))),"--")</f>
        <v>2.4613668204666246E-4</v>
      </c>
      <c r="O209" s="500"/>
      <c r="P209" s="482" t="s">
        <v>162</v>
      </c>
      <c r="Q209" s="482" t="s">
        <v>162</v>
      </c>
      <c r="R209" s="482" t="s">
        <v>162</v>
      </c>
      <c r="S209" s="482" t="s">
        <v>162</v>
      </c>
      <c r="U209" s="191" t="s">
        <v>162</v>
      </c>
      <c r="V209" s="192" t="s">
        <v>162</v>
      </c>
      <c r="W209" s="192" t="s">
        <v>162</v>
      </c>
      <c r="X209" s="193" t="s">
        <v>162</v>
      </c>
    </row>
    <row r="210" spans="2:24" ht="15.75" thickBot="1" x14ac:dyDescent="0.3">
      <c r="B210" s="297">
        <v>12</v>
      </c>
      <c r="C210" s="298" t="s">
        <v>82</v>
      </c>
      <c r="D210" s="298" t="s">
        <v>149</v>
      </c>
      <c r="E210" s="617"/>
      <c r="F210" s="617"/>
      <c r="G210" s="614"/>
      <c r="H210" s="610"/>
      <c r="I210" s="610"/>
      <c r="J210" s="482" t="s">
        <v>153</v>
      </c>
      <c r="K210" s="225">
        <f>IFERROR(VLOOKUP($D210,$Z$9:$AD$10,2,FALSE)/IF($D210="Inhalation",IF($J210="Central Tendency",SUMIFS('Inhalation Exposure'!$K$6:$K$65,'Inhalation Exposure'!$B$6:$B$65,$B210,'Inhalation Exposure'!$D$6:$D$65,$C210),SUMIFS('Inhalation Exposure'!$J$6:$J$65,'Inhalation Exposure'!$B$6:$B$65,$B210,'Inhalation Exposure'!$D$6:$D$65,$C210)),IF($J210="Central Tendency",VLOOKUP($B210,'Dermal Exposure'!$A$6:$T$34,17,FALSE),VLOOKUP($B210,'Dermal Exposure'!$A$6:$T$34,11,FALSE))),"--")</f>
        <v>27.364615384615384</v>
      </c>
      <c r="L210" s="225">
        <f>IFERROR(VLOOKUP($D210,$Z$9:$AD$10,3,FALSE)/IF($D210="Inhalation",IF($J210="Central Tendency",SUMIFS('Inhalation Exposure'!$M$6:$M$65,'Inhalation Exposure'!$B$6:$B$65,$B210,'Inhalation Exposure'!$D$6:$D$65,$C210),SUMIFS('Inhalation Exposure'!$L$6:$L$65,'Inhalation Exposure'!$B$6:$B$65,$B210,'Inhalation Exposure'!$D$6:$D$65,$C210)),IF($J210="Central Tendency",VLOOKUP($B210,'Dermal Exposure'!$A$6:$T$34,18,FALSE),VLOOKUP($B210,'Dermal Exposure'!$A$6:$T$34,12,FALSE))),"--")</f>
        <v>80.181818181818187</v>
      </c>
      <c r="M210" s="225">
        <f>IFERROR(VLOOKUP($D210,$Z$9:$AD$10,4,FALSE)/IF($D210="Inhalation",IF($J210="Central Tendency",SUMIFS('Inhalation Exposure'!$O$6:$O$65,'Inhalation Exposure'!$B$6:$B$65,$B210,'Inhalation Exposure'!$D$6:$D$65,$C210),SUMIFS('Inhalation Exposure'!$N$6:$N$65,'Inhalation Exposure'!$B$6:$B$65,$B210,'Inhalation Exposure'!$D$6:$D$65,$C210)),IF($J210="Central Tendency",VLOOKUP($B210,'Dermal Exposure'!$A$6:$T$34,19,FALSE),VLOOKUP($B210,'Dermal Exposure'!$A$6:$T$34,13,FALSE))),"--")</f>
        <v>85.847999999999999</v>
      </c>
      <c r="N210" s="524">
        <f>IFERROR(VLOOKUP(D210,$Z$9:$AD$10,5,FALSE)*IF($D210="Inhalation",IF($J210="Central Tendency",SUMIFS('Inhalation Exposure'!$Q$6:$Q$65,'Inhalation Exposure'!$B$6:$B$65,$B210,'Inhalation Exposure'!$D$6:$D$65,$C210),SUMIFS('Inhalation Exposure'!$P$6:$P$65,'Inhalation Exposure'!$B$6:$B$65,$B210,'Inhalation Exposure'!$D$6:$D$65,$C210)),IF($J210="Central Tendency",VLOOKUP($B210,'Dermal Exposure'!$A$6:$T$34,20,FALSE),VLOOKUP($B210,'Dermal Exposure'!$A$6:$T$34,14,FALSE))),"--")</f>
        <v>9.0081694778367969E-4</v>
      </c>
      <c r="O210" s="499"/>
      <c r="P210" s="271" t="s">
        <v>162</v>
      </c>
      <c r="Q210" s="204" t="s">
        <v>162</v>
      </c>
      <c r="R210" s="204" t="s">
        <v>162</v>
      </c>
      <c r="S210" s="204" t="s">
        <v>162</v>
      </c>
      <c r="U210" s="205" t="s">
        <v>162</v>
      </c>
      <c r="V210" s="206" t="s">
        <v>162</v>
      </c>
      <c r="W210" s="206" t="s">
        <v>162</v>
      </c>
      <c r="X210" s="207" t="s">
        <v>162</v>
      </c>
    </row>
    <row r="211" spans="2:24" x14ac:dyDescent="0.25">
      <c r="B211" s="209"/>
      <c r="C211" s="209"/>
      <c r="D211" s="209"/>
      <c r="E211" s="210"/>
      <c r="U211" s="11"/>
      <c r="V211" s="11"/>
      <c r="W211" s="11"/>
      <c r="X211" s="11"/>
    </row>
    <row r="212" spans="2:24" x14ac:dyDescent="0.25">
      <c r="B212" s="209"/>
      <c r="C212" s="209"/>
      <c r="D212" s="209"/>
      <c r="E212" s="210" t="s">
        <v>213</v>
      </c>
      <c r="U212" s="11"/>
      <c r="V212" s="11"/>
      <c r="W212" s="11"/>
      <c r="X212" s="11"/>
    </row>
    <row r="213" spans="2:24" x14ac:dyDescent="0.25">
      <c r="B213" s="209"/>
      <c r="C213" s="209"/>
      <c r="D213" s="209"/>
      <c r="E213" s="210" t="s">
        <v>214</v>
      </c>
      <c r="U213" s="11"/>
      <c r="V213" s="11"/>
      <c r="W213" s="11"/>
      <c r="X213" s="11"/>
    </row>
    <row r="214" spans="2:24" x14ac:dyDescent="0.25">
      <c r="B214" s="209"/>
      <c r="C214" s="209"/>
      <c r="D214" s="209"/>
      <c r="E214" s="211" t="s">
        <v>215</v>
      </c>
      <c r="U214" s="11"/>
      <c r="V214" s="11"/>
      <c r="W214" s="11"/>
      <c r="X214" s="11"/>
    </row>
    <row r="215" spans="2:24" x14ac:dyDescent="0.25">
      <c r="B215" s="209"/>
      <c r="C215" s="209"/>
      <c r="D215" s="209"/>
      <c r="E215" s="211" t="s">
        <v>216</v>
      </c>
    </row>
    <row r="216" spans="2:24" x14ac:dyDescent="0.25">
      <c r="B216" s="209"/>
      <c r="C216" s="209"/>
      <c r="D216" s="209"/>
      <c r="E216" s="273" t="s">
        <v>217</v>
      </c>
    </row>
    <row r="217" spans="2:24" x14ac:dyDescent="0.25">
      <c r="B217" s="209"/>
      <c r="C217" s="209"/>
      <c r="D217" s="209"/>
      <c r="E217" s="210" t="s">
        <v>218</v>
      </c>
    </row>
    <row r="218" spans="2:24" x14ac:dyDescent="0.25">
      <c r="B218" s="209"/>
      <c r="C218" s="209"/>
      <c r="D218" s="209"/>
      <c r="E218" s="210" t="s">
        <v>219</v>
      </c>
    </row>
    <row r="219" spans="2:24" x14ac:dyDescent="0.25">
      <c r="B219" s="209"/>
      <c r="C219" s="209"/>
      <c r="D219" s="209"/>
      <c r="E219" s="210" t="s">
        <v>220</v>
      </c>
    </row>
    <row r="220" spans="2:24" x14ac:dyDescent="0.25">
      <c r="B220" s="209"/>
      <c r="C220" s="209"/>
      <c r="D220" s="209"/>
      <c r="E220" s="212"/>
    </row>
    <row r="221" spans="2:24" x14ac:dyDescent="0.25">
      <c r="B221" s="209"/>
      <c r="C221" s="209"/>
      <c r="D221" s="209"/>
      <c r="E221" s="213"/>
    </row>
    <row r="222" spans="2:24" x14ac:dyDescent="0.25">
      <c r="B222" s="209"/>
      <c r="C222" s="209"/>
      <c r="D222" s="209"/>
      <c r="E222" s="212"/>
    </row>
    <row r="223" spans="2:24" x14ac:dyDescent="0.25">
      <c r="B223" s="209"/>
      <c r="C223" s="209"/>
      <c r="D223" s="209"/>
      <c r="E223" s="212"/>
    </row>
    <row r="224" spans="2:24" x14ac:dyDescent="0.25">
      <c r="B224" s="209"/>
      <c r="C224" s="209"/>
      <c r="D224" s="209"/>
      <c r="E224" s="212"/>
    </row>
    <row r="225" spans="2:5" x14ac:dyDescent="0.25">
      <c r="B225" s="209"/>
      <c r="C225" s="209"/>
      <c r="D225" s="209"/>
      <c r="E225" s="212"/>
    </row>
    <row r="226" spans="2:5" x14ac:dyDescent="0.25">
      <c r="B226" s="209"/>
      <c r="C226" s="209"/>
      <c r="D226" s="209"/>
      <c r="E226" s="212"/>
    </row>
    <row r="227" spans="2:5" x14ac:dyDescent="0.25">
      <c r="B227" s="209"/>
      <c r="C227" s="209"/>
      <c r="D227" s="209"/>
      <c r="E227" s="212"/>
    </row>
    <row r="228" spans="2:5" x14ac:dyDescent="0.25">
      <c r="E228" s="213"/>
    </row>
    <row r="229" spans="2:5" x14ac:dyDescent="0.25">
      <c r="E229" s="213"/>
    </row>
    <row r="230" spans="2:5" x14ac:dyDescent="0.25">
      <c r="E230" s="212"/>
    </row>
  </sheetData>
  <sheetProtection sheet="1" objects="1" scenarios="1" formatCells="0" formatColumns="0" formatRows="0"/>
  <mergeCells count="632">
    <mergeCell ref="G73:G74"/>
    <mergeCell ref="H73:H74"/>
    <mergeCell ref="I73:I74"/>
    <mergeCell ref="G69:G72"/>
    <mergeCell ref="I69:I72"/>
    <mergeCell ref="J69:J70"/>
    <mergeCell ref="K69:K70"/>
    <mergeCell ref="L69:L70"/>
    <mergeCell ref="M69:M70"/>
    <mergeCell ref="N69:N70"/>
    <mergeCell ref="O69:O70"/>
    <mergeCell ref="J71:J72"/>
    <mergeCell ref="K71:K72"/>
    <mergeCell ref="L71:L72"/>
    <mergeCell ref="M71:M72"/>
    <mergeCell ref="N71:N72"/>
    <mergeCell ref="O71:O72"/>
    <mergeCell ref="G65:G68"/>
    <mergeCell ref="I65:I68"/>
    <mergeCell ref="J65:J66"/>
    <mergeCell ref="K65:K66"/>
    <mergeCell ref="L65:L66"/>
    <mergeCell ref="M65:M66"/>
    <mergeCell ref="N65:N66"/>
    <mergeCell ref="O65:O66"/>
    <mergeCell ref="J67:J68"/>
    <mergeCell ref="K67:K68"/>
    <mergeCell ref="L67:L68"/>
    <mergeCell ref="M67:M68"/>
    <mergeCell ref="N67:N68"/>
    <mergeCell ref="O67:O68"/>
    <mergeCell ref="L59:L60"/>
    <mergeCell ref="M59:M60"/>
    <mergeCell ref="N59:N60"/>
    <mergeCell ref="O59:O60"/>
    <mergeCell ref="G61:G64"/>
    <mergeCell ref="I61:I64"/>
    <mergeCell ref="J61:J62"/>
    <mergeCell ref="K61:K62"/>
    <mergeCell ref="L61:L62"/>
    <mergeCell ref="M61:M62"/>
    <mergeCell ref="N61:N62"/>
    <mergeCell ref="O61:O62"/>
    <mergeCell ref="J63:J64"/>
    <mergeCell ref="K63:K64"/>
    <mergeCell ref="L63:L64"/>
    <mergeCell ref="M63:M64"/>
    <mergeCell ref="N63:N64"/>
    <mergeCell ref="O63:O64"/>
    <mergeCell ref="G53:G56"/>
    <mergeCell ref="H53:H72"/>
    <mergeCell ref="I53:I56"/>
    <mergeCell ref="J53:J54"/>
    <mergeCell ref="K53:K54"/>
    <mergeCell ref="L53:L54"/>
    <mergeCell ref="M53:M54"/>
    <mergeCell ref="N53:N54"/>
    <mergeCell ref="O53:O54"/>
    <mergeCell ref="J55:J56"/>
    <mergeCell ref="K55:K56"/>
    <mergeCell ref="L55:L56"/>
    <mergeCell ref="M55:M56"/>
    <mergeCell ref="N55:N56"/>
    <mergeCell ref="O55:O56"/>
    <mergeCell ref="G57:G60"/>
    <mergeCell ref="I57:I60"/>
    <mergeCell ref="J57:J58"/>
    <mergeCell ref="K57:K58"/>
    <mergeCell ref="L57:L58"/>
    <mergeCell ref="M57:M58"/>
    <mergeCell ref="N57:N58"/>
    <mergeCell ref="O57:O58"/>
    <mergeCell ref="J59:J60"/>
    <mergeCell ref="H191:H198"/>
    <mergeCell ref="H173:H188"/>
    <mergeCell ref="H163:H170"/>
    <mergeCell ref="H153:H160"/>
    <mergeCell ref="H143:H150"/>
    <mergeCell ref="H133:H140"/>
    <mergeCell ref="H123:H130"/>
    <mergeCell ref="H85:H92"/>
    <mergeCell ref="H75:H82"/>
    <mergeCell ref="H161:H162"/>
    <mergeCell ref="H141:H142"/>
    <mergeCell ref="M39:M40"/>
    <mergeCell ref="I47:I50"/>
    <mergeCell ref="H31:H50"/>
    <mergeCell ref="H95:H118"/>
    <mergeCell ref="G115:G118"/>
    <mergeCell ref="I115:I118"/>
    <mergeCell ref="N31:N32"/>
    <mergeCell ref="L31:L32"/>
    <mergeCell ref="M31:M32"/>
    <mergeCell ref="M43:M44"/>
    <mergeCell ref="M35:M36"/>
    <mergeCell ref="M37:M38"/>
    <mergeCell ref="G75:G84"/>
    <mergeCell ref="L75:L76"/>
    <mergeCell ref="K79:K80"/>
    <mergeCell ref="M79:M80"/>
    <mergeCell ref="M81:M82"/>
    <mergeCell ref="K75:K76"/>
    <mergeCell ref="M75:M76"/>
    <mergeCell ref="N79:N80"/>
    <mergeCell ref="N81:N82"/>
    <mergeCell ref="J77:J78"/>
    <mergeCell ref="I75:I78"/>
    <mergeCell ref="H83:H84"/>
    <mergeCell ref="M205:M206"/>
    <mergeCell ref="N205:N206"/>
    <mergeCell ref="J207:J208"/>
    <mergeCell ref="K207:K208"/>
    <mergeCell ref="M207:M208"/>
    <mergeCell ref="N207:N208"/>
    <mergeCell ref="J201:J202"/>
    <mergeCell ref="K201:K202"/>
    <mergeCell ref="M201:M202"/>
    <mergeCell ref="N201:N202"/>
    <mergeCell ref="J203:J204"/>
    <mergeCell ref="K203:K204"/>
    <mergeCell ref="M203:M204"/>
    <mergeCell ref="N203:N204"/>
    <mergeCell ref="L201:L202"/>
    <mergeCell ref="L203:L204"/>
    <mergeCell ref="L205:L206"/>
    <mergeCell ref="L207:L208"/>
    <mergeCell ref="E201:E210"/>
    <mergeCell ref="F201:F210"/>
    <mergeCell ref="G201:G210"/>
    <mergeCell ref="I201:I204"/>
    <mergeCell ref="I205:I208"/>
    <mergeCell ref="J205:J206"/>
    <mergeCell ref="K205:K206"/>
    <mergeCell ref="H209:H210"/>
    <mergeCell ref="I209:I210"/>
    <mergeCell ref="H201:H208"/>
    <mergeCell ref="J195:J196"/>
    <mergeCell ref="K195:K196"/>
    <mergeCell ref="M195:M196"/>
    <mergeCell ref="N195:N196"/>
    <mergeCell ref="J197:J198"/>
    <mergeCell ref="K197:K198"/>
    <mergeCell ref="M197:M198"/>
    <mergeCell ref="N197:N198"/>
    <mergeCell ref="J191:J192"/>
    <mergeCell ref="K191:K192"/>
    <mergeCell ref="M191:M192"/>
    <mergeCell ref="N191:N192"/>
    <mergeCell ref="L191:L192"/>
    <mergeCell ref="L193:L194"/>
    <mergeCell ref="L195:L196"/>
    <mergeCell ref="L197:L198"/>
    <mergeCell ref="J193:J194"/>
    <mergeCell ref="K193:K194"/>
    <mergeCell ref="M193:M194"/>
    <mergeCell ref="E143:E152"/>
    <mergeCell ref="F143:F152"/>
    <mergeCell ref="H151:H152"/>
    <mergeCell ref="I151:I152"/>
    <mergeCell ref="N193:N194"/>
    <mergeCell ref="I191:I194"/>
    <mergeCell ref="F191:F200"/>
    <mergeCell ref="J187:J188"/>
    <mergeCell ref="K187:K188"/>
    <mergeCell ref="M187:M188"/>
    <mergeCell ref="N187:N188"/>
    <mergeCell ref="K173:K174"/>
    <mergeCell ref="M173:M174"/>
    <mergeCell ref="N173:N174"/>
    <mergeCell ref="J175:J176"/>
    <mergeCell ref="K175:K176"/>
    <mergeCell ref="M175:M176"/>
    <mergeCell ref="N175:N176"/>
    <mergeCell ref="J173:J174"/>
    <mergeCell ref="J185:J186"/>
    <mergeCell ref="L173:L174"/>
    <mergeCell ref="L175:L176"/>
    <mergeCell ref="L187:L188"/>
    <mergeCell ref="L177:L178"/>
    <mergeCell ref="F95:F122"/>
    <mergeCell ref="E95:E120"/>
    <mergeCell ref="H119:H120"/>
    <mergeCell ref="I189:I190"/>
    <mergeCell ref="E191:E200"/>
    <mergeCell ref="G191:G200"/>
    <mergeCell ref="E173:E190"/>
    <mergeCell ref="F173:F190"/>
    <mergeCell ref="I173:I176"/>
    <mergeCell ref="I185:I188"/>
    <mergeCell ref="H189:H190"/>
    <mergeCell ref="H199:H200"/>
    <mergeCell ref="I199:I200"/>
    <mergeCell ref="H131:H132"/>
    <mergeCell ref="I131:I132"/>
    <mergeCell ref="I195:I198"/>
    <mergeCell ref="E123:E132"/>
    <mergeCell ref="F123:F132"/>
    <mergeCell ref="G123:G132"/>
    <mergeCell ref="E133:E142"/>
    <mergeCell ref="F133:F142"/>
    <mergeCell ref="I95:I98"/>
    <mergeCell ref="G133:G142"/>
    <mergeCell ref="I133:I136"/>
    <mergeCell ref="M177:M178"/>
    <mergeCell ref="N177:N178"/>
    <mergeCell ref="J179:J180"/>
    <mergeCell ref="K179:K180"/>
    <mergeCell ref="N75:N76"/>
    <mergeCell ref="L79:L80"/>
    <mergeCell ref="L81:L82"/>
    <mergeCell ref="N77:N78"/>
    <mergeCell ref="K77:K78"/>
    <mergeCell ref="M77:M78"/>
    <mergeCell ref="L77:L78"/>
    <mergeCell ref="N103:N104"/>
    <mergeCell ref="L105:L106"/>
    <mergeCell ref="L127:L128"/>
    <mergeCell ref="M127:M128"/>
    <mergeCell ref="N127:N128"/>
    <mergeCell ref="L129:L130"/>
    <mergeCell ref="M129:M130"/>
    <mergeCell ref="N129:N130"/>
    <mergeCell ref="L133:L134"/>
    <mergeCell ref="M133:M134"/>
    <mergeCell ref="K81:K82"/>
    <mergeCell ref="J133:J134"/>
    <mergeCell ref="J135:J136"/>
    <mergeCell ref="M185:M186"/>
    <mergeCell ref="N185:N186"/>
    <mergeCell ref="M117:M118"/>
    <mergeCell ref="N117:N118"/>
    <mergeCell ref="K95:K96"/>
    <mergeCell ref="M95:M96"/>
    <mergeCell ref="N95:N96"/>
    <mergeCell ref="M97:M98"/>
    <mergeCell ref="L109:L110"/>
    <mergeCell ref="M109:M110"/>
    <mergeCell ref="N109:N110"/>
    <mergeCell ref="L107:L108"/>
    <mergeCell ref="M107:M108"/>
    <mergeCell ref="N107:N108"/>
    <mergeCell ref="L103:L104"/>
    <mergeCell ref="M103:M104"/>
    <mergeCell ref="M145:M146"/>
    <mergeCell ref="M159:M160"/>
    <mergeCell ref="N159:N160"/>
    <mergeCell ref="M167:M168"/>
    <mergeCell ref="L185:L186"/>
    <mergeCell ref="K97:K98"/>
    <mergeCell ref="N135:N136"/>
    <mergeCell ref="K127:K128"/>
    <mergeCell ref="J31:J32"/>
    <mergeCell ref="K31:K32"/>
    <mergeCell ref="J41:J42"/>
    <mergeCell ref="J43:J44"/>
    <mergeCell ref="H93:H94"/>
    <mergeCell ref="I93:I94"/>
    <mergeCell ref="I89:I92"/>
    <mergeCell ref="J89:J90"/>
    <mergeCell ref="J79:J80"/>
    <mergeCell ref="J81:J82"/>
    <mergeCell ref="J39:J40"/>
    <mergeCell ref="K39:K40"/>
    <mergeCell ref="K43:K44"/>
    <mergeCell ref="K59:K60"/>
    <mergeCell ref="M27:M28"/>
    <mergeCell ref="M13:M14"/>
    <mergeCell ref="A1:S1"/>
    <mergeCell ref="K3:S3"/>
    <mergeCell ref="B7:B8"/>
    <mergeCell ref="C7:C8"/>
    <mergeCell ref="D7:D8"/>
    <mergeCell ref="E7:E8"/>
    <mergeCell ref="F7:F8"/>
    <mergeCell ref="G7:G8"/>
    <mergeCell ref="H7:H8"/>
    <mergeCell ref="I7:I8"/>
    <mergeCell ref="J7:J8"/>
    <mergeCell ref="K7:N7"/>
    <mergeCell ref="P7:S7"/>
    <mergeCell ref="K27:K28"/>
    <mergeCell ref="N13:N14"/>
    <mergeCell ref="J15:J16"/>
    <mergeCell ref="K15:K16"/>
    <mergeCell ref="L15:L16"/>
    <mergeCell ref="M15:M16"/>
    <mergeCell ref="N15:N16"/>
    <mergeCell ref="K17:K18"/>
    <mergeCell ref="L17:L18"/>
    <mergeCell ref="L43:L44"/>
    <mergeCell ref="U7:X7"/>
    <mergeCell ref="E9:E30"/>
    <mergeCell ref="F9:F30"/>
    <mergeCell ref="I9:I12"/>
    <mergeCell ref="J9:J10"/>
    <mergeCell ref="K9:K10"/>
    <mergeCell ref="M9:M10"/>
    <mergeCell ref="N9:N10"/>
    <mergeCell ref="J11:J12"/>
    <mergeCell ref="K11:K12"/>
    <mergeCell ref="M11:M12"/>
    <mergeCell ref="N11:N12"/>
    <mergeCell ref="J25:J26"/>
    <mergeCell ref="K25:K26"/>
    <mergeCell ref="M25:M26"/>
    <mergeCell ref="N25:N26"/>
    <mergeCell ref="J27:J28"/>
    <mergeCell ref="N27:N28"/>
    <mergeCell ref="L9:L10"/>
    <mergeCell ref="L11:L12"/>
    <mergeCell ref="L25:L26"/>
    <mergeCell ref="L27:L28"/>
    <mergeCell ref="J17:J18"/>
    <mergeCell ref="L115:L116"/>
    <mergeCell ref="L117:L118"/>
    <mergeCell ref="M105:M106"/>
    <mergeCell ref="N33:N34"/>
    <mergeCell ref="K47:K48"/>
    <mergeCell ref="L47:L48"/>
    <mergeCell ref="M47:M48"/>
    <mergeCell ref="N47:N48"/>
    <mergeCell ref="K49:K50"/>
    <mergeCell ref="L49:L50"/>
    <mergeCell ref="M49:M50"/>
    <mergeCell ref="N49:N50"/>
    <mergeCell ref="N35:N36"/>
    <mergeCell ref="N37:N38"/>
    <mergeCell ref="N39:N40"/>
    <mergeCell ref="K33:K34"/>
    <mergeCell ref="L33:L34"/>
    <mergeCell ref="M33:M34"/>
    <mergeCell ref="L45:L46"/>
    <mergeCell ref="M45:M46"/>
    <mergeCell ref="N45:N46"/>
    <mergeCell ref="K41:K42"/>
    <mergeCell ref="M41:M42"/>
    <mergeCell ref="N41:N42"/>
    <mergeCell ref="J123:J124"/>
    <mergeCell ref="J125:J126"/>
    <mergeCell ref="I127:I130"/>
    <mergeCell ref="J127:J128"/>
    <mergeCell ref="J129:J130"/>
    <mergeCell ref="N43:N44"/>
    <mergeCell ref="L123:L124"/>
    <mergeCell ref="M123:M124"/>
    <mergeCell ref="N123:N124"/>
    <mergeCell ref="K125:K126"/>
    <mergeCell ref="L125:L126"/>
    <mergeCell ref="M125:M126"/>
    <mergeCell ref="N125:N126"/>
    <mergeCell ref="K85:K86"/>
    <mergeCell ref="L85:L86"/>
    <mergeCell ref="M85:M86"/>
    <mergeCell ref="K89:K90"/>
    <mergeCell ref="L89:L90"/>
    <mergeCell ref="M89:M90"/>
    <mergeCell ref="N89:N90"/>
    <mergeCell ref="N85:N86"/>
    <mergeCell ref="N105:N106"/>
    <mergeCell ref="M115:M116"/>
    <mergeCell ref="N115:N116"/>
    <mergeCell ref="N167:N168"/>
    <mergeCell ref="N145:N146"/>
    <mergeCell ref="J153:J154"/>
    <mergeCell ref="M153:M154"/>
    <mergeCell ref="K137:K138"/>
    <mergeCell ref="L137:L138"/>
    <mergeCell ref="M137:M138"/>
    <mergeCell ref="N137:N138"/>
    <mergeCell ref="K139:K140"/>
    <mergeCell ref="L139:L140"/>
    <mergeCell ref="M139:M140"/>
    <mergeCell ref="N139:N140"/>
    <mergeCell ref="N143:N144"/>
    <mergeCell ref="L143:L144"/>
    <mergeCell ref="M143:M144"/>
    <mergeCell ref="L153:L154"/>
    <mergeCell ref="J155:J156"/>
    <mergeCell ref="K155:K156"/>
    <mergeCell ref="L155:L156"/>
    <mergeCell ref="J137:J138"/>
    <mergeCell ref="J139:J140"/>
    <mergeCell ref="L147:L148"/>
    <mergeCell ref="N147:N148"/>
    <mergeCell ref="N149:N150"/>
    <mergeCell ref="M147:M148"/>
    <mergeCell ref="J149:J150"/>
    <mergeCell ref="K149:K150"/>
    <mergeCell ref="L149:L150"/>
    <mergeCell ref="M149:M150"/>
    <mergeCell ref="N133:N134"/>
    <mergeCell ref="K135:K136"/>
    <mergeCell ref="L135:L136"/>
    <mergeCell ref="M135:M136"/>
    <mergeCell ref="I161:I162"/>
    <mergeCell ref="I157:I160"/>
    <mergeCell ref="J157:J158"/>
    <mergeCell ref="K157:K158"/>
    <mergeCell ref="L157:L158"/>
    <mergeCell ref="M157:M158"/>
    <mergeCell ref="E153:E172"/>
    <mergeCell ref="F153:F172"/>
    <mergeCell ref="I163:I166"/>
    <mergeCell ref="J163:J164"/>
    <mergeCell ref="K163:K164"/>
    <mergeCell ref="L163:L164"/>
    <mergeCell ref="J165:J166"/>
    <mergeCell ref="K165:K166"/>
    <mergeCell ref="L165:L166"/>
    <mergeCell ref="I167:I170"/>
    <mergeCell ref="J167:J168"/>
    <mergeCell ref="K167:K168"/>
    <mergeCell ref="L167:L168"/>
    <mergeCell ref="G153:G162"/>
    <mergeCell ref="L169:L170"/>
    <mergeCell ref="I147:I150"/>
    <mergeCell ref="J147:J148"/>
    <mergeCell ref="L39:L40"/>
    <mergeCell ref="J33:J34"/>
    <mergeCell ref="K105:K106"/>
    <mergeCell ref="L111:L112"/>
    <mergeCell ref="J145:J146"/>
    <mergeCell ref="K145:K146"/>
    <mergeCell ref="L145:L146"/>
    <mergeCell ref="K123:K124"/>
    <mergeCell ref="K129:K130"/>
    <mergeCell ref="J75:J76"/>
    <mergeCell ref="L35:L36"/>
    <mergeCell ref="J37:J38"/>
    <mergeCell ref="K37:K38"/>
    <mergeCell ref="L37:L38"/>
    <mergeCell ref="L95:L96"/>
    <mergeCell ref="K115:K116"/>
    <mergeCell ref="L41:L42"/>
    <mergeCell ref="K87:K88"/>
    <mergeCell ref="L87:L88"/>
    <mergeCell ref="L99:L100"/>
    <mergeCell ref="I141:I142"/>
    <mergeCell ref="I123:I126"/>
    <mergeCell ref="M17:M18"/>
    <mergeCell ref="N17:N18"/>
    <mergeCell ref="J13:J14"/>
    <mergeCell ref="K13:K14"/>
    <mergeCell ref="L13:L14"/>
    <mergeCell ref="M19:M20"/>
    <mergeCell ref="N19:N20"/>
    <mergeCell ref="J19:J20"/>
    <mergeCell ref="K19:K20"/>
    <mergeCell ref="L19:L20"/>
    <mergeCell ref="J21:J22"/>
    <mergeCell ref="K21:K22"/>
    <mergeCell ref="L21:L22"/>
    <mergeCell ref="M21:M22"/>
    <mergeCell ref="N21:N22"/>
    <mergeCell ref="J23:J24"/>
    <mergeCell ref="K23:K24"/>
    <mergeCell ref="L23:L24"/>
    <mergeCell ref="M23:M24"/>
    <mergeCell ref="N23:N24"/>
    <mergeCell ref="G9:G12"/>
    <mergeCell ref="G13:G16"/>
    <mergeCell ref="G17:G20"/>
    <mergeCell ref="G21:G24"/>
    <mergeCell ref="G25:G28"/>
    <mergeCell ref="G29:G30"/>
    <mergeCell ref="G31:G34"/>
    <mergeCell ref="I21:I24"/>
    <mergeCell ref="I17:I20"/>
    <mergeCell ref="I13:I16"/>
    <mergeCell ref="H9:H28"/>
    <mergeCell ref="I25:I28"/>
    <mergeCell ref="H29:H30"/>
    <mergeCell ref="I29:I30"/>
    <mergeCell ref="I31:I34"/>
    <mergeCell ref="E75:E94"/>
    <mergeCell ref="F75:F94"/>
    <mergeCell ref="G51:G52"/>
    <mergeCell ref="G35:G38"/>
    <mergeCell ref="G39:G42"/>
    <mergeCell ref="G43:G46"/>
    <mergeCell ref="J35:J36"/>
    <mergeCell ref="K35:K36"/>
    <mergeCell ref="I35:I38"/>
    <mergeCell ref="I39:I42"/>
    <mergeCell ref="I43:I46"/>
    <mergeCell ref="G47:G50"/>
    <mergeCell ref="J45:J46"/>
    <mergeCell ref="K45:K46"/>
    <mergeCell ref="J47:J48"/>
    <mergeCell ref="J49:J50"/>
    <mergeCell ref="H51:H52"/>
    <mergeCell ref="I51:I52"/>
    <mergeCell ref="G85:G94"/>
    <mergeCell ref="I85:I88"/>
    <mergeCell ref="J85:J86"/>
    <mergeCell ref="I79:I82"/>
    <mergeCell ref="I83:I84"/>
    <mergeCell ref="J87:J88"/>
    <mergeCell ref="M87:M88"/>
    <mergeCell ref="N87:N88"/>
    <mergeCell ref="J95:J96"/>
    <mergeCell ref="L97:L98"/>
    <mergeCell ref="J91:J92"/>
    <mergeCell ref="K91:K92"/>
    <mergeCell ref="L91:L92"/>
    <mergeCell ref="M91:M92"/>
    <mergeCell ref="N91:N92"/>
    <mergeCell ref="M99:M100"/>
    <mergeCell ref="N99:N100"/>
    <mergeCell ref="J101:J102"/>
    <mergeCell ref="K101:K102"/>
    <mergeCell ref="L101:L102"/>
    <mergeCell ref="M101:M102"/>
    <mergeCell ref="N101:N102"/>
    <mergeCell ref="J97:J98"/>
    <mergeCell ref="N97:N98"/>
    <mergeCell ref="M111:M112"/>
    <mergeCell ref="N111:N112"/>
    <mergeCell ref="J113:J114"/>
    <mergeCell ref="K113:K114"/>
    <mergeCell ref="L113:L114"/>
    <mergeCell ref="M113:M114"/>
    <mergeCell ref="N113:N114"/>
    <mergeCell ref="G95:G98"/>
    <mergeCell ref="G99:G102"/>
    <mergeCell ref="G103:G106"/>
    <mergeCell ref="G107:G110"/>
    <mergeCell ref="I107:I110"/>
    <mergeCell ref="J107:J108"/>
    <mergeCell ref="K107:K108"/>
    <mergeCell ref="I99:I102"/>
    <mergeCell ref="J99:J100"/>
    <mergeCell ref="K99:K100"/>
    <mergeCell ref="J109:J110"/>
    <mergeCell ref="K109:K110"/>
    <mergeCell ref="I103:I106"/>
    <mergeCell ref="J103:J104"/>
    <mergeCell ref="K103:K104"/>
    <mergeCell ref="J105:J106"/>
    <mergeCell ref="G111:G114"/>
    <mergeCell ref="L179:L180"/>
    <mergeCell ref="M179:M180"/>
    <mergeCell ref="N179:N180"/>
    <mergeCell ref="G173:G176"/>
    <mergeCell ref="G177:G180"/>
    <mergeCell ref="G185:G188"/>
    <mergeCell ref="G189:G190"/>
    <mergeCell ref="G121:G122"/>
    <mergeCell ref="H121:H122"/>
    <mergeCell ref="I121:I122"/>
    <mergeCell ref="K185:K186"/>
    <mergeCell ref="N153:N154"/>
    <mergeCell ref="M155:M156"/>
    <mergeCell ref="N155:N156"/>
    <mergeCell ref="M169:M170"/>
    <mergeCell ref="N169:N170"/>
    <mergeCell ref="M163:M164"/>
    <mergeCell ref="N163:N164"/>
    <mergeCell ref="M165:M166"/>
    <mergeCell ref="N165:N166"/>
    <mergeCell ref="N157:N158"/>
    <mergeCell ref="J159:J160"/>
    <mergeCell ref="K159:K160"/>
    <mergeCell ref="L159:L160"/>
    <mergeCell ref="I177:I180"/>
    <mergeCell ref="J177:J178"/>
    <mergeCell ref="K177:K178"/>
    <mergeCell ref="I111:I114"/>
    <mergeCell ref="J111:J112"/>
    <mergeCell ref="K111:K112"/>
    <mergeCell ref="G119:G120"/>
    <mergeCell ref="I119:I120"/>
    <mergeCell ref="J115:J116"/>
    <mergeCell ref="J117:J118"/>
    <mergeCell ref="K117:K118"/>
    <mergeCell ref="H171:H172"/>
    <mergeCell ref="I171:I172"/>
    <mergeCell ref="K133:K134"/>
    <mergeCell ref="G143:G152"/>
    <mergeCell ref="I143:I146"/>
    <mergeCell ref="J143:J144"/>
    <mergeCell ref="K143:K144"/>
    <mergeCell ref="J169:J170"/>
    <mergeCell ref="K169:K170"/>
    <mergeCell ref="I153:I156"/>
    <mergeCell ref="K153:K154"/>
    <mergeCell ref="K147:K148"/>
    <mergeCell ref="I137:I140"/>
    <mergeCell ref="O9:O10"/>
    <mergeCell ref="O11:O12"/>
    <mergeCell ref="O13:O14"/>
    <mergeCell ref="O15:O16"/>
    <mergeCell ref="O17:O18"/>
    <mergeCell ref="O19:O20"/>
    <mergeCell ref="O21:O22"/>
    <mergeCell ref="O23:O24"/>
    <mergeCell ref="O25:O26"/>
    <mergeCell ref="O41:O42"/>
    <mergeCell ref="O43:O44"/>
    <mergeCell ref="O45:O46"/>
    <mergeCell ref="O47:O48"/>
    <mergeCell ref="O49:O50"/>
    <mergeCell ref="O95:O96"/>
    <mergeCell ref="O27:O28"/>
    <mergeCell ref="O31:O32"/>
    <mergeCell ref="O33:O34"/>
    <mergeCell ref="O35:O36"/>
    <mergeCell ref="O37:O38"/>
    <mergeCell ref="O39:O40"/>
    <mergeCell ref="O115:O116"/>
    <mergeCell ref="O117:O118"/>
    <mergeCell ref="O97:O98"/>
    <mergeCell ref="O99:O100"/>
    <mergeCell ref="O101:O102"/>
    <mergeCell ref="O103:O104"/>
    <mergeCell ref="O105:O106"/>
    <mergeCell ref="O107:O108"/>
    <mergeCell ref="O109:O110"/>
    <mergeCell ref="O111:O112"/>
    <mergeCell ref="O113:O114"/>
    <mergeCell ref="G181:G184"/>
    <mergeCell ref="I181:I184"/>
    <mergeCell ref="J181:J182"/>
    <mergeCell ref="J183:J184"/>
    <mergeCell ref="K183:K184"/>
    <mergeCell ref="K181:K182"/>
    <mergeCell ref="N181:N182"/>
    <mergeCell ref="N183:N184"/>
    <mergeCell ref="M183:M184"/>
    <mergeCell ref="L183:L184"/>
    <mergeCell ref="M181:M182"/>
    <mergeCell ref="L181:L182"/>
  </mergeCells>
  <conditionalFormatting sqref="K9:K210">
    <cfRule type="expression" dxfId="141" priority="819">
      <formula>K9&lt;$K$4</formula>
    </cfRule>
  </conditionalFormatting>
  <conditionalFormatting sqref="K79:K84">
    <cfRule type="expression" dxfId="140" priority="74">
      <formula>K79&lt;$K$5</formula>
    </cfRule>
  </conditionalFormatting>
  <conditionalFormatting sqref="K89:K94">
    <cfRule type="expression" dxfId="139" priority="65">
      <formula>K89&lt;$K$5</formula>
    </cfRule>
  </conditionalFormatting>
  <conditionalFormatting sqref="K119:K122">
    <cfRule type="expression" dxfId="138" priority="59">
      <formula>K119&lt;$K$5</formula>
    </cfRule>
  </conditionalFormatting>
  <conditionalFormatting sqref="K127:K132">
    <cfRule type="expression" dxfId="137" priority="53">
      <formula>K127&lt;$K$5</formula>
    </cfRule>
  </conditionalFormatting>
  <conditionalFormatting sqref="K137:K140">
    <cfRule type="expression" dxfId="136" priority="14">
      <formula>K137&lt;$K$5</formula>
    </cfRule>
  </conditionalFormatting>
  <conditionalFormatting sqref="K147:K152">
    <cfRule type="expression" dxfId="135" priority="11">
      <formula>K147&lt;$K$5</formula>
    </cfRule>
  </conditionalFormatting>
  <conditionalFormatting sqref="K157:K162">
    <cfRule type="expression" dxfId="134" priority="8">
      <formula>K157&lt;$K$5</formula>
    </cfRule>
  </conditionalFormatting>
  <conditionalFormatting sqref="K167:K172">
    <cfRule type="expression" dxfId="133" priority="2">
      <formula>K167&lt;$K$5</formula>
    </cfRule>
  </conditionalFormatting>
  <conditionalFormatting sqref="K185:K190">
    <cfRule type="expression" dxfId="132" priority="29">
      <formula>K185&lt;$K$5</formula>
    </cfRule>
  </conditionalFormatting>
  <conditionalFormatting sqref="K195:K200">
    <cfRule type="expression" dxfId="131" priority="23">
      <formula>K195&lt;$K$5</formula>
    </cfRule>
  </conditionalFormatting>
  <conditionalFormatting sqref="K205:K210">
    <cfRule type="expression" dxfId="130" priority="17">
      <formula>K205&lt;$K$5</formula>
    </cfRule>
  </conditionalFormatting>
  <conditionalFormatting sqref="K9:S74 O75:S75 K75:N94 P76:S122 K95:O122 K123:S210">
    <cfRule type="cellIs" dxfId="129" priority="269" operator="lessThan">
      <formula>0.1</formula>
    </cfRule>
    <cfRule type="cellIs" dxfId="128" priority="268" operator="between">
      <formula>0.1</formula>
      <formula>0.999</formula>
    </cfRule>
    <cfRule type="cellIs" dxfId="127" priority="267" operator="between">
      <formula>1</formula>
      <formula>10</formula>
    </cfRule>
    <cfRule type="cellIs" dxfId="126" priority="266" operator="greaterThanOrEqual">
      <formula>10</formula>
    </cfRule>
    <cfRule type="cellIs" dxfId="125" priority="66" operator="greaterThanOrEqual">
      <formula>10000</formula>
    </cfRule>
  </conditionalFormatting>
  <conditionalFormatting sqref="L9:L210">
    <cfRule type="expression" dxfId="124" priority="721">
      <formula>L9&lt;$L$4</formula>
    </cfRule>
  </conditionalFormatting>
  <conditionalFormatting sqref="L79:L84">
    <cfRule type="expression" dxfId="123" priority="76">
      <formula>L79&lt;$L$5</formula>
    </cfRule>
  </conditionalFormatting>
  <conditionalFormatting sqref="L89:L94">
    <cfRule type="expression" dxfId="122" priority="67">
      <formula>L89&lt;$L$5</formula>
    </cfRule>
  </conditionalFormatting>
  <conditionalFormatting sqref="L119:L122">
    <cfRule type="expression" dxfId="121" priority="61">
      <formula>L119&lt;$L$5</formula>
    </cfRule>
  </conditionalFormatting>
  <conditionalFormatting sqref="L127:L132">
    <cfRule type="expression" dxfId="120" priority="55">
      <formula>L127&lt;$L$5</formula>
    </cfRule>
  </conditionalFormatting>
  <conditionalFormatting sqref="L137:L140">
    <cfRule type="expression" dxfId="119" priority="16">
      <formula>L137&lt;$L$5</formula>
    </cfRule>
  </conditionalFormatting>
  <conditionalFormatting sqref="L147:L152">
    <cfRule type="expression" dxfId="118" priority="13">
      <formula>L147&lt;$L$5</formula>
    </cfRule>
  </conditionalFormatting>
  <conditionalFormatting sqref="L157:L162">
    <cfRule type="expression" dxfId="117" priority="10">
      <formula>L157&lt;$L$5</formula>
    </cfRule>
  </conditionalFormatting>
  <conditionalFormatting sqref="L167:L172">
    <cfRule type="expression" dxfId="116" priority="4">
      <formula>L167&lt;$L$5</formula>
    </cfRule>
  </conditionalFormatting>
  <conditionalFormatting sqref="L185:L190">
    <cfRule type="expression" dxfId="115" priority="31">
      <formula>L185&lt;$L$5</formula>
    </cfRule>
  </conditionalFormatting>
  <conditionalFormatting sqref="L195:L200">
    <cfRule type="expression" dxfId="114" priority="25">
      <formula>L195&lt;$L$5</formula>
    </cfRule>
  </conditionalFormatting>
  <conditionalFormatting sqref="L205:L210">
    <cfRule type="expression" dxfId="113" priority="19">
      <formula>L205&lt;$L$5</formula>
    </cfRule>
  </conditionalFormatting>
  <conditionalFormatting sqref="M9:M24 M29:M46 M51:M68 M73:M78 M83:M88 M93:M114 M119:M126 M131:M136 M141:M146 M151:M156 M161:M166 M171:M184 M189:M194 M199:M204 M209:M210">
    <cfRule type="expression" dxfId="112" priority="270">
      <formula>M9&lt;$M$4</formula>
    </cfRule>
  </conditionalFormatting>
  <conditionalFormatting sqref="M25:M28 M47:M50 M79:M82 M89:M92 M115:M118 M205:M208">
    <cfRule type="expression" dxfId="111" priority="60">
      <formula>M25&lt;$M$5</formula>
    </cfRule>
  </conditionalFormatting>
  <conditionalFormatting sqref="M69:M72">
    <cfRule type="expression" dxfId="110" priority="1">
      <formula>M69&lt;$M$5</formula>
    </cfRule>
  </conditionalFormatting>
  <conditionalFormatting sqref="M127:M132">
    <cfRule type="expression" dxfId="109" priority="54">
      <formula>M127&lt;$M$5</formula>
    </cfRule>
  </conditionalFormatting>
  <conditionalFormatting sqref="M137:M140">
    <cfRule type="expression" dxfId="108" priority="15">
      <formula>M137&lt;$M$5</formula>
    </cfRule>
  </conditionalFormatting>
  <conditionalFormatting sqref="M147:M152">
    <cfRule type="expression" dxfId="107" priority="12">
      <formula>M147&lt;$M$5</formula>
    </cfRule>
  </conditionalFormatting>
  <conditionalFormatting sqref="M157:M162">
    <cfRule type="expression" dxfId="106" priority="9">
      <formula>M157&lt;$M$5</formula>
    </cfRule>
  </conditionalFormatting>
  <conditionalFormatting sqref="M167:M172">
    <cfRule type="expression" dxfId="105" priority="3">
      <formula>M167&lt;$M$5</formula>
    </cfRule>
  </conditionalFormatting>
  <conditionalFormatting sqref="M185:M190">
    <cfRule type="expression" dxfId="104" priority="30">
      <formula>M185&lt;$M$5</formula>
    </cfRule>
  </conditionalFormatting>
  <conditionalFormatting sqref="M195:M200">
    <cfRule type="expression" dxfId="103" priority="24">
      <formula>M195&lt;$M$5</formula>
    </cfRule>
  </conditionalFormatting>
  <conditionalFormatting sqref="N9:O74 O75 N75:N94 N95:O210">
    <cfRule type="expression" dxfId="102" priority="821">
      <formula>N9&gt;$N$5</formula>
    </cfRule>
  </conditionalFormatting>
  <conditionalFormatting sqref="P9:R9 P11:R11 P25:R25 P27:R27 P75:R75 P77:R77 P79:R79 P81:R81 P95:R95 P97:R97 P115:R115 P117:R117 P173:R173 P175:R175 P185:R185 P187:R187 P191:R191 P193:R193 P195:R195 P197:R197 P201:R201 P203:R203 P205:R205 P207:R207">
    <cfRule type="expression" dxfId="101" priority="822">
      <formula>P9&lt;$P$5</formula>
    </cfRule>
  </conditionalFormatting>
  <conditionalFormatting sqref="Q9:R9 Q11:R11 Q25:R25 Q27:R27 Q75:R75 Q77:R77 Q79:R79 Q81:R81 Q95:R95 Q97:R97 Q115:R115 Q117:R117 Q173:R173 Q175:R175 Q185:R185 Q187:R187 Q191:R191 Q193:R193 Q195:R195 Q197:R197 Q201:R201 Q203:R203 Q205:R205 Q207:R207">
    <cfRule type="expression" dxfId="100" priority="823">
      <formula>Q9&lt;$R$5</formula>
    </cfRule>
  </conditionalFormatting>
  <conditionalFormatting sqref="S9 S11 S25 S27 S75 S77 S79 S81 S95 S97 S115 S117 S173 S175 S185 S187 S191 S193 S195 S197 S201 S203 S205 S207">
    <cfRule type="expression" dxfId="99" priority="824">
      <formula>S9&gt;$S$5</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F53F590B-A07D-4623-BF0D-F103D0FBB70E}">
          <x14:formula1>
            <xm:f>'List Values'!$E$16:$E$18</xm:f>
          </x14:formula1>
          <xm:sqref>U203:X203 U9:X9 U11:X11 U95:X95 U97:X97 U75:X75 U77:X77 U173:X173 U175:X175 U191:X191 U193:X193 U201:X201</xm:sqref>
        </x14:dataValidation>
        <x14:dataValidation type="list" allowBlank="1" showInputMessage="1" showErrorMessage="1" xr:uid="{33A76FC7-DD05-46C6-BA35-45A3ED0A97E7}">
          <x14:formula1>
            <xm:f>'List Values'!$H$2:$H$4</xm:f>
          </x14:formula1>
          <xm:sqref>U207:X207 U205:X205 U197:X197 U195:X195 U187:X187 U185:X185 U81:X81 U79:X79 U117:X117 U115:X115 U27:X27 U25:X25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AD8A6-1677-465E-88B2-1343E7284108}">
  <sheetPr>
    <tabColor rgb="FF92D050"/>
  </sheetPr>
  <dimension ref="A1:AB69"/>
  <sheetViews>
    <sheetView zoomScaleNormal="100" workbookViewId="0">
      <selection activeCell="B1" sqref="B1"/>
    </sheetView>
  </sheetViews>
  <sheetFormatPr defaultColWidth="8.85546875" defaultRowHeight="12.75" x14ac:dyDescent="0.25"/>
  <cols>
    <col min="1" max="1" width="2.28515625" style="82" customWidth="1"/>
    <col min="2" max="2" width="4.85546875" style="83" bestFit="1" customWidth="1"/>
    <col min="3" max="3" width="11.7109375" style="63" customWidth="1"/>
    <col min="4" max="4" width="14.28515625" style="84" customWidth="1"/>
    <col min="5" max="5" width="22.140625" style="63" customWidth="1"/>
    <col min="6" max="6" width="18.5703125" style="63" customWidth="1"/>
    <col min="7" max="7" width="2.7109375" style="82" customWidth="1"/>
    <col min="8" max="8" width="21.7109375" style="82" customWidth="1"/>
    <col min="9" max="9" width="17.42578125" style="82" customWidth="1"/>
    <col min="10" max="10" width="16.7109375" style="82" customWidth="1"/>
    <col min="11" max="13" width="14" style="82" customWidth="1"/>
    <col min="14" max="14" width="16.140625" style="82" customWidth="1"/>
    <col min="15" max="16" width="14" style="82" customWidth="1"/>
    <col min="17" max="17" width="7.42578125" style="82" customWidth="1"/>
    <col min="18" max="18" width="6.85546875" style="82" customWidth="1"/>
    <col min="19" max="19" width="18" style="82" bestFit="1" customWidth="1"/>
    <col min="20" max="20" width="16.85546875" style="82" customWidth="1"/>
    <col min="21" max="26" width="14.85546875" style="82" customWidth="1"/>
    <col min="27" max="27" width="10.85546875" style="82" customWidth="1"/>
    <col min="28" max="16384" width="8.85546875" style="82"/>
  </cols>
  <sheetData>
    <row r="1" spans="1:26" ht="13.5" thickBot="1" x14ac:dyDescent="0.3"/>
    <row r="2" spans="1:26" s="22" customFormat="1" ht="26.25" customHeight="1" thickBot="1" x14ac:dyDescent="0.3">
      <c r="B2" s="488"/>
      <c r="C2" s="60"/>
      <c r="D2" s="60"/>
      <c r="E2" s="60"/>
      <c r="F2" s="60"/>
      <c r="H2" s="85" t="s">
        <v>58</v>
      </c>
      <c r="I2" s="124" t="s">
        <v>221</v>
      </c>
      <c r="J2" s="125"/>
      <c r="L2" s="86"/>
      <c r="S2" s="150" t="s">
        <v>59</v>
      </c>
    </row>
    <row r="3" spans="1:26" s="22" customFormat="1" ht="39" customHeight="1" x14ac:dyDescent="0.25">
      <c r="B3" s="488"/>
      <c r="C3" s="60"/>
      <c r="D3" s="60"/>
      <c r="E3" s="60"/>
      <c r="F3" s="60"/>
      <c r="H3" s="87" t="s">
        <v>60</v>
      </c>
      <c r="I3" s="712" t="s">
        <v>222</v>
      </c>
      <c r="J3" s="713"/>
      <c r="S3" s="151" t="s">
        <v>61</v>
      </c>
    </row>
    <row r="4" spans="1:26" s="22" customFormat="1" ht="51" x14ac:dyDescent="0.25">
      <c r="B4" s="488"/>
      <c r="C4" s="60"/>
      <c r="D4" s="60"/>
      <c r="E4" s="60"/>
      <c r="F4" s="60"/>
      <c r="H4" s="467" t="s">
        <v>436</v>
      </c>
      <c r="I4" s="714" t="s">
        <v>79</v>
      </c>
      <c r="J4" s="564"/>
      <c r="S4" s="152" t="s">
        <v>63</v>
      </c>
    </row>
    <row r="5" spans="1:26" s="22" customFormat="1" ht="23.25" customHeight="1" x14ac:dyDescent="0.25">
      <c r="A5" s="88"/>
      <c r="B5" s="488"/>
      <c r="C5" s="60"/>
      <c r="D5" s="60"/>
      <c r="E5" s="60"/>
      <c r="F5" s="60"/>
      <c r="J5" s="60"/>
      <c r="K5" s="60"/>
      <c r="L5" s="332"/>
      <c r="M5" s="332"/>
      <c r="S5" s="63"/>
      <c r="T5" s="60"/>
      <c r="U5" s="89"/>
    </row>
    <row r="6" spans="1:26" s="22" customFormat="1" x14ac:dyDescent="0.25">
      <c r="B6" s="488"/>
      <c r="C6" s="60"/>
      <c r="D6" s="60"/>
      <c r="E6" s="60"/>
      <c r="F6" s="60"/>
      <c r="H6" s="89" t="s">
        <v>64</v>
      </c>
      <c r="I6" s="488"/>
      <c r="J6" s="60"/>
      <c r="K6" s="60"/>
      <c r="L6" s="60"/>
      <c r="M6" s="60"/>
      <c r="S6" s="89" t="s">
        <v>59</v>
      </c>
      <c r="T6" s="82"/>
      <c r="U6" s="82"/>
      <c r="V6" s="63"/>
      <c r="W6" s="60"/>
    </row>
    <row r="7" spans="1:26" ht="13.5" thickBot="1" x14ac:dyDescent="0.3">
      <c r="H7" s="90" t="s">
        <v>65</v>
      </c>
      <c r="I7" s="83"/>
      <c r="L7" s="60"/>
      <c r="M7" s="60"/>
      <c r="S7" s="90" t="s">
        <v>65</v>
      </c>
      <c r="V7" s="63"/>
      <c r="W7" s="60"/>
    </row>
    <row r="8" spans="1:26" ht="51" x14ac:dyDescent="0.25">
      <c r="H8" s="721" t="s">
        <v>66</v>
      </c>
      <c r="I8" s="575" t="s">
        <v>67</v>
      </c>
      <c r="J8" s="465" t="s">
        <v>68</v>
      </c>
      <c r="K8" s="465" t="s">
        <v>69</v>
      </c>
      <c r="L8" s="465" t="s">
        <v>70</v>
      </c>
      <c r="M8" s="465" t="s">
        <v>71</v>
      </c>
      <c r="N8" s="465" t="s">
        <v>72</v>
      </c>
      <c r="O8" s="491" t="s">
        <v>223</v>
      </c>
      <c r="S8" s="569" t="s">
        <v>66</v>
      </c>
      <c r="T8" s="565" t="s">
        <v>67</v>
      </c>
      <c r="U8" s="465" t="s">
        <v>458</v>
      </c>
      <c r="V8" s="465" t="s">
        <v>459</v>
      </c>
      <c r="W8" s="465" t="s">
        <v>476</v>
      </c>
      <c r="X8" s="465" t="s">
        <v>460</v>
      </c>
      <c r="Y8" s="465" t="s">
        <v>461</v>
      </c>
      <c r="Z8" s="491" t="s">
        <v>465</v>
      </c>
    </row>
    <row r="9" spans="1:26" ht="40.5" customHeight="1" thickBot="1" x14ac:dyDescent="0.3">
      <c r="H9" s="722"/>
      <c r="I9" s="576"/>
      <c r="J9" s="466" t="s">
        <v>75</v>
      </c>
      <c r="K9" s="466" t="s">
        <v>224</v>
      </c>
      <c r="L9" s="466" t="s">
        <v>77</v>
      </c>
      <c r="M9" s="466" t="s">
        <v>77</v>
      </c>
      <c r="N9" s="466" t="s">
        <v>78</v>
      </c>
      <c r="O9" s="377" t="s">
        <v>78</v>
      </c>
      <c r="S9" s="570"/>
      <c r="T9" s="566"/>
      <c r="U9" s="466" t="s">
        <v>456</v>
      </c>
      <c r="V9" s="466" t="s">
        <v>457</v>
      </c>
      <c r="W9" s="466" t="s">
        <v>477</v>
      </c>
      <c r="X9" s="466" t="s">
        <v>463</v>
      </c>
      <c r="Y9" s="466" t="s">
        <v>464</v>
      </c>
      <c r="Z9" s="377" t="s">
        <v>464</v>
      </c>
    </row>
    <row r="10" spans="1:26" ht="15.75" customHeight="1" x14ac:dyDescent="0.25">
      <c r="H10" s="470" t="s">
        <v>79</v>
      </c>
      <c r="I10" s="586" t="s">
        <v>80</v>
      </c>
      <c r="J10" s="77">
        <f>SUMIFS('Inhalation Exposure'!$I:$I,'Inhalation Exposure'!$C:$C,$H$4,'Inhalation Exposure'!$D:$D,$H10)</f>
        <v>2.7368421052631579E-4</v>
      </c>
      <c r="K10" s="77">
        <f>SUMIFS('Inhalation Exposure'!$K:$K,'Inhalation Exposure'!$C:$C,$H$4,'Inhalation Exposure'!$D:$D,$H10)</f>
        <v>1.8617973505191551E-4</v>
      </c>
      <c r="L10" s="77">
        <f>SUMIFS('Inhalation Exposure'!$M:$M,'Inhalation Exposure'!$C:$C,$H$4,'Inhalation Exposure'!$D:$D,$H10)</f>
        <v>1.3653180570473805E-4</v>
      </c>
      <c r="M10" s="77">
        <f>SUMIFS('Inhalation Exposure'!$O:$O,'Inhalation Exposure'!$C:$C,$H$4,'Inhalation Exposure'!$D:$D,$H10)</f>
        <v>1.2752036647391472E-4</v>
      </c>
      <c r="N10" s="77">
        <f>SUMIFS('Inhalation Exposure'!$Q:$Q,'Inhalation Exposure'!$C:$C,$H$4,'Inhalation Exposure'!$D:$D,$H10)</f>
        <v>5.0681171290914834E-5</v>
      </c>
      <c r="O10" s="379">
        <f>SUMIFS('Inhalation Exposure'!$S:$S,'Inhalation Exposure'!$C:$C,$H$4,'Inhalation Exposure'!$D:$D,$H10)</f>
        <v>1.7329690828506362E-5</v>
      </c>
      <c r="S10" s="694" t="s">
        <v>81</v>
      </c>
      <c r="T10" s="103" t="s">
        <v>80</v>
      </c>
      <c r="U10" s="378">
        <f>SUMIF('Dermal Exposure'!$B$6:$B$34, $H$4, 'Dermal Exposure'!P6:P34)</f>
        <v>3.2008837601478712E-2</v>
      </c>
      <c r="V10" s="378">
        <f>SUMIF('Dermal Exposure'!$B$6:$B$34, $H$4, 'Dermal Exposure'!Q6:Q34)</f>
        <v>4.0011047001848389E-4</v>
      </c>
      <c r="W10" s="378">
        <f>SUMIF('Dermal Exposure'!$B$6:$B$34, $H$4, 'Dermal Exposure'!R6:R34)</f>
        <v>2.9341434468022152E-4</v>
      </c>
      <c r="X10" s="378">
        <f>SUMIF('Dermal Exposure'!$B$6:$B$34, $H$4, 'Dermal Exposure'!S6:S34)</f>
        <v>2.7404826713594785E-4</v>
      </c>
      <c r="Y10" s="378">
        <f>SUMIF('Dermal Exposure'!$B$6:$B$34, $H$4, 'Dermal Exposure'!T6:T34)</f>
        <v>1.0274964612555684E-4</v>
      </c>
      <c r="Z10" s="380">
        <f>SUMIF('Dermal Exposure'!$B$6:$B$34, $H$4, 'Dermal Exposure'!$U$6:$U$34)</f>
        <v>6.8981326038236173E-5</v>
      </c>
    </row>
    <row r="11" spans="1:26" x14ac:dyDescent="0.25">
      <c r="H11" s="372" t="s">
        <v>82</v>
      </c>
      <c r="I11" s="584"/>
      <c r="J11" s="378">
        <f>SUMIFS('Inhalation Exposure'!$I:$I,'Inhalation Exposure'!$C:$C,$H$4,'Inhalation Exposure'!$D:$D,$H11)</f>
        <v>5.1578947368421063E-5</v>
      </c>
      <c r="K11" s="378">
        <f>SUMIFS('Inhalation Exposure'!$K:$K,'Inhalation Exposure'!$C:$C,$H$4,'Inhalation Exposure'!$D:$D,$H11)</f>
        <v>3.5087719298245625E-5</v>
      </c>
      <c r="L11" s="378">
        <f>SUMIFS('Inhalation Exposure'!$M:$M,'Inhalation Exposure'!$C:$C,$H$4,'Inhalation Exposure'!$D:$D,$H11)</f>
        <v>2.573099415204679E-5</v>
      </c>
      <c r="M11" s="378">
        <f>SUMIFS('Inhalation Exposure'!$O:$O,'Inhalation Exposure'!$C:$C,$H$4,'Inhalation Exposure'!$D:$D,$H11)</f>
        <v>2.4032684450853162E-5</v>
      </c>
      <c r="N11" s="378">
        <f>SUMIFS('Inhalation Exposure'!$Q:$Q,'Inhalation Exposure'!$C:$C,$H$4,'Inhalation Exposure'!$D:$D,$H11)</f>
        <v>9.5514515125185665E-6</v>
      </c>
      <c r="O11" s="380">
        <f>SUMIFS('Inhalation Exposure'!$S:$S,'Inhalation Exposure'!$C:$C,$H$4,'Inhalation Exposure'!$D:$D,$H11)</f>
        <v>3.2659801946031227E-6</v>
      </c>
      <c r="S11" s="694"/>
      <c r="T11" s="103" t="s">
        <v>83</v>
      </c>
      <c r="U11" s="378">
        <f>SUMIF('Dermal Exposure'!$B$6:$B$34, $H$4, 'Dermal Exposure'!J6:J34)</f>
        <v>5.4994975226671267E-2</v>
      </c>
      <c r="V11" s="378">
        <f>SUMIF('Dermal Exposure'!$B$6:$B$34, $H$4, 'Dermal Exposure'!K6:K34)</f>
        <v>6.8743719033339081E-4</v>
      </c>
      <c r="W11" s="378">
        <f>SUMIF('Dermal Exposure'!$B$6:$B$34, $H$4, 'Dermal Exposure'!L6:L34)</f>
        <v>5.0412060624448662E-4</v>
      </c>
      <c r="X11" s="378">
        <f>SUMIF('Dermal Exposure'!$B$6:$B$34, $H$4, 'Dermal Exposure'!M6:M34)</f>
        <v>4.7084739063930876E-4</v>
      </c>
      <c r="Y11" s="378">
        <f>SUMIF('Dermal Exposure'!$B$6:$B$34, $H$4, 'Dermal Exposure'!N6:N34)</f>
        <v>2.0056707714065117E-4</v>
      </c>
      <c r="Z11" s="380">
        <f>SUMIF('Dermal Exposure'!$B$6:$B$34, $H$4, 'Dermal Exposure'!$O$6:$O$34)</f>
        <v>1.5097916826831425E-4</v>
      </c>
    </row>
    <row r="12" spans="1:26" ht="12.75" customHeight="1" x14ac:dyDescent="0.25">
      <c r="H12" s="372" t="s">
        <v>79</v>
      </c>
      <c r="I12" s="719" t="s">
        <v>83</v>
      </c>
      <c r="J12" s="378">
        <f>SUMIFS('Inhalation Exposure'!$H:$H,'Inhalation Exposure'!$C:$C,$H$4,'Inhalation Exposure'!$D:$D,$H12)</f>
        <v>8.0000000000000004E-4</v>
      </c>
      <c r="K12" s="378">
        <f>SUMIFS('Inhalation Exposure'!$J:$J,'Inhalation Exposure'!$C:$C,$H$4,'Inhalation Exposure'!$D:$D,$H12)</f>
        <v>5.4421768707482992E-4</v>
      </c>
      <c r="L12" s="378">
        <f>SUMIFS('Inhalation Exposure'!$L:$L,'Inhalation Exposure'!$C:$C,$H$4,'Inhalation Exposure'!$D:$D,$H12)</f>
        <v>3.9909297052154196E-4</v>
      </c>
      <c r="M12" s="378">
        <f>SUMIFS('Inhalation Exposure'!$N:$N,'Inhalation Exposure'!$C:$C,$H$4,'Inhalation Exposure'!$D:$D,$H12)</f>
        <v>3.727518404622123E-4</v>
      </c>
      <c r="N12" s="378">
        <f>SUMIFS('Inhalation Exposure'!$P:$P,'Inhalation Exposure'!$C:$C,$H$4,'Inhalation Exposure'!$D:$D,$H12)</f>
        <v>1.9115478998062168E-4</v>
      </c>
      <c r="O12" s="380">
        <f>SUMIFS('Inhalation Exposure'!$R:$R,'Inhalation Exposure'!$C:$C,$H$4,'Inhalation Exposure'!$D:$D,$H12)</f>
        <v>1.9115478998062168E-4</v>
      </c>
      <c r="S12" s="695" t="str">
        <f>_xlfn.CONCAT("Worker with Gloves; 
PF of ",'List Values'!H2)</f>
        <v>Worker with Gloves; 
PF of 5</v>
      </c>
      <c r="T12" s="103" t="s">
        <v>80</v>
      </c>
      <c r="U12" s="378">
        <f>U10/'List Values'!$H$2</f>
        <v>6.4017675202957423E-3</v>
      </c>
      <c r="V12" s="378">
        <f>V10/'List Values'!$H$2</f>
        <v>8.0022094003696781E-5</v>
      </c>
      <c r="W12" s="378">
        <f>W10/'List Values'!$H$2</f>
        <v>5.8682868936044305E-5</v>
      </c>
      <c r="X12" s="378">
        <f>X10/'List Values'!$H$2</f>
        <v>5.4809653427189571E-5</v>
      </c>
      <c r="Y12" s="378">
        <f>Y10/'List Values'!$H$2</f>
        <v>2.054992922511137E-5</v>
      </c>
      <c r="Z12" s="380">
        <f>Z10/'List Values'!$H$2</f>
        <v>1.3796265207647235E-5</v>
      </c>
    </row>
    <row r="13" spans="1:26" ht="13.5" thickBot="1" x14ac:dyDescent="0.3">
      <c r="H13" s="471" t="s">
        <v>82</v>
      </c>
      <c r="I13" s="720"/>
      <c r="J13" s="381">
        <f>SUMIFS('Inhalation Exposure'!$H:$H,'Inhalation Exposure'!$C:$C,$H$4,'Inhalation Exposure'!$D:$D,$H13)</f>
        <v>1.6842105263157896E-3</v>
      </c>
      <c r="K13" s="381">
        <f>SUMIFS('Inhalation Exposure'!$J:$J,'Inhalation Exposure'!$C:$C,$H$4,'Inhalation Exposure'!$D:$D,$H13)</f>
        <v>1.1457214464733263E-3</v>
      </c>
      <c r="L13" s="381">
        <f>SUMIFS('Inhalation Exposure'!$L:$L,'Inhalation Exposure'!$C:$C,$H$4,'Inhalation Exposure'!$D:$D,$H13)</f>
        <v>8.4019572741377262E-4</v>
      </c>
      <c r="M13" s="381">
        <f>SUMIFS('Inhalation Exposure'!$N:$N,'Inhalation Exposure'!$C:$C,$H$4,'Inhalation Exposure'!$D:$D,$H13)</f>
        <v>7.8474071676255233E-4</v>
      </c>
      <c r="N13" s="381">
        <f>SUMIFS('Inhalation Exposure'!$P:$P,'Inhalation Exposure'!$C:$C,$H$4,'Inhalation Exposure'!$D:$D,$H13)</f>
        <v>4.0243113680130886E-4</v>
      </c>
      <c r="O13" s="382">
        <f>SUMIFS('Inhalation Exposure'!$R:$R,'Inhalation Exposure'!$C:$C,$H$4,'Inhalation Exposure'!$D:$D,$H13)</f>
        <v>4.0243113680130886E-4</v>
      </c>
      <c r="S13" s="695"/>
      <c r="T13" s="103" t="s">
        <v>83</v>
      </c>
      <c r="U13" s="378">
        <f>U11/'List Values'!$H$2</f>
        <v>1.0998995045334253E-2</v>
      </c>
      <c r="V13" s="378">
        <f>V11/'List Values'!$H$2</f>
        <v>1.3748743806667817E-4</v>
      </c>
      <c r="W13" s="378">
        <f>W11/'List Values'!$H$2</f>
        <v>1.0082412124889732E-4</v>
      </c>
      <c r="X13" s="378">
        <f>X11/'List Values'!$H$2</f>
        <v>9.4169478127861751E-5</v>
      </c>
      <c r="Y13" s="378">
        <f>Y11/'List Values'!$H$2</f>
        <v>4.0113415428130237E-5</v>
      </c>
      <c r="Z13" s="380">
        <f>Z11/'List Values'!$H$2</f>
        <v>3.0195833653662851E-5</v>
      </c>
    </row>
    <row r="14" spans="1:26" ht="12.75" customHeight="1" x14ac:dyDescent="0.25">
      <c r="S14" s="695" t="str">
        <f>_xlfn.CONCAT("Worker with Gloves; 
PF of ",'List Values'!H3)</f>
        <v>Worker with Gloves; 
PF of 10</v>
      </c>
      <c r="T14" s="103" t="s">
        <v>80</v>
      </c>
      <c r="U14" s="378">
        <f>U10/'List Values'!$H$3</f>
        <v>3.2008837601478712E-3</v>
      </c>
      <c r="V14" s="378">
        <f>V10/'List Values'!$H$3</f>
        <v>4.0011047001848391E-5</v>
      </c>
      <c r="W14" s="378">
        <f>W10/'List Values'!$H$3</f>
        <v>2.9341434468022153E-5</v>
      </c>
      <c r="X14" s="378">
        <f>X10/'List Values'!$H$3</f>
        <v>2.7404826713594785E-5</v>
      </c>
      <c r="Y14" s="378">
        <f>Y10/'List Values'!$H$3</f>
        <v>1.0274964612555685E-5</v>
      </c>
      <c r="Z14" s="380">
        <f>Z10/'List Values'!$H$3</f>
        <v>6.8981326038236174E-6</v>
      </c>
    </row>
    <row r="15" spans="1:26" x14ac:dyDescent="0.25">
      <c r="D15" s="63"/>
      <c r="H15" s="83"/>
      <c r="S15" s="695"/>
      <c r="T15" s="103" t="s">
        <v>83</v>
      </c>
      <c r="U15" s="378">
        <f>U11/'List Values'!$H$3</f>
        <v>5.4994975226671265E-3</v>
      </c>
      <c r="V15" s="378">
        <f>V11/'List Values'!$H$3</f>
        <v>6.8743719033339084E-5</v>
      </c>
      <c r="W15" s="378">
        <f>W11/'List Values'!$H$3</f>
        <v>5.0412060624448662E-5</v>
      </c>
      <c r="X15" s="378">
        <f>X11/'List Values'!$H$3</f>
        <v>4.7084739063930876E-5</v>
      </c>
      <c r="Y15" s="378">
        <f>Y11/'List Values'!$H$3</f>
        <v>2.0056707714065119E-5</v>
      </c>
      <c r="Z15" s="380">
        <f>Z11/'List Values'!$H$3</f>
        <v>1.5097916826831425E-5</v>
      </c>
    </row>
    <row r="16" spans="1:26" ht="15" customHeight="1" x14ac:dyDescent="0.25">
      <c r="D16" s="63"/>
      <c r="H16" s="83"/>
      <c r="S16" s="695" t="str">
        <f>_xlfn.CONCAT("Worker with Gloves; 
PF of ",'List Values'!H4)</f>
        <v>Worker with Gloves; 
PF of 20</v>
      </c>
      <c r="T16" s="103" t="s">
        <v>80</v>
      </c>
      <c r="U16" s="378">
        <f>U10/'List Values'!$H$4</f>
        <v>1.6004418800739356E-3</v>
      </c>
      <c r="V16" s="378">
        <f>V10/'List Values'!$H$4</f>
        <v>2.0005523500924195E-5</v>
      </c>
      <c r="W16" s="378">
        <f>W10/'List Values'!$H$4</f>
        <v>1.4670717234011076E-5</v>
      </c>
      <c r="X16" s="378">
        <f>X10/'List Values'!$H$4</f>
        <v>1.3702413356797393E-5</v>
      </c>
      <c r="Y16" s="378">
        <f>Y10/'List Values'!$H$4</f>
        <v>5.1374823062778424E-6</v>
      </c>
      <c r="Z16" s="380">
        <f>Z10/'List Values'!$H$4</f>
        <v>3.4490663019118087E-6</v>
      </c>
    </row>
    <row r="17" spans="2:28" ht="13.5" thickBot="1" x14ac:dyDescent="0.3">
      <c r="D17" s="63"/>
      <c r="H17" s="83"/>
      <c r="S17" s="696"/>
      <c r="T17" s="93" t="s">
        <v>83</v>
      </c>
      <c r="U17" s="381">
        <f>U11/'List Values'!$H$4</f>
        <v>2.7497487613335632E-3</v>
      </c>
      <c r="V17" s="381">
        <f>V11/'List Values'!$H$4</f>
        <v>3.4371859516669542E-5</v>
      </c>
      <c r="W17" s="381">
        <f>W11/'List Values'!$H$4</f>
        <v>2.5206030312224331E-5</v>
      </c>
      <c r="X17" s="381">
        <f>X11/'List Values'!$H$4</f>
        <v>2.3542369531965438E-5</v>
      </c>
      <c r="Y17" s="381">
        <f>Y11/'List Values'!$H$4</f>
        <v>1.0028353857032559E-5</v>
      </c>
      <c r="Z17" s="382">
        <f>Z11/'List Values'!$H$4</f>
        <v>7.5489584134157126E-6</v>
      </c>
    </row>
    <row r="18" spans="2:28" s="22" customFormat="1" x14ac:dyDescent="0.25">
      <c r="B18" s="488"/>
      <c r="C18" s="74"/>
      <c r="D18" s="74"/>
      <c r="E18" s="74"/>
      <c r="F18" s="74"/>
      <c r="G18" s="74"/>
      <c r="H18" s="370"/>
      <c r="I18" s="60"/>
      <c r="K18" s="370"/>
      <c r="L18" s="370"/>
      <c r="M18" s="370"/>
      <c r="N18" s="370"/>
      <c r="O18" s="370"/>
      <c r="P18" s="370"/>
      <c r="R18" s="74"/>
      <c r="S18" s="370"/>
      <c r="T18" s="60"/>
      <c r="V18" s="370"/>
    </row>
    <row r="19" spans="2:28" s="22" customFormat="1" ht="36" customHeight="1" thickBot="1" x14ac:dyDescent="0.3">
      <c r="B19" s="488"/>
      <c r="C19" s="60"/>
      <c r="D19" s="62"/>
      <c r="E19" s="62"/>
      <c r="F19" s="62"/>
      <c r="G19" s="91"/>
      <c r="H19" s="91" t="s">
        <v>225</v>
      </c>
      <c r="I19" s="60"/>
      <c r="K19" s="370"/>
      <c r="L19" s="693"/>
      <c r="M19" s="693"/>
      <c r="N19" s="492"/>
      <c r="O19" s="492"/>
      <c r="S19" s="91" t="s">
        <v>226</v>
      </c>
      <c r="U19" s="92"/>
      <c r="V19" s="92"/>
    </row>
    <row r="20" spans="2:28" s="22" customFormat="1" ht="13.5" customHeight="1" thickBot="1" x14ac:dyDescent="0.3">
      <c r="C20" s="717" t="s">
        <v>227</v>
      </c>
      <c r="D20" s="717" t="s">
        <v>228</v>
      </c>
      <c r="E20" s="717"/>
      <c r="F20" s="715" t="s">
        <v>229</v>
      </c>
      <c r="G20" s="393"/>
      <c r="H20" s="700" t="s">
        <v>87</v>
      </c>
      <c r="I20" s="575" t="s">
        <v>67</v>
      </c>
      <c r="J20" s="573" t="s">
        <v>88</v>
      </c>
      <c r="K20" s="701" t="str">
        <f>_xlfn.CONCAT("Exposure Estimates: ",$I$4," MOE")</f>
        <v>Exposure Estimates: Worker MOE</v>
      </c>
      <c r="L20" s="702"/>
      <c r="M20" s="702"/>
      <c r="N20" s="702"/>
      <c r="O20" s="702"/>
      <c r="P20" s="703"/>
      <c r="Q20" s="74"/>
      <c r="S20" s="708" t="s">
        <v>228</v>
      </c>
      <c r="T20" s="706" t="s">
        <v>229</v>
      </c>
      <c r="U20" s="700" t="s">
        <v>90</v>
      </c>
      <c r="V20" s="704" t="s">
        <v>67</v>
      </c>
      <c r="W20" s="573" t="s">
        <v>88</v>
      </c>
      <c r="X20" s="697" t="str">
        <f>_xlfn.CONCAT("Exposure Estimates: ",$I$4," MOE")</f>
        <v>Exposure Estimates: Worker MOE</v>
      </c>
      <c r="Y20" s="698"/>
      <c r="Z20" s="698"/>
      <c r="AA20" s="699"/>
    </row>
    <row r="21" spans="2:28" s="22" customFormat="1" ht="12.75" customHeight="1" thickBot="1" x14ac:dyDescent="0.3">
      <c r="C21" s="718"/>
      <c r="D21" s="718"/>
      <c r="E21" s="718"/>
      <c r="F21" s="716"/>
      <c r="G21" s="394"/>
      <c r="H21" s="689"/>
      <c r="I21" s="576"/>
      <c r="J21" s="577"/>
      <c r="K21" s="463" t="s">
        <v>230</v>
      </c>
      <c r="L21" s="466" t="s">
        <v>231</v>
      </c>
      <c r="M21" s="466" t="s">
        <v>232</v>
      </c>
      <c r="N21" s="466" t="s">
        <v>233</v>
      </c>
      <c r="O21" s="466" t="s">
        <v>234</v>
      </c>
      <c r="P21" s="468" t="s">
        <v>235</v>
      </c>
      <c r="Q21" s="74"/>
      <c r="S21" s="709"/>
      <c r="T21" s="707"/>
      <c r="U21" s="689"/>
      <c r="V21" s="705"/>
      <c r="W21" s="577"/>
      <c r="X21" s="392" t="s">
        <v>236</v>
      </c>
      <c r="Y21" s="392" t="s">
        <v>237</v>
      </c>
      <c r="Z21" s="392" t="s">
        <v>238</v>
      </c>
      <c r="AA21" s="399" t="s">
        <v>239</v>
      </c>
    </row>
    <row r="22" spans="2:28" s="22" customFormat="1" ht="20.25" customHeight="1" x14ac:dyDescent="0.25">
      <c r="B22" s="668" t="s">
        <v>96</v>
      </c>
      <c r="C22" s="676" t="s">
        <v>240</v>
      </c>
      <c r="D22" s="662" t="str">
        <f>INDEX('Health Data'!$D:$D, MATCH($B22, 'Health Data'!$F:$F, 0))</f>
        <v>Degeneration with necrosis of the olfactory mucosa</v>
      </c>
      <c r="E22" s="662"/>
      <c r="F22" s="674" t="str">
        <f>INDEX('Health Data'!$E:$E, MATCH($B22, 'Health Data'!$F:$F, 0))</f>
        <v>Dow Chemical, 2006</v>
      </c>
      <c r="G22" s="394"/>
      <c r="H22" s="672">
        <f>INDEX('Health Data'!$G:$G,MATCH(B22,'Health Data'!$F:$F,0))</f>
        <v>2.42</v>
      </c>
      <c r="I22" s="389" t="s">
        <v>80</v>
      </c>
      <c r="J22" s="383">
        <f>INDEX('Health Data'!$H:$H,MATCH(B22,'Health Data'!$F:$F,0))</f>
        <v>30</v>
      </c>
      <c r="K22" s="58">
        <f>IFERROR($H22/IF($I$4="Worker",$K$10,$K$11), "")</f>
        <v>12998.192307692307</v>
      </c>
      <c r="L22" s="58">
        <f>IFERROR($K22*'List Values'!$E$16, "")</f>
        <v>129981.92307692306</v>
      </c>
      <c r="M22" s="58">
        <f>IFERROR($K22*'List Values'!$E$17, "")</f>
        <v>324954.80769230769</v>
      </c>
      <c r="N22" s="58">
        <f>IFERROR($K22*'List Values'!$E$18, "")</f>
        <v>649909.61538461538</v>
      </c>
      <c r="O22" s="58">
        <f>IFERROR($K22*'List Values'!$E$19, "")</f>
        <v>12998192.307692306</v>
      </c>
      <c r="P22" s="71">
        <f>IFERROR($K22*'List Values'!$E$20, "")</f>
        <v>129981923.07692307</v>
      </c>
      <c r="Q22" s="54"/>
      <c r="R22" s="671" t="s">
        <v>95</v>
      </c>
      <c r="S22" s="653" t="str">
        <f>INDEX('Health Data'!$D:$D, MATCH($R22, 'Health Data'!$F:$F, 0))</f>
        <v>Increased kidney weight; Renal system</v>
      </c>
      <c r="T22" s="650" t="str">
        <f>INDEX('Health Data'!$E:$E, MATCH($R22, 'Health Data'!$F:$F, 0))</f>
        <v>Storer et al., 1984</v>
      </c>
      <c r="U22" s="669">
        <f>INDEX('Health Data'!$G:$G,MATCH(R22,'Health Data'!$F:$F,0))</f>
        <v>19.899999999999999</v>
      </c>
      <c r="V22" s="94" t="s">
        <v>80</v>
      </c>
      <c r="W22" s="400">
        <f>INDEX('Health Data'!$H:$H,MATCH(B22,'Health Data'!$F:$F,0))</f>
        <v>30</v>
      </c>
      <c r="X22" s="58">
        <f>IFERROR($U22/V$10, "")</f>
        <v>49736.264084968032</v>
      </c>
      <c r="Y22" s="58">
        <f>IFERROR($U22/V$12, "")</f>
        <v>248681.32042484015</v>
      </c>
      <c r="Z22" s="58">
        <f>IFERROR($U22/V$14, "")</f>
        <v>497362.64084968029</v>
      </c>
      <c r="AA22" s="71">
        <f>IFERROR($U22/V$16, "")</f>
        <v>994725.28169936058</v>
      </c>
    </row>
    <row r="23" spans="2:28" s="22" customFormat="1" ht="20.25" customHeight="1" thickBot="1" x14ac:dyDescent="0.3">
      <c r="B23" s="668"/>
      <c r="C23" s="677"/>
      <c r="D23" s="664"/>
      <c r="E23" s="664"/>
      <c r="F23" s="675"/>
      <c r="G23" s="394"/>
      <c r="H23" s="673"/>
      <c r="I23" s="490" t="s">
        <v>83</v>
      </c>
      <c r="J23" s="384">
        <f>INDEX('Health Data'!$H:$H,MATCH(B22,'Health Data'!$F:$F,0))</f>
        <v>30</v>
      </c>
      <c r="K23" s="59">
        <f>IFERROR($H22/IF($I$4="Worker",$K$12,$K$13), "")</f>
        <v>4446.75</v>
      </c>
      <c r="L23" s="59">
        <f>IFERROR($K23*'List Values'!$E$16, "")</f>
        <v>44467.5</v>
      </c>
      <c r="M23" s="59">
        <f>IFERROR($K23*'List Values'!$E$17, "")</f>
        <v>111168.75</v>
      </c>
      <c r="N23" s="59">
        <f>IFERROR($K23*'List Values'!$E$18, "")</f>
        <v>222337.5</v>
      </c>
      <c r="O23" s="59">
        <f>IFERROR($K23*'List Values'!$E$19, "")</f>
        <v>4446750</v>
      </c>
      <c r="P23" s="112">
        <f>IFERROR($K23*'List Values'!$E$20, "")</f>
        <v>44467500</v>
      </c>
      <c r="Q23" s="54"/>
      <c r="R23" s="671"/>
      <c r="S23" s="655"/>
      <c r="T23" s="652"/>
      <c r="U23" s="670"/>
      <c r="V23" s="93" t="s">
        <v>83</v>
      </c>
      <c r="W23" s="401">
        <f>INDEX('Health Data'!$H:$H,MATCH(B22,'Health Data'!$F:$F,0))</f>
        <v>30</v>
      </c>
      <c r="X23" s="59">
        <f>IFERROR($U22/V$11, "")</f>
        <v>28948.099229762312</v>
      </c>
      <c r="Y23" s="59">
        <f>IFERROR($U22/V$13, "")</f>
        <v>144740.49614881157</v>
      </c>
      <c r="Z23" s="59">
        <f>IFERROR($U22/V$15, "")</f>
        <v>289480.99229762313</v>
      </c>
      <c r="AA23" s="112">
        <f>IFERROR($U22/V$17, "")</f>
        <v>578961.98459524626</v>
      </c>
    </row>
    <row r="24" spans="2:28" s="22" customFormat="1" ht="20.25" customHeight="1" x14ac:dyDescent="0.25">
      <c r="B24" s="668" t="s">
        <v>100</v>
      </c>
      <c r="C24" s="676" t="s">
        <v>241</v>
      </c>
      <c r="D24" s="662" t="str">
        <f>INDEX('Health Data'!$D:$D, MATCH($B24, 'Health Data'!$F:$F, 0))</f>
        <v>Decrease in sperm concentration</v>
      </c>
      <c r="E24" s="662"/>
      <c r="F24" s="674" t="str">
        <f>INDEX('Health Data'!$E:$E, MATCH($B24, 'Health Data'!$F:$F, 0))</f>
        <v>Zhang et al., 2017</v>
      </c>
      <c r="G24" s="394"/>
      <c r="H24" s="686">
        <f>INDEX('Health Data'!$G:$G,MATCH(B24,'Health Data'!$F:$F,0))</f>
        <v>5.2</v>
      </c>
      <c r="I24" s="389" t="s">
        <v>80</v>
      </c>
      <c r="J24" s="398">
        <f>INDEX('Health Data'!$H:$H,MATCH(B24,'Health Data'!$F:$F,0))</f>
        <v>30</v>
      </c>
      <c r="K24" s="58">
        <f>IFERROR($H24/IF($I$4="Worker",$L$10,$L$11), "")</f>
        <v>38086.363636363632</v>
      </c>
      <c r="L24" s="58">
        <f>IFERROR($K24*'List Values'!$E$16, "")</f>
        <v>380863.63636363635</v>
      </c>
      <c r="M24" s="58">
        <f>IFERROR($K24*'List Values'!$E$17, "")</f>
        <v>952159.09090909082</v>
      </c>
      <c r="N24" s="58">
        <f>IFERROR($K24*'List Values'!$E$18, "")</f>
        <v>1904318.1818181816</v>
      </c>
      <c r="O24" s="58">
        <f>IFERROR($K24*'List Values'!$E$19, "")</f>
        <v>38086363.636363633</v>
      </c>
      <c r="P24" s="71">
        <f>IFERROR($K24*'List Values'!$E$20, "")</f>
        <v>380863636.36363631</v>
      </c>
      <c r="Q24" s="54"/>
      <c r="R24" s="671" t="s">
        <v>101</v>
      </c>
      <c r="S24" s="653" t="str">
        <f>INDEX('Health Data'!$D:$D, MATCH($R24, 'Health Data'!$F:$F, 0))</f>
        <v>Increased relative kidney weight</v>
      </c>
      <c r="T24" s="650" t="str">
        <f>INDEX('Health Data'!$E:$E, MATCH($R24, 'Health Data'!$F:$F, 0))</f>
        <v>NTP, 1991</v>
      </c>
      <c r="U24" s="669">
        <f>INDEX('Health Data'!$G:$G,MATCH(R24,'Health Data'!$F:$F,0))</f>
        <v>6.5</v>
      </c>
      <c r="V24" s="94" t="s">
        <v>80</v>
      </c>
      <c r="W24" s="398">
        <f>INDEX('Health Data'!$H:$H,MATCH(R24,'Health Data'!$F:$F,0))</f>
        <v>30</v>
      </c>
      <c r="X24" s="58">
        <f>IFERROR($U24/W$10, "")</f>
        <v>22152.972810801202</v>
      </c>
      <c r="Y24" s="58">
        <f>IFERROR($U24/W$12, "")</f>
        <v>110764.86405400602</v>
      </c>
      <c r="Z24" s="58">
        <f>IFERROR($U24/W$14, "")</f>
        <v>221529.72810801203</v>
      </c>
      <c r="AA24" s="71">
        <f>IFERROR($U24/W$16, "")</f>
        <v>443059.45621602406</v>
      </c>
    </row>
    <row r="25" spans="2:28" s="22" customFormat="1" ht="20.25" customHeight="1" thickBot="1" x14ac:dyDescent="0.3">
      <c r="B25" s="668"/>
      <c r="C25" s="677"/>
      <c r="D25" s="664"/>
      <c r="E25" s="664"/>
      <c r="F25" s="675"/>
      <c r="G25" s="394"/>
      <c r="H25" s="687"/>
      <c r="I25" s="490" t="s">
        <v>83</v>
      </c>
      <c r="J25" s="123">
        <f>INDEX('Health Data'!$H:$H,MATCH(B24,'Health Data'!$F:$F,0))</f>
        <v>30</v>
      </c>
      <c r="K25" s="59">
        <f>IFERROR($H24/IF($I$4="Worker",$L$12,$L$13), "")</f>
        <v>13029.545454545454</v>
      </c>
      <c r="L25" s="59">
        <f>IFERROR($K25*'List Values'!$E$16, "")</f>
        <v>130295.45454545454</v>
      </c>
      <c r="M25" s="59">
        <f>IFERROR($K25*'List Values'!$E$17, "")</f>
        <v>325738.63636363635</v>
      </c>
      <c r="N25" s="59">
        <f>IFERROR($K25*'List Values'!$E$18, "")</f>
        <v>651477.27272727271</v>
      </c>
      <c r="O25" s="59">
        <f>IFERROR($K25*'List Values'!$E$19, "")</f>
        <v>13029545.454545453</v>
      </c>
      <c r="P25" s="112">
        <f>IFERROR($K25*'List Values'!$E$20, "")</f>
        <v>130295454.54545455</v>
      </c>
      <c r="Q25" s="54"/>
      <c r="R25" s="671"/>
      <c r="S25" s="655"/>
      <c r="T25" s="652"/>
      <c r="U25" s="670"/>
      <c r="V25" s="93" t="s">
        <v>83</v>
      </c>
      <c r="W25" s="123">
        <f>INDEX('Health Data'!$H:$H,MATCH(R24,'Health Data'!$F:$F,0))</f>
        <v>30</v>
      </c>
      <c r="X25" s="59">
        <f>IFERROR($U24/W$11, "")</f>
        <v>12893.739949300254</v>
      </c>
      <c r="Y25" s="59">
        <f>IFERROR($U24/W$13, "")</f>
        <v>64468.699746501268</v>
      </c>
      <c r="Z25" s="59">
        <f>IFERROR($U24/W$15, "")</f>
        <v>128937.39949300254</v>
      </c>
      <c r="AA25" s="112">
        <f>IFERROR($U24/W$17, "")</f>
        <v>257874.79898600507</v>
      </c>
    </row>
    <row r="26" spans="2:28" s="22" customFormat="1" ht="20.25" customHeight="1" x14ac:dyDescent="0.25">
      <c r="B26" s="668" t="s">
        <v>104</v>
      </c>
      <c r="C26" s="710" t="s">
        <v>242</v>
      </c>
      <c r="D26" s="662" t="str">
        <f>INDEX('Health Data'!$D:$D, MATCH($B26, 'Health Data'!$F:$F, 0))</f>
        <v>Decrease in sperm concentration</v>
      </c>
      <c r="E26" s="662"/>
      <c r="F26" s="674" t="str">
        <f>INDEX('Health Data'!$E:$E, MATCH($B26, 'Health Data'!$F:$F, 0))</f>
        <v>Zhang et al., 2017</v>
      </c>
      <c r="G26" s="394"/>
      <c r="H26" s="686">
        <f>INDEX('Health Data'!$G:$G,MATCH(B26,'Health Data'!$F:$F,0))</f>
        <v>5.2</v>
      </c>
      <c r="I26" s="389" t="s">
        <v>80</v>
      </c>
      <c r="J26" s="398">
        <f>INDEX('Health Data'!$H:$H,MATCH(B26,'Health Data'!$F:$F,0))</f>
        <v>30</v>
      </c>
      <c r="K26" s="58">
        <f>IFERROR($H26/IF($I$4="Worker",$M$10,$M$11), "")</f>
        <v>40777.800000000003</v>
      </c>
      <c r="L26" s="58">
        <f>IFERROR($K26*'List Values'!$E$16, "")</f>
        <v>407778</v>
      </c>
      <c r="M26" s="58">
        <f>IFERROR($K26*'List Values'!$E$17, "")</f>
        <v>1019445.0000000001</v>
      </c>
      <c r="N26" s="58">
        <f>IFERROR($K26*'List Values'!$E$18, "")</f>
        <v>2038890.0000000002</v>
      </c>
      <c r="O26" s="58">
        <f>IFERROR($K26*'List Values'!$E$19, "")</f>
        <v>40777800</v>
      </c>
      <c r="P26" s="71">
        <f>IFERROR($K26*'List Values'!$E$20, "")</f>
        <v>407778000</v>
      </c>
      <c r="Q26" s="54"/>
      <c r="R26" s="692" t="s">
        <v>105</v>
      </c>
      <c r="S26" s="653" t="str">
        <f>INDEX('Health Data'!$D:$D, MATCH($R26, 'Health Data'!$F:$F, 0))</f>
        <v>Increased relative kidney weight</v>
      </c>
      <c r="T26" s="650" t="str">
        <f>INDEX('Health Data'!$E:$E, MATCH($R26, 'Health Data'!$F:$F, 0))</f>
        <v>NTP, 1991</v>
      </c>
      <c r="U26" s="669">
        <f>INDEX('Health Data'!$G:$G,MATCH(R26,'Health Data'!$F:$F,0))</f>
        <v>6.5</v>
      </c>
      <c r="V26" s="94" t="s">
        <v>80</v>
      </c>
      <c r="W26" s="398">
        <f>INDEX('Health Data'!$H:$H,MATCH(R26,'Health Data'!$F:$F,0))</f>
        <v>100</v>
      </c>
      <c r="X26" s="58">
        <f>IFERROR($U26/X$10, "")</f>
        <v>23718.449556097825</v>
      </c>
      <c r="Y26" s="58">
        <f>IFERROR($U26/X$12, "")</f>
        <v>118592.24778048911</v>
      </c>
      <c r="Z26" s="58">
        <f>IFERROR($U26/X$14, "")</f>
        <v>237184.49556097822</v>
      </c>
      <c r="AA26" s="71">
        <f>IFERROR($U26/X$16, "")</f>
        <v>474368.99112195644</v>
      </c>
    </row>
    <row r="27" spans="2:28" s="22" customFormat="1" ht="20.25" customHeight="1" thickBot="1" x14ac:dyDescent="0.3">
      <c r="B27" s="668"/>
      <c r="C27" s="711"/>
      <c r="D27" s="664"/>
      <c r="E27" s="664"/>
      <c r="F27" s="675"/>
      <c r="G27" s="394"/>
      <c r="H27" s="687"/>
      <c r="I27" s="490" t="s">
        <v>83</v>
      </c>
      <c r="J27" s="123">
        <f>INDEX('Health Data'!$H:$H,MATCH(B26,'Health Data'!$F:$F,0))</f>
        <v>30</v>
      </c>
      <c r="K27" s="59">
        <f>IFERROR($H26/IF($I$4="Worker",$M$12,$M$13), "")</f>
        <v>13950.3</v>
      </c>
      <c r="L27" s="59">
        <f>IFERROR($K27*'List Values'!$E$16, "")</f>
        <v>139503</v>
      </c>
      <c r="M27" s="59">
        <f>IFERROR($K27*'List Values'!$E$17, "")</f>
        <v>348757.5</v>
      </c>
      <c r="N27" s="59">
        <f>IFERROR($K27*'List Values'!$E$18, "")</f>
        <v>697515</v>
      </c>
      <c r="O27" s="59">
        <f>IFERROR($K27*'List Values'!$E$19, "")</f>
        <v>13950300</v>
      </c>
      <c r="P27" s="112">
        <f>IFERROR($K27*'List Values'!$E$20, "")</f>
        <v>139503000</v>
      </c>
      <c r="Q27" s="54"/>
      <c r="R27" s="692"/>
      <c r="S27" s="655"/>
      <c r="T27" s="652"/>
      <c r="U27" s="670"/>
      <c r="V27" s="93" t="s">
        <v>83</v>
      </c>
      <c r="W27" s="123">
        <f>INDEX('Health Data'!$H:$H,MATCH(R26,'Health Data'!$F:$F,0))</f>
        <v>100</v>
      </c>
      <c r="X27" s="59">
        <f>IFERROR($U26/X$11, "")</f>
        <v>13804.897572384139</v>
      </c>
      <c r="Y27" s="59">
        <f>IFERROR($U26/X$13, "")</f>
        <v>69024.487861920701</v>
      </c>
      <c r="Z27" s="59">
        <f>IFERROR($U26/X$15, "")</f>
        <v>138048.9757238414</v>
      </c>
      <c r="AA27" s="112">
        <f>IFERROR($U26/X$17, "")</f>
        <v>276097.9514476828</v>
      </c>
    </row>
    <row r="28" spans="2:28" s="22" customFormat="1" ht="20.25" customHeight="1" thickBot="1" x14ac:dyDescent="0.3">
      <c r="B28" s="488"/>
      <c r="C28" s="2"/>
      <c r="D28" s="2"/>
      <c r="E28" s="2"/>
      <c r="F28" s="2"/>
      <c r="G28" s="394"/>
      <c r="H28" s="688" t="s">
        <v>243</v>
      </c>
      <c r="I28" s="576" t="s">
        <v>67</v>
      </c>
      <c r="J28" s="682" t="s">
        <v>88</v>
      </c>
      <c r="K28" s="683" t="str">
        <f>_xlfn.CONCAT("Exposure Estimates: ",$I$4," MOE")</f>
        <v>Exposure Estimates: Worker MOE</v>
      </c>
      <c r="L28" s="684"/>
      <c r="M28" s="684"/>
      <c r="N28" s="684"/>
      <c r="O28" s="684"/>
      <c r="P28" s="685"/>
      <c r="Q28" s="74"/>
      <c r="R28" s="60"/>
      <c r="S28" s="60"/>
      <c r="T28" s="60"/>
      <c r="U28" s="690" t="s">
        <v>244</v>
      </c>
      <c r="V28" s="681" t="s">
        <v>67</v>
      </c>
      <c r="W28" s="682" t="s">
        <v>88</v>
      </c>
      <c r="X28" s="678" t="str">
        <f>_xlfn.CONCAT("Exposure Estimates: ",$I$4," MOE")</f>
        <v>Exposure Estimates: Worker MOE</v>
      </c>
      <c r="Y28" s="679"/>
      <c r="Z28" s="679"/>
      <c r="AA28" s="680"/>
    </row>
    <row r="29" spans="2:28" s="22" customFormat="1" ht="26.25" customHeight="1" thickBot="1" x14ac:dyDescent="0.3">
      <c r="B29" s="488"/>
      <c r="C29" s="2"/>
      <c r="D29" s="2"/>
      <c r="E29" s="2"/>
      <c r="F29" s="2"/>
      <c r="G29" s="394"/>
      <c r="H29" s="689"/>
      <c r="I29" s="576"/>
      <c r="J29" s="577"/>
      <c r="K29" s="463" t="s">
        <v>230</v>
      </c>
      <c r="L29" s="466" t="s">
        <v>231</v>
      </c>
      <c r="M29" s="466" t="s">
        <v>232</v>
      </c>
      <c r="N29" s="466" t="s">
        <v>233</v>
      </c>
      <c r="O29" s="466" t="s">
        <v>234</v>
      </c>
      <c r="P29" s="468" t="s">
        <v>235</v>
      </c>
      <c r="Q29" s="74"/>
      <c r="T29" s="60"/>
      <c r="U29" s="691"/>
      <c r="V29" s="681"/>
      <c r="W29" s="577"/>
      <c r="X29" s="392" t="s">
        <v>236</v>
      </c>
      <c r="Y29" s="392" t="s">
        <v>237</v>
      </c>
      <c r="Z29" s="392" t="s">
        <v>238</v>
      </c>
      <c r="AA29" s="399" t="s">
        <v>239</v>
      </c>
    </row>
    <row r="30" spans="2:28" s="22" customFormat="1" ht="35.25" customHeight="1" x14ac:dyDescent="0.25">
      <c r="B30" s="22" t="s">
        <v>114</v>
      </c>
      <c r="C30" s="656" t="s">
        <v>245</v>
      </c>
      <c r="D30" s="659" t="s">
        <v>143</v>
      </c>
      <c r="E30" s="662" t="str">
        <f>INDEX('Health Data'!$D:$D, MATCH($B30, 'Health Data'!$F:$F, 0))</f>
        <v>Result of combined cancer modeling</v>
      </c>
      <c r="F30" s="662" t="str">
        <f>INDEX('Health Data'!$E:$E, MATCH($B30, 'Health Data'!$F:$F, 0))</f>
        <v>Nagano et al., 2006</v>
      </c>
      <c r="G30" s="396"/>
      <c r="H30" s="665">
        <f>INDEX('Health Data'!$I:$I,MATCH(B30,'Health Data'!$F:$F,0))</f>
        <v>2.9000000000000001E-2</v>
      </c>
      <c r="I30" s="406" t="s">
        <v>80</v>
      </c>
      <c r="J30" s="474" t="s">
        <v>115</v>
      </c>
      <c r="K30" s="146">
        <f>IFERROR($H30*IF($I$4="Worker",$N$10,$N$11), "")</f>
        <v>1.4697539674365302E-6</v>
      </c>
      <c r="L30" s="146">
        <f>IFERROR($K30/'List Values'!$E$16, "")</f>
        <v>1.4697539674365301E-7</v>
      </c>
      <c r="M30" s="146">
        <f>IFERROR($K30/'List Values'!$E$17, "")</f>
        <v>5.8790158697461206E-8</v>
      </c>
      <c r="N30" s="146">
        <f>IFERROR($K30/'List Values'!$E$18, "")</f>
        <v>2.9395079348730603E-8</v>
      </c>
      <c r="O30" s="146">
        <f>IFERROR($K30/'List Values'!$E$19, "")</f>
        <v>1.4697539674365302E-9</v>
      </c>
      <c r="P30" s="147">
        <f>IFERROR($K30/'List Values'!$E$20, "")</f>
        <v>1.4697539674365302E-10</v>
      </c>
      <c r="Q30" s="325"/>
      <c r="R30" s="60" t="s">
        <v>116</v>
      </c>
      <c r="S30" s="653" t="str">
        <f>INDEX('Health Data'!$D:$D, MATCH($R30, 'Health Data'!$F:$F, 0))</f>
        <v>Result of combined cancer modeling (route-to-route extrapolation from the IUR)</v>
      </c>
      <c r="T30" s="650" t="str">
        <f>INDEX('Health Data'!$E:$E, MATCH($R30, 'Health Data'!$F:$F, 0))</f>
        <v>Nagano et al., 2006</v>
      </c>
      <c r="U30" s="647">
        <f>INDEX('Health Data'!$I:$I,MATCH(R30,'Health Data'!$F:$F,0))</f>
        <v>3.9E-2</v>
      </c>
      <c r="V30" s="353" t="s">
        <v>80</v>
      </c>
      <c r="W30" s="646" t="s">
        <v>115</v>
      </c>
      <c r="X30" s="58">
        <f>IFERROR($U$30*Y10, "")</f>
        <v>4.0072361988967171E-6</v>
      </c>
      <c r="Y30" s="58">
        <f>IFERROR($U$30*Y12, "")</f>
        <v>8.0144723977934338E-7</v>
      </c>
      <c r="Z30" s="58">
        <f>IFERROR($U$30*Y14, "")</f>
        <v>4.0072361988967169E-7</v>
      </c>
      <c r="AA30" s="71">
        <f>IFERROR($U$30*Y16, "")</f>
        <v>2.0036180994483584E-7</v>
      </c>
      <c r="AB30" s="82"/>
    </row>
    <row r="31" spans="2:28" s="22" customFormat="1" ht="27.75" customHeight="1" thickBot="1" x14ac:dyDescent="0.3">
      <c r="C31" s="657"/>
      <c r="D31" s="660"/>
      <c r="E31" s="663"/>
      <c r="F31" s="663"/>
      <c r="G31" s="395"/>
      <c r="H31" s="666"/>
      <c r="I31" s="407" t="s">
        <v>83</v>
      </c>
      <c r="J31" s="473" t="s">
        <v>115</v>
      </c>
      <c r="K31" s="403">
        <f>IFERROR($H30*IF($I$4="Worker",$N$12,$N$13), "")</f>
        <v>5.5434889094380294E-6</v>
      </c>
      <c r="L31" s="404">
        <f>IFERROR($K31/'List Values'!$E$16, "")</f>
        <v>5.543488909438029E-7</v>
      </c>
      <c r="M31" s="404">
        <f>IFERROR($K31/'List Values'!$E$17, "")</f>
        <v>2.2173955637752118E-7</v>
      </c>
      <c r="N31" s="404">
        <f>IFERROR($K31/'List Values'!$E$18, "")</f>
        <v>1.1086977818876059E-7</v>
      </c>
      <c r="O31" s="404">
        <f>IFERROR($K31/'List Values'!$E$19, "")</f>
        <v>5.5434889094380298E-9</v>
      </c>
      <c r="P31" s="405">
        <f>IFERROR($K31/'List Values'!$E$20, "")</f>
        <v>5.5434889094380292E-10</v>
      </c>
      <c r="Q31" s="325"/>
      <c r="S31" s="654"/>
      <c r="T31" s="651"/>
      <c r="U31" s="648"/>
      <c r="V31" s="354" t="s">
        <v>83</v>
      </c>
      <c r="W31" s="558"/>
      <c r="X31" s="59">
        <f>IFERROR($U$30*Y11, "")</f>
        <v>7.8221160084853961E-6</v>
      </c>
      <c r="Y31" s="59">
        <f>IFERROR($U$30*Y13, "")</f>
        <v>1.5644232016970793E-6</v>
      </c>
      <c r="Z31" s="59">
        <f>IFERROR($U$30*Y15, "")</f>
        <v>7.8221160084853965E-7</v>
      </c>
      <c r="AA31" s="112">
        <f>IFERROR($U$30*Y17, "")</f>
        <v>3.9110580042426983E-7</v>
      </c>
    </row>
    <row r="32" spans="2:28" s="22" customFormat="1" ht="25.5" customHeight="1" x14ac:dyDescent="0.25">
      <c r="C32" s="657"/>
      <c r="D32" s="660"/>
      <c r="E32" s="663"/>
      <c r="F32" s="663"/>
      <c r="G32" s="395"/>
      <c r="H32" s="666"/>
      <c r="I32" s="406" t="s">
        <v>80</v>
      </c>
      <c r="J32" s="474" t="s">
        <v>115</v>
      </c>
      <c r="K32" s="408">
        <f>IFERROR($H30*IF($I$4="Worker",$O$10,$O$11), "")</f>
        <v>5.0256103402668457E-7</v>
      </c>
      <c r="L32" s="146">
        <f>IFERROR($K32/'List Values'!$E$16, "")</f>
        <v>5.0256103402668458E-8</v>
      </c>
      <c r="M32" s="146">
        <f>IFERROR($K32/'List Values'!$E$17, "")</f>
        <v>2.0102441361067383E-8</v>
      </c>
      <c r="N32" s="146">
        <f>IFERROR($K32/'List Values'!$E$18, "")</f>
        <v>1.0051220680533692E-8</v>
      </c>
      <c r="O32" s="146">
        <f>IFERROR($K32/'List Values'!$E$19, "")</f>
        <v>5.0256103402668452E-10</v>
      </c>
      <c r="P32" s="147">
        <f>IFERROR($K32/'List Values'!$E$20, "")</f>
        <v>5.0256103402668455E-11</v>
      </c>
      <c r="Q32" s="324"/>
      <c r="S32" s="654"/>
      <c r="T32" s="651"/>
      <c r="U32" s="648"/>
      <c r="V32" s="353" t="s">
        <v>80</v>
      </c>
      <c r="W32" s="646" t="s">
        <v>115</v>
      </c>
      <c r="X32" s="149">
        <f>IFERROR($U$30*Z10, "")</f>
        <v>2.6902717154912108E-6</v>
      </c>
      <c r="Y32" s="149">
        <f>IFERROR($U$30*Z12, "")</f>
        <v>5.3805434309824212E-7</v>
      </c>
      <c r="Z32" s="149">
        <f>IFERROR($U$30*Z14, "")</f>
        <v>2.6902717154912106E-7</v>
      </c>
      <c r="AA32" s="402">
        <f>IFERROR($U$30*Z16, "")</f>
        <v>1.3451358577456053E-7</v>
      </c>
    </row>
    <row r="33" spans="1:27" s="22" customFormat="1" ht="25.5" customHeight="1" thickBot="1" x14ac:dyDescent="0.3">
      <c r="C33" s="658"/>
      <c r="D33" s="661"/>
      <c r="E33" s="664"/>
      <c r="F33" s="664"/>
      <c r="G33" s="397"/>
      <c r="H33" s="667"/>
      <c r="I33" s="407" t="s">
        <v>83</v>
      </c>
      <c r="J33" s="473" t="s">
        <v>115</v>
      </c>
      <c r="K33" s="403">
        <f>IFERROR($H30*IF($I$4="Worker",$O$12,$O$13), "")</f>
        <v>5.5434889094380294E-6</v>
      </c>
      <c r="L33" s="404">
        <f>IFERROR($K33/'List Values'!$E$16, "")</f>
        <v>5.543488909438029E-7</v>
      </c>
      <c r="M33" s="404">
        <f>IFERROR($K33/'List Values'!$E$17, "")</f>
        <v>2.2173955637752118E-7</v>
      </c>
      <c r="N33" s="404">
        <f>IFERROR($K33/'List Values'!$E$18, "")</f>
        <v>1.1086977818876059E-7</v>
      </c>
      <c r="O33" s="404">
        <f>IFERROR($K33/'List Values'!$E$19, "")</f>
        <v>5.5434889094380298E-9</v>
      </c>
      <c r="P33" s="405">
        <f>IFERROR($K33/'List Values'!$E$20, "")</f>
        <v>5.5434889094380292E-10</v>
      </c>
      <c r="Q33" s="324"/>
      <c r="S33" s="655"/>
      <c r="T33" s="652"/>
      <c r="U33" s="649"/>
      <c r="V33" s="354" t="s">
        <v>83</v>
      </c>
      <c r="W33" s="558"/>
      <c r="X33" s="351">
        <f>IFERROR($U$30*Z11, "")</f>
        <v>5.8881875624642556E-6</v>
      </c>
      <c r="Y33" s="351">
        <f>IFERROR($U$30*Z13, "")</f>
        <v>1.1776375124928511E-6</v>
      </c>
      <c r="Z33" s="351">
        <f>IFERROR($U$30*Z15, "")</f>
        <v>5.8881875624642554E-7</v>
      </c>
      <c r="AA33" s="352">
        <f>IFERROR($U$30*Z17, "")</f>
        <v>2.9440937812321277E-7</v>
      </c>
    </row>
    <row r="35" spans="1:27" s="22" customFormat="1" ht="25.5" customHeight="1" x14ac:dyDescent="0.25">
      <c r="C35" s="62"/>
      <c r="D35" s="367"/>
      <c r="E35" s="60"/>
      <c r="F35" s="60"/>
      <c r="G35" s="326"/>
      <c r="H35" s="368"/>
      <c r="I35" s="83"/>
      <c r="J35" s="331"/>
      <c r="K35" s="327"/>
      <c r="L35" s="324"/>
      <c r="M35" s="324"/>
      <c r="N35" s="324"/>
      <c r="O35" s="324"/>
      <c r="P35" s="324"/>
      <c r="Q35" s="324"/>
      <c r="U35" s="349"/>
      <c r="V35" s="326"/>
      <c r="W35" s="350"/>
      <c r="X35" s="117"/>
      <c r="Y35" s="54"/>
      <c r="Z35" s="54"/>
      <c r="AA35" s="54"/>
    </row>
    <row r="36" spans="1:27" s="22" customFormat="1" ht="24" customHeight="1" x14ac:dyDescent="0.25">
      <c r="C36" s="62"/>
      <c r="D36" s="367"/>
      <c r="E36" s="60"/>
      <c r="F36" s="60"/>
      <c r="G36" s="326"/>
      <c r="H36" s="369"/>
      <c r="I36" s="83"/>
      <c r="J36" s="331"/>
      <c r="K36" s="327"/>
      <c r="L36" s="324"/>
      <c r="M36" s="324"/>
      <c r="N36" s="324"/>
      <c r="O36" s="324"/>
      <c r="P36" s="324"/>
      <c r="Q36" s="324"/>
      <c r="U36" s="349"/>
      <c r="V36" s="326"/>
      <c r="W36" s="350"/>
      <c r="X36" s="54"/>
      <c r="Y36" s="54"/>
      <c r="Z36" s="54"/>
      <c r="AA36" s="54"/>
    </row>
    <row r="37" spans="1:27" s="2" customFormat="1" ht="15" x14ac:dyDescent="0.25"/>
    <row r="38" spans="1:27" s="2" customFormat="1" ht="15" x14ac:dyDescent="0.25"/>
    <row r="39" spans="1:27" s="22" customFormat="1" x14ac:dyDescent="0.25">
      <c r="B39" s="83"/>
      <c r="C39" s="63"/>
      <c r="D39" s="84"/>
      <c r="E39" s="63"/>
      <c r="F39" s="63"/>
      <c r="G39" s="82"/>
      <c r="H39" s="82"/>
      <c r="I39" s="82"/>
      <c r="J39" s="82"/>
      <c r="K39" s="82"/>
      <c r="L39" s="82"/>
      <c r="M39" s="82"/>
      <c r="O39" s="82"/>
      <c r="P39" s="82"/>
      <c r="Q39" s="82"/>
      <c r="R39" s="82"/>
      <c r="S39" s="82"/>
    </row>
    <row r="40" spans="1:27" s="22" customFormat="1" x14ac:dyDescent="0.25">
      <c r="B40" s="83"/>
      <c r="C40" s="63"/>
      <c r="D40" s="84"/>
      <c r="E40" s="63"/>
      <c r="F40" s="63"/>
      <c r="G40" s="82"/>
      <c r="H40" s="82"/>
      <c r="I40" s="82"/>
      <c r="J40" s="82"/>
      <c r="K40" s="82"/>
      <c r="L40" s="82"/>
      <c r="M40" s="82"/>
      <c r="N40" s="82"/>
      <c r="O40" s="82"/>
      <c r="P40" s="82"/>
      <c r="Q40" s="82"/>
      <c r="R40" s="82"/>
      <c r="S40" s="82"/>
    </row>
    <row r="41" spans="1:27" x14ac:dyDescent="0.25">
      <c r="A41" s="22"/>
    </row>
    <row r="47" spans="1:27" x14ac:dyDescent="0.25">
      <c r="I47" s="22"/>
      <c r="J47" s="22"/>
      <c r="K47" s="22"/>
      <c r="L47" s="22"/>
      <c r="M47" s="22"/>
    </row>
    <row r="52" spans="1:20" x14ac:dyDescent="0.25">
      <c r="O52" s="22"/>
      <c r="P52" s="22"/>
      <c r="Q52" s="22"/>
      <c r="R52" s="22"/>
    </row>
    <row r="53" spans="1:20" x14ac:dyDescent="0.25">
      <c r="C53" s="60"/>
      <c r="D53" s="370"/>
      <c r="E53" s="60"/>
      <c r="F53" s="60"/>
      <c r="G53" s="22"/>
      <c r="H53" s="22"/>
    </row>
    <row r="55" spans="1:20" x14ac:dyDescent="0.25">
      <c r="B55" s="488"/>
    </row>
    <row r="56" spans="1:20" x14ac:dyDescent="0.25">
      <c r="B56" s="95"/>
      <c r="S56" s="22"/>
    </row>
    <row r="57" spans="1:20" x14ac:dyDescent="0.25">
      <c r="B57" s="95"/>
      <c r="I57" s="96"/>
      <c r="J57" s="96"/>
      <c r="K57" s="96"/>
      <c r="L57" s="96"/>
      <c r="M57" s="96"/>
      <c r="N57" s="22"/>
    </row>
    <row r="58" spans="1:20" s="22" customFormat="1" x14ac:dyDescent="0.25">
      <c r="A58" s="82"/>
      <c r="B58" s="95"/>
      <c r="C58" s="63"/>
      <c r="D58" s="84"/>
      <c r="E58" s="63"/>
      <c r="F58" s="63"/>
      <c r="G58" s="82"/>
      <c r="H58" s="82"/>
      <c r="I58" s="96"/>
      <c r="J58" s="96"/>
      <c r="K58" s="96"/>
      <c r="L58" s="96"/>
      <c r="M58" s="96"/>
      <c r="N58" s="82"/>
      <c r="O58" s="82"/>
      <c r="P58" s="82"/>
      <c r="Q58" s="82"/>
      <c r="R58" s="82"/>
      <c r="S58" s="82"/>
    </row>
    <row r="59" spans="1:20" x14ac:dyDescent="0.25">
      <c r="A59" s="22"/>
      <c r="B59" s="95"/>
      <c r="I59" s="97"/>
      <c r="J59" s="97"/>
      <c r="K59" s="97"/>
      <c r="L59" s="97"/>
      <c r="M59" s="97"/>
    </row>
    <row r="60" spans="1:20" x14ac:dyDescent="0.25">
      <c r="B60" s="95"/>
      <c r="I60" s="97"/>
      <c r="J60" s="97"/>
      <c r="K60" s="97"/>
      <c r="L60" s="97"/>
      <c r="M60" s="97"/>
    </row>
    <row r="61" spans="1:20" x14ac:dyDescent="0.25">
      <c r="B61" s="95"/>
    </row>
    <row r="62" spans="1:20" x14ac:dyDescent="0.25">
      <c r="B62" s="95"/>
      <c r="C62" s="98"/>
      <c r="D62" s="99"/>
      <c r="E62" s="98"/>
      <c r="R62" s="97"/>
      <c r="S62" s="97"/>
      <c r="T62" s="97"/>
    </row>
    <row r="63" spans="1:20" ht="63.75" x14ac:dyDescent="0.25">
      <c r="B63" s="95"/>
      <c r="E63" s="98"/>
      <c r="F63" s="96"/>
      <c r="G63" s="97"/>
      <c r="H63" s="114" t="s">
        <v>117</v>
      </c>
      <c r="I63" s="100" t="str">
        <f>I30</f>
        <v>Central Tendency</v>
      </c>
      <c r="J63" s="101" t="str">
        <f>I31</f>
        <v>High End</v>
      </c>
      <c r="R63" s="115" t="s">
        <v>119</v>
      </c>
      <c r="S63" s="100" t="str">
        <f>V30</f>
        <v>Central Tendency</v>
      </c>
      <c r="T63" s="101" t="str">
        <f>V31</f>
        <v>High End</v>
      </c>
    </row>
    <row r="64" spans="1:20" ht="38.25" x14ac:dyDescent="0.25">
      <c r="H64" s="76" t="s">
        <v>230</v>
      </c>
      <c r="I64" s="102">
        <f>K30</f>
        <v>1.4697539674365302E-6</v>
      </c>
      <c r="J64" s="102">
        <f>K31</f>
        <v>5.5434889094380294E-6</v>
      </c>
      <c r="R64" s="72" t="s">
        <v>246</v>
      </c>
      <c r="S64" s="102">
        <f>X30</f>
        <v>4.0072361988967171E-6</v>
      </c>
      <c r="T64" s="102">
        <f>X31</f>
        <v>7.8221160084853961E-6</v>
      </c>
    </row>
    <row r="65" spans="1:20" ht="51" x14ac:dyDescent="0.25">
      <c r="H65" s="76" t="s">
        <v>231</v>
      </c>
      <c r="I65" s="102">
        <f>L30</f>
        <v>1.4697539674365301E-7</v>
      </c>
      <c r="J65" s="102">
        <f>L31</f>
        <v>5.543488909438029E-7</v>
      </c>
      <c r="R65" s="72" t="s">
        <v>247</v>
      </c>
      <c r="S65" s="102">
        <f>Y30</f>
        <v>8.0144723977934338E-7</v>
      </c>
      <c r="T65" s="102">
        <f>Y31</f>
        <v>1.5644232016970793E-6</v>
      </c>
    </row>
    <row r="66" spans="1:20" ht="102" x14ac:dyDescent="0.25">
      <c r="H66" s="76" t="s">
        <v>232</v>
      </c>
      <c r="I66" s="102">
        <f>M30</f>
        <v>5.8790158697461206E-8</v>
      </c>
      <c r="J66" s="102">
        <f>M31</f>
        <v>2.2173955637752118E-7</v>
      </c>
      <c r="R66" s="72" t="s">
        <v>248</v>
      </c>
      <c r="S66" s="102">
        <f>Z30</f>
        <v>4.0072361988967169E-7</v>
      </c>
      <c r="T66" s="102">
        <f>Z31</f>
        <v>7.8221160084853965E-7</v>
      </c>
    </row>
    <row r="67" spans="1:20" ht="102" x14ac:dyDescent="0.25">
      <c r="A67" s="82" t="s">
        <v>249</v>
      </c>
      <c r="H67" s="76" t="s">
        <v>233</v>
      </c>
      <c r="I67" s="102">
        <f>N30</f>
        <v>2.9395079348730603E-8</v>
      </c>
      <c r="J67" s="102">
        <f>N31</f>
        <v>1.1086977818876059E-7</v>
      </c>
      <c r="R67" s="72" t="s">
        <v>250</v>
      </c>
      <c r="S67" s="102">
        <f>AA30</f>
        <v>2.0036180994483584E-7</v>
      </c>
      <c r="T67" s="102">
        <f>AA31</f>
        <v>3.9110580042426983E-7</v>
      </c>
    </row>
    <row r="68" spans="1:20" x14ac:dyDescent="0.25">
      <c r="H68" s="76" t="s">
        <v>234</v>
      </c>
      <c r="I68" s="102">
        <f>O30</f>
        <v>1.4697539674365302E-9</v>
      </c>
      <c r="J68" s="102">
        <f>O31</f>
        <v>5.5434889094380298E-9</v>
      </c>
      <c r="T68" s="333"/>
    </row>
    <row r="69" spans="1:20" x14ac:dyDescent="0.25">
      <c r="H69" s="76" t="s">
        <v>235</v>
      </c>
      <c r="I69" s="102">
        <f>P30</f>
        <v>1.4697539674365302E-10</v>
      </c>
      <c r="J69" s="102">
        <f>P31</f>
        <v>5.5434889094380292E-10</v>
      </c>
    </row>
  </sheetData>
  <sheetProtection sheet="1" objects="1" scenarios="1" formatCells="0" formatColumns="0" formatRows="0"/>
  <dataConsolidate link="1"/>
  <mergeCells count="71">
    <mergeCell ref="B22:B23"/>
    <mergeCell ref="H24:H25"/>
    <mergeCell ref="C26:C27"/>
    <mergeCell ref="C24:C25"/>
    <mergeCell ref="I3:J3"/>
    <mergeCell ref="I4:J4"/>
    <mergeCell ref="F20:F21"/>
    <mergeCell ref="D20:E21"/>
    <mergeCell ref="C20:C21"/>
    <mergeCell ref="I12:I13"/>
    <mergeCell ref="I10:I11"/>
    <mergeCell ref="H8:H9"/>
    <mergeCell ref="I8:I9"/>
    <mergeCell ref="B24:B25"/>
    <mergeCell ref="D26:E27"/>
    <mergeCell ref="D22:E23"/>
    <mergeCell ref="X20:AA20"/>
    <mergeCell ref="H20:H21"/>
    <mergeCell ref="I20:I21"/>
    <mergeCell ref="J20:J21"/>
    <mergeCell ref="U20:U21"/>
    <mergeCell ref="K20:P20"/>
    <mergeCell ref="W20:W21"/>
    <mergeCell ref="V20:V21"/>
    <mergeCell ref="T20:T21"/>
    <mergeCell ref="S20:S21"/>
    <mergeCell ref="S8:S9"/>
    <mergeCell ref="L19:M19"/>
    <mergeCell ref="T8:T9"/>
    <mergeCell ref="S10:S11"/>
    <mergeCell ref="S12:S13"/>
    <mergeCell ref="S16:S17"/>
    <mergeCell ref="S14:S15"/>
    <mergeCell ref="X28:AA28"/>
    <mergeCell ref="F26:F27"/>
    <mergeCell ref="V28:V29"/>
    <mergeCell ref="W28:W29"/>
    <mergeCell ref="K28:P28"/>
    <mergeCell ref="H26:H27"/>
    <mergeCell ref="U26:U27"/>
    <mergeCell ref="H28:H29"/>
    <mergeCell ref="U28:U29"/>
    <mergeCell ref="I28:I29"/>
    <mergeCell ref="J28:J29"/>
    <mergeCell ref="R26:R27"/>
    <mergeCell ref="B26:B27"/>
    <mergeCell ref="S22:S23"/>
    <mergeCell ref="T22:T23"/>
    <mergeCell ref="U22:U23"/>
    <mergeCell ref="S26:S27"/>
    <mergeCell ref="T26:T27"/>
    <mergeCell ref="U24:U25"/>
    <mergeCell ref="T24:T25"/>
    <mergeCell ref="S24:S25"/>
    <mergeCell ref="R24:R25"/>
    <mergeCell ref="R22:R23"/>
    <mergeCell ref="H22:H23"/>
    <mergeCell ref="F24:F25"/>
    <mergeCell ref="D24:E25"/>
    <mergeCell ref="C22:C23"/>
    <mergeCell ref="F22:F23"/>
    <mergeCell ref="C30:C33"/>
    <mergeCell ref="D30:D33"/>
    <mergeCell ref="E30:E33"/>
    <mergeCell ref="F30:F33"/>
    <mergeCell ref="H30:H33"/>
    <mergeCell ref="W32:W33"/>
    <mergeCell ref="W30:W31"/>
    <mergeCell ref="U30:U33"/>
    <mergeCell ref="T30:T33"/>
    <mergeCell ref="S30:S33"/>
  </mergeCells>
  <conditionalFormatting sqref="J10:O13">
    <cfRule type="cellIs" dxfId="98" priority="31" operator="greaterThan">
      <formula>10000</formula>
    </cfRule>
    <cfRule type="cellIs" dxfId="97" priority="26" operator="equal">
      <formula>0</formula>
    </cfRule>
    <cfRule type="cellIs" dxfId="96" priority="27" operator="lessThan">
      <formula>0.1</formula>
    </cfRule>
    <cfRule type="cellIs" dxfId="95" priority="28" operator="between">
      <formula>0.1</formula>
      <formula>0.999</formula>
    </cfRule>
    <cfRule type="cellIs" dxfId="94" priority="29" operator="between">
      <formula>1</formula>
      <formula>10</formula>
    </cfRule>
    <cfRule type="cellIs" dxfId="93" priority="30" operator="greaterThan">
      <formula>10</formula>
    </cfRule>
  </conditionalFormatting>
  <conditionalFormatting sqref="K32:K33">
    <cfRule type="cellIs" dxfId="92" priority="22" operator="between">
      <formula>1</formula>
      <formula>9.999</formula>
    </cfRule>
    <cfRule type="cellIs" dxfId="91" priority="23" operator="between">
      <formula>0.1</formula>
      <formula>0.999</formula>
    </cfRule>
    <cfRule type="containsBlanks" dxfId="90" priority="24" stopIfTrue="1">
      <formula>LEN(TRIM(K32))=0</formula>
    </cfRule>
    <cfRule type="cellIs" dxfId="89" priority="25" operator="greaterThanOrEqual">
      <formula>0.0001</formula>
    </cfRule>
  </conditionalFormatting>
  <conditionalFormatting sqref="K22:P27">
    <cfRule type="cellIs" dxfId="88" priority="75" operator="between">
      <formula>1</formula>
      <formula>9.999</formula>
    </cfRule>
    <cfRule type="cellIs" dxfId="87" priority="74" operator="greaterThanOrEqual">
      <formula>10</formula>
    </cfRule>
    <cfRule type="cellIs" dxfId="86" priority="80" operator="lessThan">
      <formula>$J22</formula>
    </cfRule>
    <cfRule type="cellIs" dxfId="85" priority="79" operator="greaterThanOrEqual">
      <formula>$J22</formula>
    </cfRule>
    <cfRule type="containsBlanks" dxfId="84" priority="78" stopIfTrue="1">
      <formula>LEN(TRIM(K22))=0</formula>
    </cfRule>
    <cfRule type="cellIs" dxfId="83" priority="77" operator="lessThanOrEqual">
      <formula>0.1</formula>
    </cfRule>
    <cfRule type="cellIs" dxfId="82" priority="76" operator="between">
      <formula>0.1</formula>
      <formula>0.999</formula>
    </cfRule>
  </conditionalFormatting>
  <conditionalFormatting sqref="K30:P30 Q30:Q33 X30:AA33 L32:P32 K35:Q36 X35:AA36">
    <cfRule type="cellIs" dxfId="81" priority="164" operator="greaterThanOrEqual">
      <formula>0.0001</formula>
    </cfRule>
  </conditionalFormatting>
  <conditionalFormatting sqref="K31:P31">
    <cfRule type="containsBlanks" dxfId="80" priority="69" stopIfTrue="1">
      <formula>LEN(TRIM(K31))=0</formula>
    </cfRule>
    <cfRule type="cellIs" dxfId="79" priority="70" operator="greaterThanOrEqual">
      <formula>0.0001</formula>
    </cfRule>
    <cfRule type="cellIs" dxfId="78" priority="67" operator="between">
      <formula>1</formula>
      <formula>9.999</formula>
    </cfRule>
    <cfRule type="cellIs" dxfId="77" priority="68" operator="between">
      <formula>0.1</formula>
      <formula>0.999</formula>
    </cfRule>
  </conditionalFormatting>
  <conditionalFormatting sqref="K22:Q27">
    <cfRule type="cellIs" dxfId="76" priority="73" operator="greaterThanOrEqual">
      <formula>10000</formula>
    </cfRule>
  </conditionalFormatting>
  <conditionalFormatting sqref="L33:P33">
    <cfRule type="cellIs" dxfId="75" priority="2" operator="between">
      <formula>1</formula>
      <formula>9.999</formula>
    </cfRule>
    <cfRule type="cellIs" dxfId="74" priority="3" operator="between">
      <formula>0.1</formula>
      <formula>0.999</formula>
    </cfRule>
    <cfRule type="containsBlanks" dxfId="73" priority="4" stopIfTrue="1">
      <formula>LEN(TRIM(L33))=0</formula>
    </cfRule>
    <cfRule type="cellIs" dxfId="72" priority="5" operator="greaterThanOrEqual">
      <formula>0.0001</formula>
    </cfRule>
  </conditionalFormatting>
  <conditionalFormatting sqref="Q22:Q27">
    <cfRule type="cellIs" dxfId="71" priority="159" operator="greaterThanOrEqual">
      <formula>$J22</formula>
    </cfRule>
    <cfRule type="cellIs" dxfId="70" priority="160" operator="lessThan">
      <formula>$J22</formula>
    </cfRule>
  </conditionalFormatting>
  <conditionalFormatting sqref="U10:Z17">
    <cfRule type="containsBlanks" dxfId="69" priority="38" stopIfTrue="1">
      <formula>LEN(TRIM(U10))=0</formula>
    </cfRule>
    <cfRule type="cellIs" dxfId="68" priority="33" operator="greaterThanOrEqual">
      <formula>10000</formula>
    </cfRule>
    <cfRule type="cellIs" dxfId="67" priority="34" operator="greaterThanOrEqual">
      <formula>10</formula>
    </cfRule>
    <cfRule type="cellIs" dxfId="66" priority="35" operator="between">
      <formula>1</formula>
      <formula>9.999</formula>
    </cfRule>
    <cfRule type="cellIs" dxfId="65" priority="36" operator="between">
      <formula>0.1</formula>
      <formula>0.999</formula>
    </cfRule>
    <cfRule type="cellIs" dxfId="64" priority="44" operator="greaterThan">
      <formula>10000</formula>
    </cfRule>
    <cfRule type="cellIs" dxfId="63" priority="43" operator="greaterThan">
      <formula>10</formula>
    </cfRule>
    <cfRule type="cellIs" dxfId="62" priority="42" operator="between">
      <formula>1</formula>
      <formula>10</formula>
    </cfRule>
    <cfRule type="cellIs" dxfId="61" priority="41" operator="between">
      <formula>0.1</formula>
      <formula>0.999</formula>
    </cfRule>
    <cfRule type="cellIs" dxfId="60" priority="40" operator="lessThan">
      <formula>0.1</formula>
    </cfRule>
    <cfRule type="cellIs" dxfId="59" priority="39" operator="equal">
      <formula>0</formula>
    </cfRule>
    <cfRule type="cellIs" dxfId="58" priority="37" operator="lessThanOrEqual">
      <formula>0.1</formula>
    </cfRule>
  </conditionalFormatting>
  <conditionalFormatting sqref="X22:AA22 Q22:Q27 X24:AA27 K30:P30 Q30:Q33 X30:AA33 L32:P32 K35:Q36 X35:AA36">
    <cfRule type="cellIs" dxfId="57" priority="155" operator="between">
      <formula>1</formula>
      <formula>10</formula>
    </cfRule>
    <cfRule type="cellIs" dxfId="56" priority="156" operator="between">
      <formula>10</formula>
      <formula>9999.999</formula>
    </cfRule>
    <cfRule type="cellIs" dxfId="55" priority="1" operator="lessThan">
      <formula>0.01</formula>
    </cfRule>
    <cfRule type="cellIs" dxfId="54" priority="154" operator="between">
      <formula>0.01</formula>
      <formula>1</formula>
    </cfRule>
  </conditionalFormatting>
  <conditionalFormatting sqref="X22:AA22 X24:AA27 K30:P30 Q30:Q33 X30:AA33 L32:P32 K35:Q36 X35:AA36 Q22:Q27">
    <cfRule type="containsBlanks" dxfId="53" priority="158" stopIfTrue="1">
      <formula>LEN(TRIM(K22))=0</formula>
    </cfRule>
  </conditionalFormatting>
  <conditionalFormatting sqref="X22:AA22 X24:AA27 K30:P30 Q30:Q33 X30:AA33 L32:P32 K35:Q36 X35:AA36">
    <cfRule type="cellIs" dxfId="52" priority="157" operator="greaterThanOrEqual">
      <formula>10000</formula>
    </cfRule>
  </conditionalFormatting>
  <conditionalFormatting sqref="X22:AA22 X24:AA27">
    <cfRule type="cellIs" dxfId="51" priority="161" operator="greaterThanOrEqual">
      <formula>$W22</formula>
    </cfRule>
    <cfRule type="cellIs" dxfId="50" priority="162" operator="lessThan">
      <formula>$W22</formula>
    </cfRule>
  </conditionalFormatting>
  <conditionalFormatting sqref="X22:AA27">
    <cfRule type="cellIs" dxfId="49" priority="921" operator="greaterThanOrEqual">
      <formula>10000</formula>
    </cfRule>
    <cfRule type="cellIs" dxfId="48" priority="922" operator="greaterThanOrEqual">
      <formula>10</formula>
    </cfRule>
    <cfRule type="cellIs" dxfId="47" priority="923" operator="lessThanOrEqual">
      <formula>0.1</formula>
    </cfRule>
  </conditionalFormatting>
  <conditionalFormatting sqref="X23:AA23">
    <cfRule type="cellIs" dxfId="46" priority="918" operator="between">
      <formula>1</formula>
      <formula>9.999</formula>
    </cfRule>
    <cfRule type="cellIs" dxfId="45" priority="919" operator="between">
      <formula>0.1</formula>
      <formula>0.999</formula>
    </cfRule>
    <cfRule type="containsBlanks" dxfId="44" priority="920" stopIfTrue="1">
      <formula>LEN(TRIM(X23))=0</formula>
    </cfRule>
    <cfRule type="cellIs" dxfId="43" priority="924" operator="greaterThanOrEqual">
      <formula>$J23</formula>
    </cfRule>
    <cfRule type="cellIs" dxfId="42" priority="925" operator="lessThan">
      <formula>$J23</formula>
    </cfRule>
    <cfRule type="cellIs" dxfId="41" priority="926" operator="greaterThanOrEqual">
      <formula>$W23</formula>
    </cfRule>
    <cfRule type="cellIs" dxfId="40" priority="927" operator="lessThan">
      <formula>$W23</formula>
    </cfRule>
  </conditionalFormatting>
  <conditionalFormatting sqref="X32:AA33">
    <cfRule type="cellIs" dxfId="39" priority="32" operator="equal">
      <formula>0</formula>
    </cfRule>
  </conditionalFormatting>
  <dataValidations count="1">
    <dataValidation allowBlank="1" showErrorMessage="1" sqref="S8 H8 H10:H11 J8:J11 U8:U10" xr:uid="{B6FDB558-C6DA-450F-B0A7-6A9F371395FE}"/>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B888423-487C-4515-BD78-F21A071FAC4A}">
          <x14:formula1>
            <xm:f>'List Values'!$H$9:$H$10</xm:f>
          </x14:formula1>
          <xm:sqref>I4</xm:sqref>
        </x14:dataValidation>
        <x14:dataValidation type="list" allowBlank="1" showInputMessage="1" showErrorMessage="1" xr:uid="{EEB43209-65D0-4ECD-98C8-2D730F6098A1}">
          <x14:formula1>
            <xm:f>'List Values'!$B$2:$B$30</xm:f>
          </x14:formula1>
          <xm:sqref>H4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9850F-DA4A-4D3D-97A6-3832AB231949}">
  <dimension ref="A1:Q25"/>
  <sheetViews>
    <sheetView workbookViewId="0">
      <selection sqref="A1:M1"/>
    </sheetView>
  </sheetViews>
  <sheetFormatPr defaultColWidth="8.7109375" defaultRowHeight="15" x14ac:dyDescent="0.25"/>
  <cols>
    <col min="1" max="1" width="3.5703125" style="2" customWidth="1"/>
    <col min="2" max="2" width="21.7109375" style="2" customWidth="1"/>
    <col min="3" max="3" width="20.28515625" style="2" customWidth="1"/>
    <col min="4" max="4" width="30" style="2" customWidth="1"/>
    <col min="5" max="5" width="26.28515625" style="2" customWidth="1"/>
    <col min="6" max="6" width="8.7109375" style="2"/>
    <col min="7" max="8" width="21.42578125" style="2" customWidth="1"/>
    <col min="9" max="9" width="18.7109375" style="2" customWidth="1"/>
    <col min="10" max="10" width="20.7109375" style="2" customWidth="1"/>
    <col min="11" max="11" width="16.7109375" style="2" customWidth="1"/>
    <col min="12" max="12" width="14.28515625" style="2" customWidth="1"/>
    <col min="13" max="13" width="14.85546875" style="2" customWidth="1"/>
    <col min="14" max="14" width="18.5703125" style="2" customWidth="1"/>
    <col min="15" max="15" width="18" style="2" customWidth="1"/>
    <col min="16" max="16" width="20.7109375" style="2" bestFit="1" customWidth="1"/>
    <col min="17" max="17" width="14.7109375" style="2" customWidth="1"/>
    <col min="18" max="18" width="6.5703125" style="2" customWidth="1"/>
    <col min="19" max="16384" width="8.7109375" style="2"/>
  </cols>
  <sheetData>
    <row r="1" spans="1:16" x14ac:dyDescent="0.25">
      <c r="A1" s="632"/>
      <c r="B1" s="632"/>
      <c r="C1" s="632"/>
      <c r="D1" s="632"/>
      <c r="E1" s="632"/>
      <c r="F1" s="632"/>
      <c r="G1" s="632"/>
      <c r="H1" s="632"/>
      <c r="I1" s="632"/>
      <c r="J1" s="632"/>
      <c r="K1" s="632"/>
      <c r="L1" s="632"/>
      <c r="M1" s="632"/>
    </row>
    <row r="3" spans="1:16" ht="18.75" x14ac:dyDescent="0.3">
      <c r="B3" s="1" t="s">
        <v>251</v>
      </c>
    </row>
    <row r="4" spans="1:16" ht="39" customHeight="1" x14ac:dyDescent="0.25">
      <c r="B4" s="228"/>
      <c r="G4" s="727"/>
      <c r="H4" s="727"/>
      <c r="I4" s="43"/>
    </row>
    <row r="5" spans="1:16" ht="14.45" customHeight="1" x14ac:dyDescent="0.25">
      <c r="B5" s="731" t="s">
        <v>149</v>
      </c>
      <c r="C5" s="732"/>
      <c r="D5" s="732"/>
      <c r="E5" s="732"/>
      <c r="F5" s="733"/>
      <c r="G5" s="726" t="s">
        <v>252</v>
      </c>
      <c r="H5" s="726"/>
      <c r="I5" s="316" t="s">
        <v>253</v>
      </c>
      <c r="N5" s="723" t="s">
        <v>254</v>
      </c>
      <c r="O5" s="724"/>
      <c r="P5" s="725"/>
    </row>
    <row r="6" spans="1:16" ht="45" x14ac:dyDescent="0.25">
      <c r="B6" s="301"/>
      <c r="C6" s="726" t="s">
        <v>228</v>
      </c>
      <c r="D6" s="726"/>
      <c r="E6" s="495" t="s">
        <v>229</v>
      </c>
      <c r="F6" s="495" t="s">
        <v>255</v>
      </c>
      <c r="G6" s="317" t="s">
        <v>87</v>
      </c>
      <c r="H6" s="302" t="s">
        <v>256</v>
      </c>
      <c r="I6" s="303" t="s">
        <v>257</v>
      </c>
      <c r="N6" s="8"/>
      <c r="O6" s="9" t="s">
        <v>258</v>
      </c>
      <c r="P6" s="7" t="s">
        <v>259</v>
      </c>
    </row>
    <row r="7" spans="1:16" ht="30" x14ac:dyDescent="0.25">
      <c r="B7" s="304" t="s">
        <v>240</v>
      </c>
      <c r="C7" s="304"/>
      <c r="D7" s="308" t="s">
        <v>260</v>
      </c>
      <c r="E7" s="308" t="s">
        <v>261</v>
      </c>
      <c r="F7" s="308" t="s">
        <v>96</v>
      </c>
      <c r="G7" s="318">
        <v>2.42</v>
      </c>
      <c r="H7" s="319">
        <v>30</v>
      </c>
      <c r="I7" s="307" t="s">
        <v>262</v>
      </c>
      <c r="N7" s="3"/>
      <c r="O7" s="2" t="s">
        <v>83</v>
      </c>
      <c r="P7" s="4">
        <f>0.000001</f>
        <v>9.9999999999999995E-7</v>
      </c>
    </row>
    <row r="8" spans="1:16" ht="30" x14ac:dyDescent="0.25">
      <c r="B8" s="304" t="s">
        <v>241</v>
      </c>
      <c r="C8" s="304"/>
      <c r="D8" s="308" t="s">
        <v>263</v>
      </c>
      <c r="E8" s="308" t="s">
        <v>264</v>
      </c>
      <c r="F8" s="308" t="s">
        <v>100</v>
      </c>
      <c r="G8" s="328">
        <v>5.2</v>
      </c>
      <c r="H8" s="320">
        <v>30</v>
      </c>
      <c r="I8" s="307" t="s">
        <v>262</v>
      </c>
      <c r="N8" s="3"/>
      <c r="O8" s="2" t="s">
        <v>80</v>
      </c>
      <c r="P8" s="4">
        <f>0.00001</f>
        <v>1.0000000000000001E-5</v>
      </c>
    </row>
    <row r="9" spans="1:16" ht="30" x14ac:dyDescent="0.25">
      <c r="B9" s="304" t="s">
        <v>242</v>
      </c>
      <c r="C9" s="321"/>
      <c r="D9" s="308" t="s">
        <v>263</v>
      </c>
      <c r="E9" s="308" t="s">
        <v>264</v>
      </c>
      <c r="F9" s="308" t="s">
        <v>104</v>
      </c>
      <c r="G9" s="328">
        <v>5.2</v>
      </c>
      <c r="H9" s="319">
        <v>30</v>
      </c>
      <c r="I9" s="307" t="s">
        <v>262</v>
      </c>
      <c r="N9" s="3"/>
      <c r="P9" s="4"/>
    </row>
    <row r="10" spans="1:16" ht="30.75" customHeight="1" x14ac:dyDescent="0.25">
      <c r="B10" s="304" t="s">
        <v>245</v>
      </c>
      <c r="C10" s="311" t="s">
        <v>143</v>
      </c>
      <c r="D10" s="38" t="s">
        <v>265</v>
      </c>
      <c r="E10" s="301" t="s">
        <v>266</v>
      </c>
      <c r="F10" s="301" t="s">
        <v>114</v>
      </c>
      <c r="G10" s="312" t="s">
        <v>262</v>
      </c>
      <c r="H10" s="312" t="s">
        <v>262</v>
      </c>
      <c r="I10" s="322">
        <v>2.9000000000000001E-2</v>
      </c>
      <c r="J10" s="42"/>
      <c r="K10" s="42"/>
      <c r="L10" s="42"/>
      <c r="M10" s="113"/>
      <c r="N10" s="5"/>
      <c r="O10" s="6"/>
      <c r="P10" s="126">
        <f>0.0001</f>
        <v>1E-4</v>
      </c>
    </row>
    <row r="11" spans="1:16" x14ac:dyDescent="0.25">
      <c r="B11" s="313"/>
      <c r="C11" s="314"/>
      <c r="D11" s="42"/>
      <c r="E11" s="42"/>
      <c r="G11" s="315"/>
      <c r="H11" s="315"/>
      <c r="I11" s="315"/>
      <c r="J11" s="42"/>
    </row>
    <row r="12" spans="1:16" ht="48" customHeight="1" x14ac:dyDescent="0.25">
      <c r="D12" s="12"/>
      <c r="N12" s="51" t="s">
        <v>267</v>
      </c>
      <c r="O12" s="51"/>
      <c r="P12" s="51"/>
    </row>
    <row r="13" spans="1:16" x14ac:dyDescent="0.25">
      <c r="B13" s="728" t="s">
        <v>59</v>
      </c>
      <c r="C13" s="729"/>
      <c r="D13" s="729"/>
      <c r="E13" s="729"/>
      <c r="F13" s="730"/>
      <c r="G13" s="726" t="s">
        <v>252</v>
      </c>
      <c r="H13" s="726"/>
      <c r="I13" s="303" t="s">
        <v>268</v>
      </c>
      <c r="N13" s="739">
        <f>O15/O14</f>
        <v>0.24706952303961197</v>
      </c>
      <c r="O13" s="739"/>
      <c r="P13" s="52" t="s">
        <v>269</v>
      </c>
    </row>
    <row r="14" spans="1:16" ht="45" x14ac:dyDescent="0.25">
      <c r="B14" s="301"/>
      <c r="C14" s="726" t="s">
        <v>228</v>
      </c>
      <c r="D14" s="726"/>
      <c r="E14" s="495" t="s">
        <v>229</v>
      </c>
      <c r="F14" s="495" t="s">
        <v>255</v>
      </c>
      <c r="G14" s="302" t="s">
        <v>270</v>
      </c>
      <c r="H14" s="302" t="s">
        <v>256</v>
      </c>
      <c r="I14" s="303" t="s">
        <v>271</v>
      </c>
      <c r="N14" s="337" t="s">
        <v>272</v>
      </c>
      <c r="O14" s="218">
        <v>98.96</v>
      </c>
      <c r="P14" s="52" t="s">
        <v>273</v>
      </c>
    </row>
    <row r="15" spans="1:16" ht="30" x14ac:dyDescent="0.25">
      <c r="B15" s="304" t="s">
        <v>240</v>
      </c>
      <c r="C15" s="301"/>
      <c r="D15" s="305" t="s">
        <v>274</v>
      </c>
      <c r="E15" s="301" t="s">
        <v>275</v>
      </c>
      <c r="F15" s="301" t="s">
        <v>95</v>
      </c>
      <c r="G15" s="306">
        <v>19.899999999999999</v>
      </c>
      <c r="H15" s="306">
        <v>30</v>
      </c>
      <c r="I15" s="307" t="s">
        <v>262</v>
      </c>
      <c r="N15" s="494" t="s">
        <v>276</v>
      </c>
      <c r="O15" s="52">
        <v>24.45</v>
      </c>
      <c r="P15" s="52" t="s">
        <v>277</v>
      </c>
    </row>
    <row r="16" spans="1:16" ht="30" x14ac:dyDescent="0.25">
      <c r="B16" s="304" t="s">
        <v>241</v>
      </c>
      <c r="C16" s="301"/>
      <c r="D16" s="305" t="s">
        <v>278</v>
      </c>
      <c r="E16" s="301" t="s">
        <v>279</v>
      </c>
      <c r="F16" s="301" t="s">
        <v>101</v>
      </c>
      <c r="G16" s="306">
        <v>6.5</v>
      </c>
      <c r="H16" s="306">
        <v>30</v>
      </c>
      <c r="I16" s="307" t="s">
        <v>262</v>
      </c>
    </row>
    <row r="17" spans="2:17" ht="30" x14ac:dyDescent="0.25">
      <c r="B17" s="304" t="s">
        <v>242</v>
      </c>
      <c r="C17" s="301"/>
      <c r="D17" s="305" t="s">
        <v>278</v>
      </c>
      <c r="E17" s="301" t="s">
        <v>279</v>
      </c>
      <c r="F17" s="301" t="s">
        <v>105</v>
      </c>
      <c r="G17" s="306">
        <v>6.5</v>
      </c>
      <c r="H17" s="309">
        <v>100</v>
      </c>
      <c r="I17" s="307" t="s">
        <v>262</v>
      </c>
    </row>
    <row r="18" spans="2:17" ht="45" x14ac:dyDescent="0.25">
      <c r="B18" s="310" t="s">
        <v>245</v>
      </c>
      <c r="C18" s="311" t="s">
        <v>143</v>
      </c>
      <c r="D18" s="305" t="s">
        <v>280</v>
      </c>
      <c r="E18" s="121" t="s">
        <v>266</v>
      </c>
      <c r="F18" s="301" t="s">
        <v>116</v>
      </c>
      <c r="G18" s="312" t="s">
        <v>262</v>
      </c>
      <c r="H18" s="312" t="s">
        <v>262</v>
      </c>
      <c r="I18" s="116">
        <v>3.9E-2</v>
      </c>
      <c r="N18" s="338" t="s">
        <v>281</v>
      </c>
      <c r="O18" s="53"/>
      <c r="P18" s="338" t="s">
        <v>83</v>
      </c>
      <c r="Q18" s="2" t="s">
        <v>80</v>
      </c>
    </row>
    <row r="19" spans="2:17" x14ac:dyDescent="0.25">
      <c r="N19" s="737" t="s">
        <v>282</v>
      </c>
      <c r="O19" s="738"/>
      <c r="P19" s="339">
        <v>1.3193188710426619E-3</v>
      </c>
      <c r="Q19" s="339">
        <v>1.7541188791086573E-4</v>
      </c>
    </row>
    <row r="20" spans="2:17" ht="30" x14ac:dyDescent="0.25">
      <c r="N20" s="735" t="s">
        <v>79</v>
      </c>
      <c r="O20" s="736"/>
      <c r="P20" s="39" t="s">
        <v>83</v>
      </c>
      <c r="Q20" s="39" t="s">
        <v>80</v>
      </c>
    </row>
    <row r="21" spans="2:17" x14ac:dyDescent="0.25">
      <c r="N21" s="734" t="s">
        <v>283</v>
      </c>
      <c r="O21" s="734"/>
      <c r="P21" s="734"/>
    </row>
    <row r="24" spans="2:17" x14ac:dyDescent="0.25">
      <c r="N24" s="36" t="s">
        <v>282</v>
      </c>
      <c r="O24" s="37">
        <v>0</v>
      </c>
    </row>
    <row r="25" spans="2:17" x14ac:dyDescent="0.25">
      <c r="N25" s="38" t="s">
        <v>79</v>
      </c>
      <c r="O25" s="39">
        <v>0</v>
      </c>
    </row>
  </sheetData>
  <sheetProtection sheet="1" objects="1" scenarios="1" formatCells="0" formatColumns="0" formatRows="0"/>
  <mergeCells count="13">
    <mergeCell ref="N21:P21"/>
    <mergeCell ref="N20:O20"/>
    <mergeCell ref="N19:O19"/>
    <mergeCell ref="N13:O13"/>
    <mergeCell ref="C14:D14"/>
    <mergeCell ref="A1:M1"/>
    <mergeCell ref="N5:P5"/>
    <mergeCell ref="C6:D6"/>
    <mergeCell ref="G4:H4"/>
    <mergeCell ref="B13:F13"/>
    <mergeCell ref="G13:H13"/>
    <mergeCell ref="G5:H5"/>
    <mergeCell ref="B5:F5"/>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8EF52-814B-4965-936D-BDFF45BDBA8C}">
  <dimension ref="A2:U34"/>
  <sheetViews>
    <sheetView topLeftCell="D1" workbookViewId="0">
      <selection activeCell="D1" sqref="D1"/>
    </sheetView>
  </sheetViews>
  <sheetFormatPr defaultRowHeight="15" x14ac:dyDescent="0.25"/>
  <cols>
    <col min="1" max="1" width="9.140625" style="28"/>
    <col min="2" max="2" width="65.85546875" customWidth="1"/>
    <col min="3" max="3" width="58.85546875" bestFit="1" customWidth="1"/>
    <col min="4" max="4" width="11" bestFit="1" customWidth="1"/>
    <col min="5" max="5" width="13.140625" customWidth="1"/>
    <col min="6" max="6" width="11" customWidth="1"/>
    <col min="7" max="7" width="13.140625" customWidth="1"/>
    <col min="8" max="8" width="11" customWidth="1"/>
    <col min="9" max="9" width="16.42578125" customWidth="1"/>
    <col min="10" max="21" width="16.7109375" customWidth="1"/>
  </cols>
  <sheetData>
    <row r="2" spans="1:21" ht="15.75" thickBot="1" x14ac:dyDescent="0.3"/>
    <row r="3" spans="1:21" ht="14.45" customHeight="1" thickBot="1" x14ac:dyDescent="0.3">
      <c r="J3" s="743" t="s">
        <v>284</v>
      </c>
      <c r="K3" s="744"/>
      <c r="L3" s="744"/>
      <c r="M3" s="744"/>
      <c r="N3" s="744"/>
      <c r="O3" s="745"/>
      <c r="P3" s="743" t="s">
        <v>285</v>
      </c>
      <c r="Q3" s="744"/>
      <c r="R3" s="744"/>
      <c r="S3" s="744"/>
      <c r="T3" s="744"/>
      <c r="U3" s="745"/>
    </row>
    <row r="4" spans="1:21" ht="53.65" customHeight="1" thickBot="1" x14ac:dyDescent="0.3">
      <c r="E4" s="740" t="s">
        <v>153</v>
      </c>
      <c r="F4" s="741"/>
      <c r="G4" s="740" t="s">
        <v>80</v>
      </c>
      <c r="H4" s="742"/>
      <c r="J4" s="344" t="s">
        <v>458</v>
      </c>
      <c r="K4" s="345" t="s">
        <v>459</v>
      </c>
      <c r="L4" s="345" t="s">
        <v>476</v>
      </c>
      <c r="M4" s="345" t="s">
        <v>460</v>
      </c>
      <c r="N4" s="345" t="s">
        <v>461</v>
      </c>
      <c r="O4" s="346" t="s">
        <v>466</v>
      </c>
      <c r="P4" s="344" t="s">
        <v>74</v>
      </c>
      <c r="Q4" s="345" t="s">
        <v>459</v>
      </c>
      <c r="R4" s="345" t="s">
        <v>476</v>
      </c>
      <c r="S4" s="345" t="s">
        <v>460</v>
      </c>
      <c r="T4" s="345" t="s">
        <v>461</v>
      </c>
      <c r="U4" s="346" t="s">
        <v>466</v>
      </c>
    </row>
    <row r="5" spans="1:21" ht="33.75" thickBot="1" x14ac:dyDescent="0.3">
      <c r="A5" s="300" t="s">
        <v>129</v>
      </c>
      <c r="B5" s="272" t="s">
        <v>286</v>
      </c>
      <c r="C5" s="502" t="s">
        <v>287</v>
      </c>
      <c r="D5" s="506" t="s">
        <v>288</v>
      </c>
      <c r="E5" s="506" t="s">
        <v>289</v>
      </c>
      <c r="F5" s="506" t="s">
        <v>290</v>
      </c>
      <c r="G5" s="506" t="s">
        <v>289</v>
      </c>
      <c r="H5" s="506" t="s">
        <v>290</v>
      </c>
      <c r="I5" s="506" t="s">
        <v>291</v>
      </c>
      <c r="J5" s="507" t="s">
        <v>467</v>
      </c>
      <c r="K5" s="508" t="s">
        <v>468</v>
      </c>
      <c r="L5" s="508" t="s">
        <v>478</v>
      </c>
      <c r="M5" s="508" t="s">
        <v>469</v>
      </c>
      <c r="N5" s="508" t="s">
        <v>470</v>
      </c>
      <c r="O5" s="501" t="s">
        <v>470</v>
      </c>
      <c r="P5" s="507" t="s">
        <v>467</v>
      </c>
      <c r="Q5" s="508" t="s">
        <v>468</v>
      </c>
      <c r="R5" s="508" t="s">
        <v>478</v>
      </c>
      <c r="S5" s="508" t="s">
        <v>469</v>
      </c>
      <c r="T5" s="508" t="s">
        <v>470</v>
      </c>
      <c r="U5" s="501" t="s">
        <v>470</v>
      </c>
    </row>
    <row r="6" spans="1:21" x14ac:dyDescent="0.25">
      <c r="A6" s="509">
        <v>1</v>
      </c>
      <c r="B6" s="510" t="s">
        <v>62</v>
      </c>
      <c r="C6" s="511" t="s">
        <v>292</v>
      </c>
      <c r="D6" s="503">
        <v>1</v>
      </c>
      <c r="E6" s="503">
        <v>2.1</v>
      </c>
      <c r="F6" s="504">
        <v>1070</v>
      </c>
      <c r="G6" s="503">
        <v>1.4</v>
      </c>
      <c r="H6" s="503">
        <v>535</v>
      </c>
      <c r="I6" s="505" t="s">
        <v>293</v>
      </c>
      <c r="J6" s="347">
        <v>5.4817479624851044</v>
      </c>
      <c r="K6" s="341">
        <v>6.85218495310638E-2</v>
      </c>
      <c r="L6" s="341">
        <v>5.0249356322780124E-2</v>
      </c>
      <c r="M6" s="341">
        <v>4.6932773651413559E-2</v>
      </c>
      <c r="N6" s="341">
        <v>2.0043091534377794E-2</v>
      </c>
      <c r="O6" s="342">
        <v>1.5089205731641353E-2</v>
      </c>
      <c r="P6" s="347">
        <v>3.2028609922579019</v>
      </c>
      <c r="Q6" s="341">
        <v>4.0035762403223776E-2</v>
      </c>
      <c r="R6" s="341">
        <v>2.9359559095697436E-2</v>
      </c>
      <c r="S6" s="341">
        <v>2.7421755070701218E-2</v>
      </c>
      <c r="T6" s="341">
        <v>1.0260616307105324E-2</v>
      </c>
      <c r="U6" s="342">
        <v>6.919914724170916E-3</v>
      </c>
    </row>
    <row r="7" spans="1:21" x14ac:dyDescent="0.25">
      <c r="A7" s="509">
        <v>1</v>
      </c>
      <c r="B7" s="510" t="s">
        <v>155</v>
      </c>
      <c r="C7" s="511" t="s">
        <v>292</v>
      </c>
      <c r="D7" s="243">
        <v>1</v>
      </c>
      <c r="E7" s="243">
        <v>2.1</v>
      </c>
      <c r="F7" s="267">
        <v>1070</v>
      </c>
      <c r="G7" s="243">
        <v>1.4</v>
      </c>
      <c r="H7" s="243">
        <v>535</v>
      </c>
      <c r="I7" s="269" t="s">
        <v>293</v>
      </c>
      <c r="J7" s="347">
        <v>5.4817479624851044</v>
      </c>
      <c r="K7" s="341">
        <v>6.85218495310638E-2</v>
      </c>
      <c r="L7" s="341">
        <v>5.0249356322780124E-2</v>
      </c>
      <c r="M7" s="341">
        <v>4.6932773651413559E-2</v>
      </c>
      <c r="N7" s="341">
        <v>2.0043091534377794E-2</v>
      </c>
      <c r="O7" s="342">
        <v>1.5089205731641353E-2</v>
      </c>
      <c r="P7" s="347">
        <v>3.2028609922579019</v>
      </c>
      <c r="Q7" s="341">
        <v>4.0035762403223776E-2</v>
      </c>
      <c r="R7" s="341">
        <v>2.9359559095697436E-2</v>
      </c>
      <c r="S7" s="341">
        <v>2.7421755070701218E-2</v>
      </c>
      <c r="T7" s="341">
        <v>1.0260616307105324E-2</v>
      </c>
      <c r="U7" s="342">
        <v>6.919914724170916E-3</v>
      </c>
    </row>
    <row r="8" spans="1:21" x14ac:dyDescent="0.25">
      <c r="A8" s="509">
        <v>1</v>
      </c>
      <c r="B8" s="510" t="s">
        <v>157</v>
      </c>
      <c r="C8" s="511" t="s">
        <v>292</v>
      </c>
      <c r="D8" s="243">
        <v>1</v>
      </c>
      <c r="E8" s="243">
        <v>2.1</v>
      </c>
      <c r="F8" s="267">
        <v>1070</v>
      </c>
      <c r="G8" s="243">
        <v>1.4</v>
      </c>
      <c r="H8" s="243">
        <v>535</v>
      </c>
      <c r="I8" s="269" t="s">
        <v>293</v>
      </c>
      <c r="J8" s="347">
        <v>5.4817479624851044</v>
      </c>
      <c r="K8" s="341">
        <v>6.85218495310638E-2</v>
      </c>
      <c r="L8" s="341">
        <v>5.0249356322780124E-2</v>
      </c>
      <c r="M8" s="341">
        <v>4.6932773651413559E-2</v>
      </c>
      <c r="N8" s="341">
        <v>2.0043091534377794E-2</v>
      </c>
      <c r="O8" s="342">
        <v>1.5089205731641353E-2</v>
      </c>
      <c r="P8" s="347">
        <v>3.2028609922579019</v>
      </c>
      <c r="Q8" s="341">
        <v>4.0035762403223776E-2</v>
      </c>
      <c r="R8" s="341">
        <v>2.9359559095697436E-2</v>
      </c>
      <c r="S8" s="341">
        <v>2.7421755070701218E-2</v>
      </c>
      <c r="T8" s="341">
        <v>1.0260616307105324E-2</v>
      </c>
      <c r="U8" s="342">
        <v>6.919914724170916E-3</v>
      </c>
    </row>
    <row r="9" spans="1:21" x14ac:dyDescent="0.25">
      <c r="A9" s="509">
        <v>1</v>
      </c>
      <c r="B9" s="510" t="s">
        <v>159</v>
      </c>
      <c r="C9" s="511" t="s">
        <v>292</v>
      </c>
      <c r="D9" s="243">
        <v>1</v>
      </c>
      <c r="E9" s="243">
        <v>2.1</v>
      </c>
      <c r="F9" s="267">
        <v>1070</v>
      </c>
      <c r="G9" s="243">
        <v>1.4</v>
      </c>
      <c r="H9" s="243">
        <v>535</v>
      </c>
      <c r="I9" s="269" t="s">
        <v>293</v>
      </c>
      <c r="J9" s="347">
        <v>5.4817479624851044</v>
      </c>
      <c r="K9" s="341">
        <v>6.85218495310638E-2</v>
      </c>
      <c r="L9" s="341">
        <v>5.0249356322780124E-2</v>
      </c>
      <c r="M9" s="341">
        <v>4.6932773651413559E-2</v>
      </c>
      <c r="N9" s="341">
        <v>2.0043091534377794E-2</v>
      </c>
      <c r="O9" s="342">
        <v>1.5089205731641353E-2</v>
      </c>
      <c r="P9" s="347">
        <v>3.2028609922579019</v>
      </c>
      <c r="Q9" s="341">
        <v>4.0035762403223776E-2</v>
      </c>
      <c r="R9" s="341">
        <v>2.9359559095697436E-2</v>
      </c>
      <c r="S9" s="341">
        <v>2.7421755070701218E-2</v>
      </c>
      <c r="T9" s="341">
        <v>1.0260616307105324E-2</v>
      </c>
      <c r="U9" s="342">
        <v>6.919914724170916E-3</v>
      </c>
    </row>
    <row r="10" spans="1:21" x14ac:dyDescent="0.25">
      <c r="A10" s="512" t="s">
        <v>163</v>
      </c>
      <c r="B10" s="510" t="s">
        <v>429</v>
      </c>
      <c r="C10" s="511" t="s">
        <v>447</v>
      </c>
      <c r="D10" s="243">
        <v>1</v>
      </c>
      <c r="E10" s="243">
        <v>2.1</v>
      </c>
      <c r="F10" s="267">
        <v>1070</v>
      </c>
      <c r="G10" s="243">
        <v>1.4</v>
      </c>
      <c r="H10" s="243">
        <v>535</v>
      </c>
      <c r="I10" s="269" t="s">
        <v>293</v>
      </c>
      <c r="J10" s="347">
        <v>5.4817479624851044</v>
      </c>
      <c r="K10" s="341">
        <v>6.85218495310638E-2</v>
      </c>
      <c r="L10" s="341">
        <v>5.0249356322780124E-2</v>
      </c>
      <c r="M10" s="341">
        <v>4.6932773651413559E-2</v>
      </c>
      <c r="N10" s="341">
        <v>2.0043091534377794E-2</v>
      </c>
      <c r="O10" s="342">
        <v>1.5089205731641353E-2</v>
      </c>
      <c r="P10" s="347">
        <v>3.2028609922579019</v>
      </c>
      <c r="Q10" s="341">
        <v>4.0035762403223776E-2</v>
      </c>
      <c r="R10" s="341">
        <v>2.9359559095697436E-2</v>
      </c>
      <c r="S10" s="341">
        <v>2.7421755070701218E-2</v>
      </c>
      <c r="T10" s="341">
        <v>1.0260616307105324E-2</v>
      </c>
      <c r="U10" s="342">
        <v>6.919914724170916E-3</v>
      </c>
    </row>
    <row r="11" spans="1:21" x14ac:dyDescent="0.25">
      <c r="A11" s="512" t="s">
        <v>163</v>
      </c>
      <c r="B11" s="510" t="s">
        <v>430</v>
      </c>
      <c r="C11" s="511" t="s">
        <v>447</v>
      </c>
      <c r="D11" s="243">
        <v>1</v>
      </c>
      <c r="E11" s="243">
        <v>2.1</v>
      </c>
      <c r="F11" s="267">
        <v>1070</v>
      </c>
      <c r="G11" s="243">
        <v>1.4</v>
      </c>
      <c r="H11" s="243">
        <v>535</v>
      </c>
      <c r="I11" s="269" t="s">
        <v>293</v>
      </c>
      <c r="J11" s="347">
        <v>5.4817479624851044</v>
      </c>
      <c r="K11" s="341">
        <v>6.85218495310638E-2</v>
      </c>
      <c r="L11" s="341">
        <v>5.0249356322780124E-2</v>
      </c>
      <c r="M11" s="341">
        <v>4.6932773651413559E-2</v>
      </c>
      <c r="N11" s="341">
        <v>2.0043091534377794E-2</v>
      </c>
      <c r="O11" s="342">
        <v>1.5089205731641353E-2</v>
      </c>
      <c r="P11" s="347">
        <v>3.2028609922579019</v>
      </c>
      <c r="Q11" s="341">
        <v>4.0035762403223776E-2</v>
      </c>
      <c r="R11" s="341">
        <v>2.9359559095697436E-2</v>
      </c>
      <c r="S11" s="341">
        <v>2.7421755070701218E-2</v>
      </c>
      <c r="T11" s="341">
        <v>1.0260616307105324E-2</v>
      </c>
      <c r="U11" s="342">
        <v>6.919914724170916E-3</v>
      </c>
    </row>
    <row r="12" spans="1:21" x14ac:dyDescent="0.25">
      <c r="A12" s="512" t="s">
        <v>163</v>
      </c>
      <c r="B12" s="510" t="s">
        <v>431</v>
      </c>
      <c r="C12" s="511" t="s">
        <v>447</v>
      </c>
      <c r="D12" s="243">
        <v>1</v>
      </c>
      <c r="E12" s="243">
        <v>2.1</v>
      </c>
      <c r="F12" s="267">
        <v>1070</v>
      </c>
      <c r="G12" s="243">
        <v>1.4</v>
      </c>
      <c r="H12" s="243">
        <v>535</v>
      </c>
      <c r="I12" s="269" t="s">
        <v>293</v>
      </c>
      <c r="J12" s="347">
        <v>5.4817479624851044</v>
      </c>
      <c r="K12" s="341">
        <v>6.85218495310638E-2</v>
      </c>
      <c r="L12" s="341">
        <v>5.0249356322780124E-2</v>
      </c>
      <c r="M12" s="341">
        <v>4.6932773651413559E-2</v>
      </c>
      <c r="N12" s="341">
        <v>2.0043091534377794E-2</v>
      </c>
      <c r="O12" s="342">
        <v>1.5089205731641353E-2</v>
      </c>
      <c r="P12" s="347">
        <v>3.2028609922579019</v>
      </c>
      <c r="Q12" s="341">
        <v>4.0035762403223776E-2</v>
      </c>
      <c r="R12" s="341">
        <v>2.9359559095697436E-2</v>
      </c>
      <c r="S12" s="341">
        <v>2.7421755070701218E-2</v>
      </c>
      <c r="T12" s="341">
        <v>1.0260616307105324E-2</v>
      </c>
      <c r="U12" s="342">
        <v>6.919914724170916E-3</v>
      </c>
    </row>
    <row r="13" spans="1:21" x14ac:dyDescent="0.25">
      <c r="A13" s="512" t="s">
        <v>163</v>
      </c>
      <c r="B13" s="510" t="s">
        <v>432</v>
      </c>
      <c r="C13" s="511" t="s">
        <v>447</v>
      </c>
      <c r="D13" s="243">
        <v>1</v>
      </c>
      <c r="E13" s="243">
        <v>2.1</v>
      </c>
      <c r="F13" s="267">
        <v>1070</v>
      </c>
      <c r="G13" s="243">
        <v>1.4</v>
      </c>
      <c r="H13" s="243">
        <v>535</v>
      </c>
      <c r="I13" s="269" t="s">
        <v>293</v>
      </c>
      <c r="J13" s="347">
        <v>5.4817479624851044</v>
      </c>
      <c r="K13" s="341">
        <v>6.85218495310638E-2</v>
      </c>
      <c r="L13" s="341">
        <v>5.0249356322780124E-2</v>
      </c>
      <c r="M13" s="341">
        <v>4.6932773651413559E-2</v>
      </c>
      <c r="N13" s="341">
        <v>2.0043091534377794E-2</v>
      </c>
      <c r="O13" s="342">
        <v>1.5089205731641353E-2</v>
      </c>
      <c r="P13" s="347">
        <v>3.2028609922579019</v>
      </c>
      <c r="Q13" s="341">
        <v>4.0035762403223776E-2</v>
      </c>
      <c r="R13" s="341">
        <v>2.9359559095697436E-2</v>
      </c>
      <c r="S13" s="341">
        <v>2.7421755070701218E-2</v>
      </c>
      <c r="T13" s="341">
        <v>1.0260616307105324E-2</v>
      </c>
      <c r="U13" s="342">
        <v>6.919914724170916E-3</v>
      </c>
    </row>
    <row r="14" spans="1:21" x14ac:dyDescent="0.25">
      <c r="A14" s="512" t="s">
        <v>439</v>
      </c>
      <c r="B14" s="510" t="s">
        <v>433</v>
      </c>
      <c r="C14" s="511" t="s">
        <v>448</v>
      </c>
      <c r="D14" s="243">
        <v>1</v>
      </c>
      <c r="E14" s="243">
        <v>2.1</v>
      </c>
      <c r="F14" s="267">
        <v>1070</v>
      </c>
      <c r="G14" s="243">
        <v>1.4</v>
      </c>
      <c r="H14" s="243">
        <v>535</v>
      </c>
      <c r="I14" s="269" t="s">
        <v>293</v>
      </c>
      <c r="J14" s="347">
        <v>5.4994975226671267E-2</v>
      </c>
      <c r="K14" s="341">
        <v>6.8743719033339081E-4</v>
      </c>
      <c r="L14" s="341">
        <v>5.0412060624448662E-4</v>
      </c>
      <c r="M14" s="341">
        <v>4.7084739063930876E-4</v>
      </c>
      <c r="N14" s="341">
        <v>2.0056707714065117E-4</v>
      </c>
      <c r="O14" s="342">
        <v>1.5097916826831425E-4</v>
      </c>
      <c r="P14" s="347">
        <v>3.2008837601478712E-2</v>
      </c>
      <c r="Q14" s="341">
        <v>4.0011047001848389E-4</v>
      </c>
      <c r="R14" s="341">
        <v>2.9341434468022152E-4</v>
      </c>
      <c r="S14" s="341">
        <v>2.7404826713594785E-4</v>
      </c>
      <c r="T14" s="341">
        <v>1.0274964612555684E-4</v>
      </c>
      <c r="U14" s="342">
        <v>6.8981326038236173E-5</v>
      </c>
    </row>
    <row r="15" spans="1:21" x14ac:dyDescent="0.25">
      <c r="A15" s="512" t="s">
        <v>439</v>
      </c>
      <c r="B15" s="510" t="s">
        <v>434</v>
      </c>
      <c r="C15" s="511" t="s">
        <v>448</v>
      </c>
      <c r="D15" s="243">
        <v>1</v>
      </c>
      <c r="E15" s="243">
        <v>2.1</v>
      </c>
      <c r="F15" s="267">
        <v>1070</v>
      </c>
      <c r="G15" s="243">
        <v>1.4</v>
      </c>
      <c r="H15" s="243">
        <v>535</v>
      </c>
      <c r="I15" s="269" t="s">
        <v>293</v>
      </c>
      <c r="J15" s="347">
        <v>5.4994975226671267E-2</v>
      </c>
      <c r="K15" s="341">
        <v>6.8743719033339081E-4</v>
      </c>
      <c r="L15" s="341">
        <v>5.0412060624448662E-4</v>
      </c>
      <c r="M15" s="341">
        <v>4.7084739063930876E-4</v>
      </c>
      <c r="N15" s="341">
        <v>2.0056707714065117E-4</v>
      </c>
      <c r="O15" s="342">
        <v>1.5097916826831425E-4</v>
      </c>
      <c r="P15" s="347">
        <v>3.2008837601478712E-2</v>
      </c>
      <c r="Q15" s="341">
        <v>4.0011047001848389E-4</v>
      </c>
      <c r="R15" s="341">
        <v>2.9341434468022152E-4</v>
      </c>
      <c r="S15" s="341">
        <v>2.7404826713594785E-4</v>
      </c>
      <c r="T15" s="341">
        <v>1.0274964612555684E-4</v>
      </c>
      <c r="U15" s="342">
        <v>6.8981326038236173E-5</v>
      </c>
    </row>
    <row r="16" spans="1:21" x14ac:dyDescent="0.25">
      <c r="A16" s="512" t="s">
        <v>439</v>
      </c>
      <c r="B16" s="510" t="s">
        <v>435</v>
      </c>
      <c r="C16" s="511" t="s">
        <v>448</v>
      </c>
      <c r="D16" s="243">
        <v>1</v>
      </c>
      <c r="E16" s="243">
        <v>2.1</v>
      </c>
      <c r="F16" s="267">
        <v>1070</v>
      </c>
      <c r="G16" s="243">
        <v>1.4</v>
      </c>
      <c r="H16" s="243">
        <v>535</v>
      </c>
      <c r="I16" s="269" t="s">
        <v>293</v>
      </c>
      <c r="J16" s="347">
        <v>5.4994975226671267E-2</v>
      </c>
      <c r="K16" s="341">
        <v>6.8743719033339081E-4</v>
      </c>
      <c r="L16" s="341">
        <v>5.0412060624448662E-4</v>
      </c>
      <c r="M16" s="341">
        <v>4.7084739063930876E-4</v>
      </c>
      <c r="N16" s="341">
        <v>2.0056707714065117E-4</v>
      </c>
      <c r="O16" s="342">
        <v>1.5097916826831425E-4</v>
      </c>
      <c r="P16" s="347">
        <v>3.2008837601478712E-2</v>
      </c>
      <c r="Q16" s="341">
        <v>4.0011047001848389E-4</v>
      </c>
      <c r="R16" s="341">
        <v>2.9341434468022152E-4</v>
      </c>
      <c r="S16" s="341">
        <v>2.7404826713594785E-4</v>
      </c>
      <c r="T16" s="341">
        <v>1.0274964612555684E-4</v>
      </c>
      <c r="U16" s="342">
        <v>6.8981326038236173E-5</v>
      </c>
    </row>
    <row r="17" spans="1:21" x14ac:dyDescent="0.25">
      <c r="A17" s="512" t="s">
        <v>439</v>
      </c>
      <c r="B17" s="510" t="s">
        <v>436</v>
      </c>
      <c r="C17" s="511" t="s">
        <v>448</v>
      </c>
      <c r="D17" s="243">
        <v>1</v>
      </c>
      <c r="E17" s="243">
        <v>2.1</v>
      </c>
      <c r="F17" s="267">
        <v>1070</v>
      </c>
      <c r="G17" s="243">
        <v>1.4</v>
      </c>
      <c r="H17" s="243">
        <v>535</v>
      </c>
      <c r="I17" s="269" t="s">
        <v>293</v>
      </c>
      <c r="J17" s="347">
        <v>5.4994975226671267E-2</v>
      </c>
      <c r="K17" s="341">
        <v>6.8743719033339081E-4</v>
      </c>
      <c r="L17" s="341">
        <v>5.0412060624448662E-4</v>
      </c>
      <c r="M17" s="341">
        <v>4.7084739063930876E-4</v>
      </c>
      <c r="N17" s="341">
        <v>2.0056707714065117E-4</v>
      </c>
      <c r="O17" s="342">
        <v>1.5097916826831425E-4</v>
      </c>
      <c r="P17" s="347">
        <v>3.2008837601478712E-2</v>
      </c>
      <c r="Q17" s="341">
        <v>4.0011047001848389E-4</v>
      </c>
      <c r="R17" s="341">
        <v>2.9341434468022152E-4</v>
      </c>
      <c r="S17" s="341">
        <v>2.7404826713594785E-4</v>
      </c>
      <c r="T17" s="341">
        <v>1.0274964612555684E-4</v>
      </c>
      <c r="U17" s="342">
        <v>6.8981326038236173E-5</v>
      </c>
    </row>
    <row r="18" spans="1:21" x14ac:dyDescent="0.25">
      <c r="A18" s="512">
        <v>3</v>
      </c>
      <c r="B18" s="510" t="s">
        <v>170</v>
      </c>
      <c r="C18" s="513" t="s">
        <v>294</v>
      </c>
      <c r="D18" s="243">
        <v>1</v>
      </c>
      <c r="E18" s="243">
        <v>2.1</v>
      </c>
      <c r="F18" s="267">
        <v>1070</v>
      </c>
      <c r="G18" s="243">
        <v>1.4</v>
      </c>
      <c r="H18" s="243">
        <v>535</v>
      </c>
      <c r="I18" s="269" t="s">
        <v>293</v>
      </c>
      <c r="J18" s="454">
        <v>5.4817479624851044</v>
      </c>
      <c r="K18" s="455">
        <v>6.85218495310638E-2</v>
      </c>
      <c r="L18" s="455">
        <v>5.0249356322780124E-2</v>
      </c>
      <c r="M18" s="455">
        <v>4.4129047775689184E-2</v>
      </c>
      <c r="N18" s="455">
        <v>1.8796700938552464E-2</v>
      </c>
      <c r="O18" s="456" t="s">
        <v>295</v>
      </c>
      <c r="P18" s="454">
        <v>3.2028609922579019</v>
      </c>
      <c r="Q18" s="455">
        <v>4.0035762403223776E-2</v>
      </c>
      <c r="R18" s="455">
        <v>2.9359559095697436E-2</v>
      </c>
      <c r="S18" s="455">
        <v>2.5204230905852099E-2</v>
      </c>
      <c r="T18" s="455">
        <v>9.4665855673764874E-3</v>
      </c>
      <c r="U18" s="456" t="s">
        <v>295</v>
      </c>
    </row>
    <row r="19" spans="1:21" x14ac:dyDescent="0.25">
      <c r="A19" s="512">
        <v>3</v>
      </c>
      <c r="B19" s="510" t="s">
        <v>172</v>
      </c>
      <c r="C19" s="513" t="s">
        <v>294</v>
      </c>
      <c r="D19" s="243">
        <v>1</v>
      </c>
      <c r="E19" s="243">
        <v>2.1</v>
      </c>
      <c r="F19" s="267">
        <v>1070</v>
      </c>
      <c r="G19" s="243">
        <v>1.4</v>
      </c>
      <c r="H19" s="243">
        <v>535</v>
      </c>
      <c r="I19" s="269" t="s">
        <v>293</v>
      </c>
      <c r="J19" s="454">
        <v>5.4817479624851044</v>
      </c>
      <c r="K19" s="455">
        <v>6.85218495310638E-2</v>
      </c>
      <c r="L19" s="455">
        <v>5.0249356322780124E-2</v>
      </c>
      <c r="M19" s="455">
        <v>4.4129047775689184E-2</v>
      </c>
      <c r="N19" s="455">
        <v>1.8796700938552464E-2</v>
      </c>
      <c r="O19" s="456" t="s">
        <v>295</v>
      </c>
      <c r="P19" s="454">
        <v>3.2028609922579019</v>
      </c>
      <c r="Q19" s="455">
        <v>4.0035762403223776E-2</v>
      </c>
      <c r="R19" s="455">
        <v>2.9359559095697436E-2</v>
      </c>
      <c r="S19" s="455">
        <v>2.5204230905852099E-2</v>
      </c>
      <c r="T19" s="455">
        <v>9.4665855673764874E-3</v>
      </c>
      <c r="U19" s="456" t="s">
        <v>295</v>
      </c>
    </row>
    <row r="20" spans="1:21" x14ac:dyDescent="0.25">
      <c r="A20" s="512">
        <v>4</v>
      </c>
      <c r="B20" s="514" t="s">
        <v>176</v>
      </c>
      <c r="C20" s="515" t="s">
        <v>296</v>
      </c>
      <c r="D20" s="243">
        <v>1</v>
      </c>
      <c r="E20" s="243">
        <v>2.1</v>
      </c>
      <c r="F20" s="267">
        <v>1070</v>
      </c>
      <c r="G20" s="243">
        <v>1.4</v>
      </c>
      <c r="H20" s="243">
        <v>535</v>
      </c>
      <c r="I20" s="269" t="s">
        <v>293</v>
      </c>
      <c r="J20" s="347">
        <v>5.4817479624851044</v>
      </c>
      <c r="K20" s="341">
        <v>6.85218495310638E-2</v>
      </c>
      <c r="L20" s="341">
        <v>5.0249356322780124E-2</v>
      </c>
      <c r="M20" s="341">
        <v>4.6932773651413559E-2</v>
      </c>
      <c r="N20" s="341">
        <v>2.0043091534377794E-2</v>
      </c>
      <c r="O20" s="342">
        <v>1.5116840804403883E-2</v>
      </c>
      <c r="P20" s="347">
        <v>3.2028609922579019</v>
      </c>
      <c r="Q20" s="341">
        <v>4.0035762403223776E-2</v>
      </c>
      <c r="R20" s="341">
        <v>2.9359559095697436E-2</v>
      </c>
      <c r="S20" s="341">
        <v>2.7421755070701218E-2</v>
      </c>
      <c r="T20" s="341">
        <v>1.0260616307105324E-2</v>
      </c>
      <c r="U20" s="342">
        <v>7.1022818739999456E-3</v>
      </c>
    </row>
    <row r="21" spans="1:21" x14ac:dyDescent="0.25">
      <c r="A21" s="512">
        <v>4</v>
      </c>
      <c r="B21" s="514" t="s">
        <v>178</v>
      </c>
      <c r="C21" s="515" t="s">
        <v>296</v>
      </c>
      <c r="D21" s="243">
        <v>1</v>
      </c>
      <c r="E21" s="243">
        <v>2.1</v>
      </c>
      <c r="F21" s="267">
        <v>1070</v>
      </c>
      <c r="G21" s="243">
        <v>1.4</v>
      </c>
      <c r="H21" s="243">
        <v>535</v>
      </c>
      <c r="I21" s="269" t="s">
        <v>293</v>
      </c>
      <c r="J21" s="347">
        <v>5.4817479624851044</v>
      </c>
      <c r="K21" s="341">
        <v>6.85218495310638E-2</v>
      </c>
      <c r="L21" s="341">
        <v>5.0249356322780124E-2</v>
      </c>
      <c r="M21" s="341">
        <v>4.6932773651413559E-2</v>
      </c>
      <c r="N21" s="341">
        <v>2.0043091534377794E-2</v>
      </c>
      <c r="O21" s="342">
        <v>1.5116840804403883E-2</v>
      </c>
      <c r="P21" s="347">
        <v>3.2028609922579019</v>
      </c>
      <c r="Q21" s="341">
        <v>4.0035762403223776E-2</v>
      </c>
      <c r="R21" s="341">
        <v>2.9359559095697436E-2</v>
      </c>
      <c r="S21" s="341">
        <v>2.7421755070701218E-2</v>
      </c>
      <c r="T21" s="341">
        <v>1.0260616307105324E-2</v>
      </c>
      <c r="U21" s="342">
        <v>7.1022818739999456E-3</v>
      </c>
    </row>
    <row r="22" spans="1:21" x14ac:dyDescent="0.25">
      <c r="A22" s="512">
        <v>4</v>
      </c>
      <c r="B22" s="514" t="s">
        <v>180</v>
      </c>
      <c r="C22" s="515" t="s">
        <v>296</v>
      </c>
      <c r="D22" s="243">
        <v>1</v>
      </c>
      <c r="E22" s="243">
        <v>2.1</v>
      </c>
      <c r="F22" s="267">
        <v>1070</v>
      </c>
      <c r="G22" s="243">
        <v>1.4</v>
      </c>
      <c r="H22" s="243">
        <v>535</v>
      </c>
      <c r="I22" s="269" t="s">
        <v>293</v>
      </c>
      <c r="J22" s="347">
        <v>5.4817479624851044</v>
      </c>
      <c r="K22" s="341">
        <v>6.85218495310638E-2</v>
      </c>
      <c r="L22" s="341">
        <v>5.0249356322780124E-2</v>
      </c>
      <c r="M22" s="341">
        <v>4.6932773651413559E-2</v>
      </c>
      <c r="N22" s="341">
        <v>2.0043091534377794E-2</v>
      </c>
      <c r="O22" s="342">
        <v>1.5116840804403883E-2</v>
      </c>
      <c r="P22" s="347">
        <v>3.2028609922579019</v>
      </c>
      <c r="Q22" s="341">
        <v>4.0035762403223776E-2</v>
      </c>
      <c r="R22" s="341">
        <v>2.9359559095697436E-2</v>
      </c>
      <c r="S22" s="341">
        <v>2.7421755070701218E-2</v>
      </c>
      <c r="T22" s="341">
        <v>1.0260616307105324E-2</v>
      </c>
      <c r="U22" s="342">
        <v>7.1022818739999456E-3</v>
      </c>
    </row>
    <row r="23" spans="1:21" x14ac:dyDescent="0.25">
      <c r="A23" s="512">
        <v>4</v>
      </c>
      <c r="B23" s="514" t="s">
        <v>182</v>
      </c>
      <c r="C23" s="515" t="s">
        <v>296</v>
      </c>
      <c r="D23" s="243">
        <v>1</v>
      </c>
      <c r="E23" s="243">
        <v>2.1</v>
      </c>
      <c r="F23" s="267">
        <v>1070</v>
      </c>
      <c r="G23" s="243">
        <v>1.4</v>
      </c>
      <c r="H23" s="243">
        <v>535</v>
      </c>
      <c r="I23" s="269" t="s">
        <v>293</v>
      </c>
      <c r="J23" s="347">
        <v>5.4817479624851044</v>
      </c>
      <c r="K23" s="341">
        <v>6.85218495310638E-2</v>
      </c>
      <c r="L23" s="341">
        <v>5.0249356322780124E-2</v>
      </c>
      <c r="M23" s="341">
        <v>4.6932773651413559E-2</v>
      </c>
      <c r="N23" s="341">
        <v>2.0043091534377794E-2</v>
      </c>
      <c r="O23" s="342">
        <v>1.5116840804403883E-2</v>
      </c>
      <c r="P23" s="347">
        <v>3.2028609922579019</v>
      </c>
      <c r="Q23" s="341">
        <v>4.0035762403223776E-2</v>
      </c>
      <c r="R23" s="341">
        <v>2.9359559095697436E-2</v>
      </c>
      <c r="S23" s="341">
        <v>2.7421755070701218E-2</v>
      </c>
      <c r="T23" s="341">
        <v>1.0260616307105324E-2</v>
      </c>
      <c r="U23" s="342">
        <v>7.1022818739999456E-3</v>
      </c>
    </row>
    <row r="24" spans="1:21" x14ac:dyDescent="0.25">
      <c r="A24" s="512">
        <v>4</v>
      </c>
      <c r="B24" s="514" t="s">
        <v>297</v>
      </c>
      <c r="C24" s="515" t="s">
        <v>296</v>
      </c>
      <c r="D24" s="243">
        <v>1</v>
      </c>
      <c r="E24" s="243">
        <v>2.1</v>
      </c>
      <c r="F24" s="267">
        <v>1070</v>
      </c>
      <c r="G24" s="243">
        <v>1.4</v>
      </c>
      <c r="H24" s="243">
        <v>535</v>
      </c>
      <c r="I24" s="269" t="s">
        <v>293</v>
      </c>
      <c r="J24" s="347">
        <v>5.4817479624851044</v>
      </c>
      <c r="K24" s="341">
        <v>6.85218495310638E-2</v>
      </c>
      <c r="L24" s="341">
        <v>5.0249356322780124E-2</v>
      </c>
      <c r="M24" s="341">
        <v>4.6932773651413559E-2</v>
      </c>
      <c r="N24" s="341">
        <v>2.0043091534377794E-2</v>
      </c>
      <c r="O24" s="342">
        <v>1.5116840804403883E-2</v>
      </c>
      <c r="P24" s="347">
        <v>3.2028609922579019</v>
      </c>
      <c r="Q24" s="341">
        <v>4.0035762403223776E-2</v>
      </c>
      <c r="R24" s="341">
        <v>2.9359559095697436E-2</v>
      </c>
      <c r="S24" s="341">
        <v>2.7421755070701218E-2</v>
      </c>
      <c r="T24" s="341">
        <v>1.0260616307105324E-2</v>
      </c>
      <c r="U24" s="342">
        <v>7.1022818739999456E-3</v>
      </c>
    </row>
    <row r="25" spans="1:21" x14ac:dyDescent="0.25">
      <c r="A25" s="512">
        <v>5</v>
      </c>
      <c r="B25" s="514" t="s">
        <v>189</v>
      </c>
      <c r="C25" s="514" t="s">
        <v>189</v>
      </c>
      <c r="D25" s="243">
        <v>1</v>
      </c>
      <c r="E25" s="243">
        <v>2.1</v>
      </c>
      <c r="F25" s="267">
        <v>1070</v>
      </c>
      <c r="G25" s="243">
        <v>1.4</v>
      </c>
      <c r="H25" s="243">
        <v>535</v>
      </c>
      <c r="I25" s="269" t="s">
        <v>293</v>
      </c>
      <c r="J25" s="347">
        <v>4.9132262758740994</v>
      </c>
      <c r="K25" s="341">
        <v>6.1415328448426246E-2</v>
      </c>
      <c r="L25" s="341">
        <v>4.5037907528845914E-2</v>
      </c>
      <c r="M25" s="341">
        <v>4.206529345782619E-2</v>
      </c>
      <c r="N25" s="341">
        <v>1.7322534452366204E-2</v>
      </c>
      <c r="O25" s="373" t="s">
        <v>295</v>
      </c>
      <c r="P25" s="347">
        <v>2.0305372057647184</v>
      </c>
      <c r="Q25" s="341">
        <v>2.5381715072058979E-2</v>
      </c>
      <c r="R25" s="341">
        <v>1.8613257719509922E-2</v>
      </c>
      <c r="S25" s="341">
        <v>1.7384736350725329E-2</v>
      </c>
      <c r="T25" s="341">
        <v>6.3998038587492166E-3</v>
      </c>
      <c r="U25" s="373" t="s">
        <v>295</v>
      </c>
    </row>
    <row r="26" spans="1:21" x14ac:dyDescent="0.25">
      <c r="A26" s="512">
        <v>6</v>
      </c>
      <c r="B26" s="514" t="s">
        <v>298</v>
      </c>
      <c r="C26" s="516" t="s">
        <v>192</v>
      </c>
      <c r="D26" s="243">
        <v>0.91800000000000004</v>
      </c>
      <c r="E26" s="243">
        <v>2.1</v>
      </c>
      <c r="F26" s="267">
        <v>1070</v>
      </c>
      <c r="G26" s="243">
        <v>1.4</v>
      </c>
      <c r="H26" s="243">
        <v>535</v>
      </c>
      <c r="I26" s="269" t="s">
        <v>293</v>
      </c>
      <c r="J26" s="347">
        <v>5.6625162814032786</v>
      </c>
      <c r="K26" s="341">
        <v>7.0781453517540976E-2</v>
      </c>
      <c r="L26" s="341">
        <v>5.1906399246196715E-2</v>
      </c>
      <c r="M26" s="341">
        <v>3.9706081407488422E-2</v>
      </c>
      <c r="N26" s="341">
        <v>1.6542840397361615E-2</v>
      </c>
      <c r="O26" s="373" t="s">
        <v>295</v>
      </c>
      <c r="P26" s="347">
        <v>3.196650931806496</v>
      </c>
      <c r="Q26" s="341">
        <v>3.9958136647581202E-2</v>
      </c>
      <c r="R26" s="341">
        <v>2.9302633541559549E-2</v>
      </c>
      <c r="S26" s="341">
        <v>1.9519918708997039E-2</v>
      </c>
      <c r="T26" s="341">
        <v>7.3130935585990113E-3</v>
      </c>
      <c r="U26" s="373" t="s">
        <v>295</v>
      </c>
    </row>
    <row r="27" spans="1:21" x14ac:dyDescent="0.25">
      <c r="A27" s="512">
        <v>7</v>
      </c>
      <c r="B27" s="514" t="s">
        <v>299</v>
      </c>
      <c r="C27" s="516" t="s">
        <v>300</v>
      </c>
      <c r="D27" s="243">
        <v>0.1</v>
      </c>
      <c r="E27" s="243">
        <v>2.1</v>
      </c>
      <c r="F27" s="267">
        <v>1070</v>
      </c>
      <c r="G27" s="243">
        <v>1.4</v>
      </c>
      <c r="H27" s="243">
        <v>535</v>
      </c>
      <c r="I27" s="269" t="s">
        <v>293</v>
      </c>
      <c r="J27" s="347">
        <v>0.24445833018782662</v>
      </c>
      <c r="K27" s="341">
        <v>3.0557291273478329E-3</v>
      </c>
      <c r="L27" s="341">
        <v>2.2408680267217442E-3</v>
      </c>
      <c r="M27" s="341">
        <v>2.092965155717694E-3</v>
      </c>
      <c r="N27" s="341">
        <v>8.7979184940927783E-4</v>
      </c>
      <c r="O27" s="373" t="s">
        <v>295</v>
      </c>
      <c r="P27" s="347">
        <v>0.12912023714953519</v>
      </c>
      <c r="Q27" s="341">
        <v>1.6140029643691898E-3</v>
      </c>
      <c r="R27" s="341">
        <v>1.1836021738707392E-3</v>
      </c>
      <c r="S27" s="341">
        <v>1.1054814824446506E-3</v>
      </c>
      <c r="T27" s="341">
        <v>4.1582475565778848E-4</v>
      </c>
      <c r="U27" s="373" t="s">
        <v>295</v>
      </c>
    </row>
    <row r="28" spans="1:21" x14ac:dyDescent="0.25">
      <c r="A28" s="512">
        <v>8</v>
      </c>
      <c r="B28" s="514" t="s">
        <v>301</v>
      </c>
      <c r="C28" s="516" t="s">
        <v>198</v>
      </c>
      <c r="D28" s="243">
        <v>1</v>
      </c>
      <c r="E28" s="243">
        <v>2.1</v>
      </c>
      <c r="F28" s="267">
        <v>1070</v>
      </c>
      <c r="G28" s="243">
        <v>1.4</v>
      </c>
      <c r="H28" s="243">
        <v>535</v>
      </c>
      <c r="I28" s="269" t="s">
        <v>293</v>
      </c>
      <c r="J28" s="347">
        <v>5.4544183306212553</v>
      </c>
      <c r="K28" s="341">
        <v>6.8180229132765696E-2</v>
      </c>
      <c r="L28" s="341">
        <v>4.9998834697361515E-2</v>
      </c>
      <c r="M28" s="341">
        <v>4.6698787077236785E-2</v>
      </c>
      <c r="N28" s="341">
        <v>1.9937017948606243E-2</v>
      </c>
      <c r="O28" s="373" t="s">
        <v>295</v>
      </c>
      <c r="P28" s="347">
        <v>3.1863430968692668</v>
      </c>
      <c r="Q28" s="341">
        <v>3.9829288710865836E-2</v>
      </c>
      <c r="R28" s="341">
        <v>2.9208145054634944E-2</v>
      </c>
      <c r="S28" s="341">
        <v>2.728033473346975E-2</v>
      </c>
      <c r="T28" s="341">
        <v>1.0211804172534913E-2</v>
      </c>
      <c r="U28" s="373" t="s">
        <v>295</v>
      </c>
    </row>
    <row r="29" spans="1:21" x14ac:dyDescent="0.25">
      <c r="A29" s="512">
        <v>9</v>
      </c>
      <c r="B29" s="514" t="s">
        <v>302</v>
      </c>
      <c r="C29" s="516" t="s">
        <v>303</v>
      </c>
      <c r="D29" s="243">
        <v>1</v>
      </c>
      <c r="E29" s="243">
        <v>2.1</v>
      </c>
      <c r="F29" s="267">
        <v>1070</v>
      </c>
      <c r="G29" s="243">
        <v>1.4</v>
      </c>
      <c r="H29" s="243">
        <v>535</v>
      </c>
      <c r="I29" s="269" t="s">
        <v>293</v>
      </c>
      <c r="J29" s="347">
        <v>5.2163017756933421</v>
      </c>
      <c r="K29" s="341">
        <v>6.520377219616677E-2</v>
      </c>
      <c r="L29" s="341">
        <v>4.7816099610522293E-2</v>
      </c>
      <c r="M29" s="341">
        <v>4.4660117942579979E-2</v>
      </c>
      <c r="N29" s="341">
        <v>1.9063685668381545E-2</v>
      </c>
      <c r="O29" s="373" t="s">
        <v>295</v>
      </c>
      <c r="P29" s="347">
        <v>3.0420498194809218</v>
      </c>
      <c r="Q29" s="341">
        <v>3.8025622743511525E-2</v>
      </c>
      <c r="R29" s="341">
        <v>2.7885456678575119E-2</v>
      </c>
      <c r="S29" s="341">
        <v>2.6044947084596936E-2</v>
      </c>
      <c r="T29" s="341">
        <v>9.7500037391420324E-3</v>
      </c>
      <c r="U29" s="373" t="s">
        <v>295</v>
      </c>
    </row>
    <row r="30" spans="1:21" x14ac:dyDescent="0.25">
      <c r="A30" s="512">
        <v>10</v>
      </c>
      <c r="B30" s="514" t="s">
        <v>304</v>
      </c>
      <c r="C30" s="516" t="s">
        <v>305</v>
      </c>
      <c r="D30" s="243">
        <v>1</v>
      </c>
      <c r="E30" s="243">
        <v>2.1</v>
      </c>
      <c r="F30" s="267">
        <v>1070</v>
      </c>
      <c r="G30" s="243">
        <v>1.4</v>
      </c>
      <c r="H30" s="243">
        <v>535</v>
      </c>
      <c r="I30" s="269" t="s">
        <v>293</v>
      </c>
      <c r="J30" s="347">
        <v>4.4682578463388687</v>
      </c>
      <c r="K30" s="341">
        <v>5.3325797827208659</v>
      </c>
      <c r="L30" s="341">
        <v>6.6657247284010818E-2</v>
      </c>
      <c r="M30" s="341">
        <v>4.8881981341607934E-2</v>
      </c>
      <c r="N30" s="341">
        <v>4.2701211916861374E-2</v>
      </c>
      <c r="O30" s="373" t="s">
        <v>295</v>
      </c>
      <c r="P30" s="347">
        <v>2.7440540538854181</v>
      </c>
      <c r="Q30" s="341">
        <v>3.4300675673567725E-2</v>
      </c>
      <c r="R30" s="341">
        <v>2.5153828827282999E-2</v>
      </c>
      <c r="S30" s="341">
        <v>2.1622921156147862E-2</v>
      </c>
      <c r="T30" s="341">
        <v>8.0909760498678474E-3</v>
      </c>
      <c r="U30" s="373" t="s">
        <v>295</v>
      </c>
    </row>
    <row r="31" spans="1:21" x14ac:dyDescent="0.25">
      <c r="A31" s="512">
        <v>10</v>
      </c>
      <c r="B31" s="514" t="s">
        <v>306</v>
      </c>
      <c r="C31" s="516" t="s">
        <v>305</v>
      </c>
      <c r="D31" s="243">
        <v>1</v>
      </c>
      <c r="E31" s="243">
        <v>2.1</v>
      </c>
      <c r="F31" s="267">
        <v>1070</v>
      </c>
      <c r="G31" s="243">
        <v>1.4</v>
      </c>
      <c r="H31" s="243">
        <v>535</v>
      </c>
      <c r="I31" s="269" t="s">
        <v>293</v>
      </c>
      <c r="J31" s="347">
        <v>4.4682578463388687</v>
      </c>
      <c r="K31" s="341">
        <v>5.3325797827208659</v>
      </c>
      <c r="L31" s="341">
        <v>6.6657247284010818E-2</v>
      </c>
      <c r="M31" s="341">
        <v>4.8881981341607934E-2</v>
      </c>
      <c r="N31" s="341">
        <v>4.2701211916861374E-2</v>
      </c>
      <c r="O31" s="373" t="s">
        <v>295</v>
      </c>
      <c r="P31" s="347">
        <v>2.7440540538854181</v>
      </c>
      <c r="Q31" s="341">
        <v>3.4300675673567697E-2</v>
      </c>
      <c r="R31" s="341">
        <v>2.5153828827282999E-2</v>
      </c>
      <c r="S31" s="341">
        <v>2.1622921156147862E-2</v>
      </c>
      <c r="T31" s="341">
        <v>8.0909760498678474E-3</v>
      </c>
      <c r="U31" s="373" t="s">
        <v>295</v>
      </c>
    </row>
    <row r="32" spans="1:21" x14ac:dyDescent="0.25">
      <c r="A32" s="512">
        <v>10</v>
      </c>
      <c r="B32" s="514" t="s">
        <v>307</v>
      </c>
      <c r="C32" s="516" t="s">
        <v>305</v>
      </c>
      <c r="D32" s="243">
        <v>1</v>
      </c>
      <c r="E32" s="243">
        <v>2.1</v>
      </c>
      <c r="F32" s="267">
        <v>1070</v>
      </c>
      <c r="G32" s="243">
        <v>1.4</v>
      </c>
      <c r="H32" s="243">
        <v>535</v>
      </c>
      <c r="I32" s="269" t="s">
        <v>293</v>
      </c>
      <c r="J32" s="347">
        <v>4.4682578463388687</v>
      </c>
      <c r="K32" s="341">
        <v>5.3325797827208659</v>
      </c>
      <c r="L32" s="341">
        <v>6.6657247284010818E-2</v>
      </c>
      <c r="M32" s="341">
        <v>4.8881981341607934E-2</v>
      </c>
      <c r="N32" s="341">
        <v>4.2701211916861374E-2</v>
      </c>
      <c r="O32" s="373" t="s">
        <v>295</v>
      </c>
      <c r="P32" s="347">
        <v>2.7440540538854181</v>
      </c>
      <c r="Q32" s="341">
        <v>3.4300675673567697E-2</v>
      </c>
      <c r="R32" s="341">
        <v>2.5153828827282999E-2</v>
      </c>
      <c r="S32" s="341">
        <v>2.1622921156147862E-2</v>
      </c>
      <c r="T32" s="341">
        <v>8.0909760498678474E-3</v>
      </c>
      <c r="U32" s="373" t="s">
        <v>295</v>
      </c>
    </row>
    <row r="33" spans="1:21" x14ac:dyDescent="0.25">
      <c r="A33" s="512">
        <v>11</v>
      </c>
      <c r="B33" s="514" t="s">
        <v>308</v>
      </c>
      <c r="C33" s="514" t="s">
        <v>308</v>
      </c>
      <c r="D33" s="243">
        <v>1</v>
      </c>
      <c r="E33" s="243">
        <v>2.1</v>
      </c>
      <c r="F33" s="267">
        <v>1070</v>
      </c>
      <c r="G33" s="243">
        <v>1.4</v>
      </c>
      <c r="H33" s="243">
        <v>535</v>
      </c>
      <c r="I33" s="269" t="s">
        <v>293</v>
      </c>
      <c r="J33" s="347">
        <v>4.9158085834831313</v>
      </c>
      <c r="K33" s="341">
        <v>6.1447607293539139E-2</v>
      </c>
      <c r="L33" s="341">
        <v>4.5061578681928706E-2</v>
      </c>
      <c r="M33" s="341">
        <v>4.2087402255848727E-2</v>
      </c>
      <c r="N33" s="341">
        <v>1.7379757556582859E-2</v>
      </c>
      <c r="O33" s="373" t="s">
        <v>295</v>
      </c>
      <c r="P33" s="347">
        <v>2.0297863140294221</v>
      </c>
      <c r="Q33" s="341">
        <v>2.5372328925367775E-2</v>
      </c>
      <c r="R33" s="341">
        <v>1.8606374545269703E-2</v>
      </c>
      <c r="S33" s="341">
        <v>1.7378307483128613E-2</v>
      </c>
      <c r="T33" s="341">
        <v>6.4060885678268939E-3</v>
      </c>
      <c r="U33" s="373" t="s">
        <v>295</v>
      </c>
    </row>
    <row r="34" spans="1:21" ht="15.75" thickBot="1" x14ac:dyDescent="0.3">
      <c r="A34" s="517">
        <v>12</v>
      </c>
      <c r="B34" s="518" t="s">
        <v>309</v>
      </c>
      <c r="C34" s="518" t="s">
        <v>309</v>
      </c>
      <c r="D34" s="247">
        <v>1</v>
      </c>
      <c r="E34" s="247">
        <v>2.1</v>
      </c>
      <c r="F34" s="268">
        <v>1070</v>
      </c>
      <c r="G34" s="247">
        <v>1.4</v>
      </c>
      <c r="H34" s="247">
        <v>535</v>
      </c>
      <c r="I34" s="270" t="s">
        <v>293</v>
      </c>
      <c r="J34" s="348">
        <v>4.9158085834831313</v>
      </c>
      <c r="K34" s="343">
        <v>6.1447607293539139E-2</v>
      </c>
      <c r="L34" s="343">
        <v>4.5061578681928706E-2</v>
      </c>
      <c r="M34" s="343">
        <v>4.2087402255848727E-2</v>
      </c>
      <c r="N34" s="343">
        <v>1.7379757556582859E-2</v>
      </c>
      <c r="O34" s="374" t="s">
        <v>295</v>
      </c>
      <c r="P34" s="348">
        <v>2.0297863140294221</v>
      </c>
      <c r="Q34" s="343">
        <v>2.5372328925367775E-2</v>
      </c>
      <c r="R34" s="343">
        <v>1.8606374545269703E-2</v>
      </c>
      <c r="S34" s="343">
        <v>1.7378307483128613E-2</v>
      </c>
      <c r="T34" s="343">
        <v>6.4060885678268939E-3</v>
      </c>
      <c r="U34" s="374" t="s">
        <v>295</v>
      </c>
    </row>
  </sheetData>
  <sheetProtection sheet="1" objects="1" scenarios="1" formatCells="0" formatColumns="0" formatRows="0"/>
  <mergeCells count="4">
    <mergeCell ref="E4:F4"/>
    <mergeCell ref="G4:H4"/>
    <mergeCell ref="P3:U3"/>
    <mergeCell ref="J3:O3"/>
  </mergeCells>
  <conditionalFormatting sqref="J6:U34">
    <cfRule type="cellIs" dxfId="38" priority="1" operator="greaterThanOrEqual">
      <formula>10000</formula>
    </cfRule>
    <cfRule type="cellIs" dxfId="37" priority="2" operator="greaterThanOrEqual">
      <formula>10</formula>
    </cfRule>
    <cfRule type="cellIs" dxfId="36" priority="3" operator="between">
      <formula>1</formula>
      <formula>9.999</formula>
    </cfRule>
    <cfRule type="cellIs" dxfId="35" priority="4" operator="between">
      <formula>0.1</formula>
      <formula>0.999</formula>
    </cfRule>
    <cfRule type="cellIs" dxfId="34" priority="5" operator="lessThanOrEqual">
      <formula>0.1</formula>
    </cfRule>
    <cfRule type="containsBlanks" dxfId="33" priority="6" stopIfTrue="1">
      <formula>LEN(TRIM(J6))=0</formula>
    </cfRule>
    <cfRule type="cellIs" dxfId="32" priority="7" operator="equal">
      <formula>0</formula>
    </cfRule>
  </conditionalFormatting>
  <dataValidations count="1">
    <dataValidation allowBlank="1" showErrorMessage="1" sqref="J3:J34 P3:P5" xr:uid="{6AF3334F-E071-4101-99EC-7B2CE3F4732F}"/>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DFA29-5DDB-4018-BDB5-BC28E8281DEA}">
  <dimension ref="B2:AH67"/>
  <sheetViews>
    <sheetView zoomScale="110" zoomScaleNormal="110" workbookViewId="0">
      <selection activeCell="D9" sqref="D9"/>
    </sheetView>
  </sheetViews>
  <sheetFormatPr defaultColWidth="9.140625" defaultRowHeight="12.75" x14ac:dyDescent="0.2"/>
  <cols>
    <col min="1" max="1" width="2.5703125" style="17" customWidth="1"/>
    <col min="2" max="2" width="7.7109375" style="17" customWidth="1"/>
    <col min="3" max="3" width="68.5703125" style="15" customWidth="1"/>
    <col min="4" max="4" width="12.85546875" style="17" customWidth="1"/>
    <col min="5" max="7" width="13.5703125" style="17" customWidth="1"/>
    <col min="8" max="8" width="13.28515625" style="17" customWidth="1"/>
    <col min="9" max="13" width="14.140625" style="17" customWidth="1"/>
    <col min="14" max="14" width="13.28515625" style="17" customWidth="1"/>
    <col min="15" max="15" width="14.140625" style="17" customWidth="1"/>
    <col min="16" max="16" width="13.28515625" style="17" customWidth="1"/>
    <col min="17" max="19" width="14.140625" style="17" customWidth="1"/>
    <col min="20" max="20" width="14.140625" style="15" customWidth="1"/>
    <col min="21" max="21" width="49.85546875" style="17" bestFit="1" customWidth="1"/>
    <col min="22" max="22" width="51.28515625" style="17" bestFit="1" customWidth="1"/>
    <col min="23" max="23" width="21" style="17" customWidth="1"/>
    <col min="24" max="24" width="27.28515625" style="17" bestFit="1" customWidth="1"/>
    <col min="25" max="25" width="16.5703125" style="17" customWidth="1"/>
    <col min="26" max="26" width="56.140625" style="17" customWidth="1"/>
    <col min="27" max="27" width="19.28515625" style="17" customWidth="1"/>
    <col min="28" max="28" width="10" style="17" bestFit="1" customWidth="1"/>
    <col min="29" max="29" width="19.42578125" style="17" customWidth="1"/>
    <col min="30" max="30" width="17.42578125" style="17" customWidth="1"/>
    <col min="31" max="31" width="9.140625" style="17"/>
    <col min="32" max="32" width="72.5703125" style="17" customWidth="1"/>
    <col min="33" max="33" width="23.7109375" style="17" customWidth="1"/>
    <col min="34" max="36" width="9.140625" style="17"/>
    <col min="37" max="37" width="52.42578125" style="17" bestFit="1" customWidth="1"/>
    <col min="38" max="38" width="10.7109375" style="17" customWidth="1"/>
    <col min="39" max="44" width="9.140625" style="17"/>
    <col min="45" max="45" width="72.7109375" style="17" bestFit="1" customWidth="1"/>
    <col min="46" max="46" width="14.28515625" style="17" bestFit="1" customWidth="1"/>
    <col min="47" max="16384" width="9.140625" style="17"/>
  </cols>
  <sheetData>
    <row r="2" spans="2:34" ht="13.5" thickBot="1" x14ac:dyDescent="0.25"/>
    <row r="3" spans="2:34" ht="24" customHeight="1" x14ac:dyDescent="0.2">
      <c r="B3" s="746" t="s">
        <v>129</v>
      </c>
      <c r="C3" s="748" t="s">
        <v>58</v>
      </c>
      <c r="D3" s="748" t="s">
        <v>66</v>
      </c>
      <c r="E3" s="748" t="s">
        <v>310</v>
      </c>
      <c r="F3" s="756" t="s">
        <v>311</v>
      </c>
      <c r="G3" s="757"/>
      <c r="H3" s="656" t="s">
        <v>312</v>
      </c>
      <c r="I3" s="760"/>
      <c r="J3" s="656" t="s">
        <v>69</v>
      </c>
      <c r="K3" s="753"/>
      <c r="L3" s="656" t="s">
        <v>70</v>
      </c>
      <c r="M3" s="753"/>
      <c r="N3" s="656" t="s">
        <v>71</v>
      </c>
      <c r="O3" s="753"/>
      <c r="P3" s="656" t="s">
        <v>72</v>
      </c>
      <c r="Q3" s="753"/>
      <c r="R3" s="656" t="s">
        <v>313</v>
      </c>
      <c r="S3" s="753"/>
      <c r="T3" s="750" t="s">
        <v>314</v>
      </c>
      <c r="U3" s="748" t="s">
        <v>315</v>
      </c>
      <c r="V3" s="240"/>
      <c r="W3" s="46"/>
    </row>
    <row r="4" spans="2:34" x14ac:dyDescent="0.2">
      <c r="B4" s="747"/>
      <c r="C4" s="749"/>
      <c r="D4" s="749"/>
      <c r="E4" s="749"/>
      <c r="F4" s="758" t="s">
        <v>316</v>
      </c>
      <c r="G4" s="759"/>
      <c r="H4" s="657" t="s">
        <v>317</v>
      </c>
      <c r="I4" s="761"/>
      <c r="J4" s="657" t="s">
        <v>224</v>
      </c>
      <c r="K4" s="754"/>
      <c r="L4" s="657" t="s">
        <v>318</v>
      </c>
      <c r="M4" s="754"/>
      <c r="N4" s="657" t="s">
        <v>318</v>
      </c>
      <c r="O4" s="754"/>
      <c r="P4" s="657" t="s">
        <v>319</v>
      </c>
      <c r="Q4" s="754"/>
      <c r="R4" s="657" t="s">
        <v>319</v>
      </c>
      <c r="S4" s="754"/>
      <c r="T4" s="751"/>
      <c r="U4" s="749"/>
      <c r="V4" s="241"/>
      <c r="X4" s="32"/>
      <c r="Y4" s="32"/>
      <c r="Z4" s="32"/>
      <c r="AA4" s="32"/>
      <c r="AB4" s="47"/>
      <c r="AC4" s="31"/>
      <c r="AE4" s="31"/>
      <c r="AF4" s="763"/>
      <c r="AG4" s="763"/>
      <c r="AH4" s="762"/>
    </row>
    <row r="5" spans="2:34" ht="26.25" thickBot="1" x14ac:dyDescent="0.25">
      <c r="B5" s="747"/>
      <c r="C5" s="749"/>
      <c r="D5" s="749"/>
      <c r="E5" s="749"/>
      <c r="F5" s="336" t="s">
        <v>83</v>
      </c>
      <c r="G5" s="221" t="s">
        <v>80</v>
      </c>
      <c r="H5" s="280" t="s">
        <v>83</v>
      </c>
      <c r="I5" s="446" t="s">
        <v>80</v>
      </c>
      <c r="J5" s="220" t="s">
        <v>83</v>
      </c>
      <c r="K5" s="221" t="s">
        <v>80</v>
      </c>
      <c r="L5" s="220" t="s">
        <v>83</v>
      </c>
      <c r="M5" s="221" t="s">
        <v>80</v>
      </c>
      <c r="N5" s="220" t="s">
        <v>83</v>
      </c>
      <c r="O5" s="221" t="s">
        <v>80</v>
      </c>
      <c r="P5" s="220" t="s">
        <v>83</v>
      </c>
      <c r="Q5" s="221" t="s">
        <v>80</v>
      </c>
      <c r="R5" s="220" t="s">
        <v>83</v>
      </c>
      <c r="S5" s="221" t="s">
        <v>80</v>
      </c>
      <c r="T5" s="752"/>
      <c r="U5" s="755"/>
      <c r="V5" s="242" t="s">
        <v>320</v>
      </c>
      <c r="X5" s="32"/>
      <c r="Y5" s="32"/>
      <c r="Z5" s="32"/>
      <c r="AA5" s="32"/>
      <c r="AB5" s="47"/>
      <c r="AC5" s="32"/>
      <c r="AE5" s="32"/>
      <c r="AF5" s="763"/>
      <c r="AG5" s="763"/>
      <c r="AH5" s="762"/>
    </row>
    <row r="6" spans="2:34" x14ac:dyDescent="0.2">
      <c r="B6" s="284" t="s">
        <v>148</v>
      </c>
      <c r="C6" s="283" t="s">
        <v>62</v>
      </c>
      <c r="D6" s="287" t="s">
        <v>79</v>
      </c>
      <c r="E6" s="282" t="s">
        <v>321</v>
      </c>
      <c r="F6" s="330">
        <v>250</v>
      </c>
      <c r="G6" s="330">
        <v>250</v>
      </c>
      <c r="H6" s="335">
        <v>7.3</v>
      </c>
      <c r="I6" s="447">
        <v>0.48</v>
      </c>
      <c r="J6" s="251">
        <f>IF(H6&lt;&gt;"-", H6*ED_8/AT_AC*Breathing_Ratio,"-")</f>
        <v>4.9659863945578229</v>
      </c>
      <c r="K6" s="252">
        <f t="shared" ref="K6:K36" si="0">IF(I6&lt;&gt;"-", I6*ED_8/AT_AC*Breathing_Ratio,"-")</f>
        <v>0.32653061224489799</v>
      </c>
      <c r="L6" s="251">
        <f t="shared" ref="L6:L34" si="1">IF(H6&lt;&gt;"-", IF(F6&gt;=EF_ST, H6*ED_8*EF_ST/AT_ADC_ST*Breathing_Ratio, H6*ED_8*F6/AT_ADC_ST*Breathing_Ratio),"-")</f>
        <v>3.64172335600907</v>
      </c>
      <c r="M6" s="252">
        <f>IF(I6&lt;&gt;"-", IF(G6&gt;=EF_ST, I6*ED_8*EF_ST/AT_ADC_ST*Breathing_Ratio, I6*ED_8*G6/AT_ADC_ST*Breathing_Ratio),"-")</f>
        <v>0.23945578231292514</v>
      </c>
      <c r="N6" s="251">
        <f>IF(H6&lt;&gt;"-", H6*ED_8*F6*WY_high/AT_ADC_high*Breathing_Ratio,"-")</f>
        <v>3.4013605442176873</v>
      </c>
      <c r="O6" s="252">
        <f t="shared" ref="O6:O34" si="2">IF(I6&lt;&gt;"-", I6*ED_8*G6*WY_mid/AT_ADC_mid*Breathing_Ratio, "-")</f>
        <v>0.22365110427732737</v>
      </c>
      <c r="P6" s="251">
        <f>IF(H6&lt;&gt;"-",H6*ED_8*F6*WY_high/AT_LADC*Breathing_Ratio,"-")</f>
        <v>1.7442874585731729</v>
      </c>
      <c r="Q6" s="252">
        <f t="shared" ref="Q6:Q34" si="3">IF(I6&lt;&gt;"-",I6*ED_8*G6*WY_mid/AT_LADC*Breathing_Ratio,"-")</f>
        <v>8.888697734098909E-2</v>
      </c>
      <c r="R6" s="360">
        <f t="shared" ref="R6:R14" si="4">IF(H6&lt;&gt;"-",H6*ED_8*F6*WY_mfg_high/AT_LADC*Breathing_Ratio,"-")</f>
        <v>1.4390371533228676</v>
      </c>
      <c r="S6" s="361">
        <f t="shared" ref="S6:S14" si="5">IF(I6&lt;&gt;"-",I6*ED_8*G6*WY_mfg_mid/AT_LADC*Breathing_Ratio,"-")</f>
        <v>2.5519164462412994E-2</v>
      </c>
      <c r="T6" s="229">
        <v>53</v>
      </c>
      <c r="U6" s="288" t="s">
        <v>322</v>
      </c>
      <c r="V6" s="289" t="s">
        <v>323</v>
      </c>
      <c r="X6" s="32"/>
      <c r="Y6" s="32"/>
      <c r="Z6" s="32"/>
      <c r="AA6" s="32"/>
      <c r="AB6" s="47"/>
      <c r="AC6" s="27"/>
      <c r="AE6" s="32"/>
      <c r="AF6" s="763"/>
      <c r="AG6" s="763"/>
      <c r="AH6" s="762"/>
    </row>
    <row r="7" spans="2:34" ht="12" customHeight="1" x14ac:dyDescent="0.2">
      <c r="B7" s="285" t="s">
        <v>148</v>
      </c>
      <c r="C7" s="105" t="s">
        <v>62</v>
      </c>
      <c r="D7" s="290" t="s">
        <v>82</v>
      </c>
      <c r="E7" s="275" t="s">
        <v>321</v>
      </c>
      <c r="F7" s="290">
        <v>250</v>
      </c>
      <c r="G7" s="290">
        <v>250</v>
      </c>
      <c r="H7" s="278">
        <v>1.6</v>
      </c>
      <c r="I7" s="448">
        <v>1.4E-2</v>
      </c>
      <c r="J7" s="253">
        <f t="shared" ref="J7" si="6">IF(H7&lt;&gt;"-", H7*ED_8/AT_AC*Breathing_Ratio,"-")</f>
        <v>1.08843537414966</v>
      </c>
      <c r="K7" s="254">
        <f t="shared" si="0"/>
        <v>9.5238095238095247E-3</v>
      </c>
      <c r="L7" s="253">
        <f t="shared" si="1"/>
        <v>0.79818594104308394</v>
      </c>
      <c r="M7" s="254">
        <f t="shared" ref="M7:M34" si="7">IF(I7&lt;&gt;"-", IF(G7&gt;=EF_ST, I7*ED_8*EF_ST/AT_ADC_ST*Breathing_Ratio, I7*ED_8*G7/AT_ADC_ST*Breathing_Ratio),"-")</f>
        <v>6.9841269841269841E-3</v>
      </c>
      <c r="N7" s="253">
        <f>IF(H7&lt;&gt;"-", H7*ED_8*F7*WY_high/AT_ADC_high*Breathing_Ratio,"-")</f>
        <v>0.74550368092442454</v>
      </c>
      <c r="O7" s="254">
        <f t="shared" si="2"/>
        <v>6.5231572080887154E-3</v>
      </c>
      <c r="P7" s="253">
        <f>IF(H7&lt;&gt;"-",H7*ED_8*F7*WY_high/AT_LADC*Breathing_Ratio,"-")</f>
        <v>0.38230957996124337</v>
      </c>
      <c r="Q7" s="254">
        <f t="shared" si="3"/>
        <v>2.5925368391121815E-3</v>
      </c>
      <c r="R7" s="360">
        <f t="shared" si="4"/>
        <v>0.31540540346802576</v>
      </c>
      <c r="S7" s="361">
        <f t="shared" si="5"/>
        <v>7.4430896348704574E-4</v>
      </c>
      <c r="T7" s="219">
        <v>39</v>
      </c>
      <c r="U7" s="288" t="s">
        <v>322</v>
      </c>
      <c r="V7" s="292" t="s">
        <v>323</v>
      </c>
      <c r="X7" s="32"/>
      <c r="Y7" s="32"/>
      <c r="Z7" s="32"/>
      <c r="AA7" s="32"/>
      <c r="AB7" s="47"/>
      <c r="AC7" s="27"/>
      <c r="AE7" s="32"/>
      <c r="AF7" s="497"/>
      <c r="AG7" s="497"/>
      <c r="AH7" s="496"/>
    </row>
    <row r="8" spans="2:34" x14ac:dyDescent="0.2">
      <c r="B8" s="285" t="s">
        <v>154</v>
      </c>
      <c r="C8" s="105" t="s">
        <v>155</v>
      </c>
      <c r="D8" s="290" t="s">
        <v>79</v>
      </c>
      <c r="E8" s="275" t="s">
        <v>321</v>
      </c>
      <c r="F8" s="290">
        <v>250</v>
      </c>
      <c r="G8" s="290">
        <v>250</v>
      </c>
      <c r="H8" s="278">
        <v>0.24</v>
      </c>
      <c r="I8" s="448">
        <v>1.7000000000000001E-2</v>
      </c>
      <c r="J8" s="253">
        <f t="shared" ref="J8:J9" si="8">IF(H8&lt;&gt;"-", H8*ED_8/AT_AC*Breathing_Ratio,"-")</f>
        <v>0.16326530612244899</v>
      </c>
      <c r="K8" s="254">
        <f t="shared" ref="K8:K9" si="9">IF(I8&lt;&gt;"-", I8*ED_8/AT_AC*Breathing_Ratio,"-")</f>
        <v>1.1564625850340137E-2</v>
      </c>
      <c r="L8" s="253">
        <f t="shared" ref="L8:L9" si="10">IF(H8&lt;&gt;"-", IF(F8&gt;=EF_ST, H8*ED_8*EF_ST/AT_ADC_ST*Breathing_Ratio, H8*ED_8*F8/AT_ADC_ST*Breathing_Ratio),"-")</f>
        <v>0.11972789115646257</v>
      </c>
      <c r="M8" s="254">
        <f t="shared" ref="M8:M9" si="11">IF(I8&lt;&gt;"-", IF(G8&gt;=EF_ST, I8*ED_8*EF_ST/AT_ADC_ST*Breathing_Ratio, I8*ED_8*G8/AT_ADC_ST*Breathing_Ratio),"-")</f>
        <v>8.4807256235827667E-3</v>
      </c>
      <c r="N8" s="253">
        <f t="shared" ref="N8" si="12">IF(H8&lt;&gt;"-", H8*ED_8*F8*WY_high/AT_ADC_high*Breathing_Ratio,"-")</f>
        <v>0.11182555213866369</v>
      </c>
      <c r="O8" s="254">
        <f t="shared" ref="O8:O9" si="13">IF(I8&lt;&gt;"-", I8*ED_8*G8*WY_mid/AT_ADC_mid*Breathing_Ratio, "-")</f>
        <v>7.9209766098220103E-3</v>
      </c>
      <c r="P8" s="253">
        <f t="shared" ref="P8" si="14">IF(H8&lt;&gt;"-",H8*ED_8*F8*WY_high/AT_LADC*Breathing_Ratio,"-")</f>
        <v>5.7346436994186505E-2</v>
      </c>
      <c r="Q8" s="254">
        <f t="shared" ref="Q8:Q9" si="15">IF(I8&lt;&gt;"-",I8*ED_8*G8*WY_mid/AT_LADC*Breathing_Ratio,"-")</f>
        <v>3.1480804474933633E-3</v>
      </c>
      <c r="R8" s="360">
        <f t="shared" si="4"/>
        <v>4.7310810520203868E-2</v>
      </c>
      <c r="S8" s="361">
        <f t="shared" si="5"/>
        <v>9.0380374137712701E-4</v>
      </c>
      <c r="T8" s="219">
        <v>9</v>
      </c>
      <c r="U8" s="288" t="s">
        <v>322</v>
      </c>
      <c r="V8" s="292" t="s">
        <v>323</v>
      </c>
      <c r="W8" s="293"/>
      <c r="X8" s="48"/>
      <c r="Y8" s="48"/>
      <c r="Z8" s="48"/>
      <c r="AA8" s="26"/>
      <c r="AB8" s="28"/>
      <c r="AC8" s="29"/>
      <c r="AE8" s="29"/>
      <c r="AF8" s="28"/>
      <c r="AG8" s="30"/>
      <c r="AH8" s="28"/>
    </row>
    <row r="9" spans="2:34" ht="13.5" customHeight="1" x14ac:dyDescent="0.2">
      <c r="B9" s="285" t="s">
        <v>154</v>
      </c>
      <c r="C9" s="105" t="s">
        <v>155</v>
      </c>
      <c r="D9" s="290" t="s">
        <v>82</v>
      </c>
      <c r="E9" s="275" t="s">
        <v>321</v>
      </c>
      <c r="F9" s="290">
        <v>250</v>
      </c>
      <c r="G9" s="290">
        <v>250</v>
      </c>
      <c r="H9" s="278">
        <v>1.6</v>
      </c>
      <c r="I9" s="448">
        <v>1.4E-2</v>
      </c>
      <c r="J9" s="253">
        <f t="shared" si="8"/>
        <v>1.08843537414966</v>
      </c>
      <c r="K9" s="254">
        <f t="shared" si="9"/>
        <v>9.5238095238095247E-3</v>
      </c>
      <c r="L9" s="253">
        <f t="shared" si="10"/>
        <v>0.79818594104308394</v>
      </c>
      <c r="M9" s="254">
        <f t="shared" si="11"/>
        <v>6.9841269841269841E-3</v>
      </c>
      <c r="N9" s="253">
        <f>IF(H9&lt;&gt;"-", H9*ED_8*F9*WY_high/AT_ADC_high*Breathing_Ratio,"-")</f>
        <v>0.74550368092442454</v>
      </c>
      <c r="O9" s="254">
        <f t="shared" si="13"/>
        <v>6.5231572080887154E-3</v>
      </c>
      <c r="P9" s="253">
        <f>IF(H9&lt;&gt;"-",H9*ED_8*F9*WY_high/AT_LADC*Breathing_Ratio,"-")</f>
        <v>0.38230957996124337</v>
      </c>
      <c r="Q9" s="254">
        <f t="shared" si="15"/>
        <v>2.5925368391121815E-3</v>
      </c>
      <c r="R9" s="360">
        <f t="shared" si="4"/>
        <v>0.31540540346802576</v>
      </c>
      <c r="S9" s="361">
        <f t="shared" si="5"/>
        <v>7.4430896348704574E-4</v>
      </c>
      <c r="T9" s="219">
        <v>39</v>
      </c>
      <c r="U9" s="288" t="s">
        <v>322</v>
      </c>
      <c r="V9" s="292" t="s">
        <v>323</v>
      </c>
      <c r="X9" s="32"/>
      <c r="Y9" s="32"/>
      <c r="Z9" s="32"/>
      <c r="AA9" s="32"/>
      <c r="AB9" s="47"/>
      <c r="AC9" s="27"/>
      <c r="AE9" s="32"/>
      <c r="AF9" s="497"/>
      <c r="AG9" s="497"/>
      <c r="AH9" s="496"/>
    </row>
    <row r="10" spans="2:34" x14ac:dyDescent="0.2">
      <c r="B10" s="285" t="s">
        <v>156</v>
      </c>
      <c r="C10" s="105" t="s">
        <v>157</v>
      </c>
      <c r="D10" s="290" t="s">
        <v>79</v>
      </c>
      <c r="E10" s="275" t="s">
        <v>321</v>
      </c>
      <c r="F10" s="290">
        <v>250</v>
      </c>
      <c r="G10" s="290">
        <v>250</v>
      </c>
      <c r="H10" s="278">
        <v>1.6</v>
      </c>
      <c r="I10" s="448">
        <v>4.9000000000000002E-2</v>
      </c>
      <c r="J10" s="253">
        <f t="shared" ref="J10:J13" si="16">IF(H10&lt;&gt;"-", H10*ED_8/AT_AC*Breathing_Ratio,"-")</f>
        <v>1.08843537414966</v>
      </c>
      <c r="K10" s="254">
        <f t="shared" ref="K10:K13" si="17">IF(I10&lt;&gt;"-", I10*ED_8/AT_AC*Breathing_Ratio,"-")</f>
        <v>3.333333333333334E-2</v>
      </c>
      <c r="L10" s="253">
        <f t="shared" ref="L10:L13" si="18">IF(H10&lt;&gt;"-", IF(F10&gt;=EF_ST, H10*ED_8*EF_ST/AT_ADC_ST*Breathing_Ratio, H10*ED_8*F10/AT_ADC_ST*Breathing_Ratio),"-")</f>
        <v>0.79818594104308394</v>
      </c>
      <c r="M10" s="254">
        <f t="shared" ref="M10:M13" si="19">IF(I10&lt;&gt;"-", IF(G10&gt;=EF_ST, I10*ED_8*EF_ST/AT_ADC_ST*Breathing_Ratio, I10*ED_8*G10/AT_ADC_ST*Breathing_Ratio),"-")</f>
        <v>2.4444444444444446E-2</v>
      </c>
      <c r="N10" s="253">
        <f>IF(H10&lt;&gt;"-", H10*ED_8*F10*WY_high/AT_ADC_high*Breathing_Ratio,"-")</f>
        <v>0.74550368092442454</v>
      </c>
      <c r="O10" s="254">
        <f t="shared" ref="O10:O13" si="20">IF(I10&lt;&gt;"-", I10*ED_8*G10*WY_mid/AT_ADC_mid*Breathing_Ratio, "-")</f>
        <v>2.2831050228310501E-2</v>
      </c>
      <c r="P10" s="253">
        <f>IF(H10&lt;&gt;"-",H10*ED_8*F10*WY_high/AT_LADC*Breathing_Ratio,"-")</f>
        <v>0.38230957996124337</v>
      </c>
      <c r="Q10" s="254">
        <f t="shared" ref="Q10:Q13" si="21">IF(I10&lt;&gt;"-",I10*ED_8*G10*WY_mid/AT_LADC*Breathing_Ratio,"-")</f>
        <v>9.0738789368926352E-3</v>
      </c>
      <c r="R10" s="360">
        <f t="shared" si="4"/>
        <v>0.31540540346802576</v>
      </c>
      <c r="S10" s="361">
        <f t="shared" si="5"/>
        <v>2.6050813722046603E-3</v>
      </c>
      <c r="T10" s="219">
        <v>32</v>
      </c>
      <c r="U10" s="288" t="s">
        <v>322</v>
      </c>
      <c r="V10" s="292" t="s">
        <v>323</v>
      </c>
      <c r="X10" s="32"/>
      <c r="Y10" s="32"/>
      <c r="Z10" s="32"/>
      <c r="AA10" s="32"/>
      <c r="AB10" s="47"/>
      <c r="AC10" s="27"/>
      <c r="AE10" s="32"/>
      <c r="AF10" s="497"/>
      <c r="AG10" s="497"/>
      <c r="AH10" s="496"/>
    </row>
    <row r="11" spans="2:34" ht="12.75" customHeight="1" x14ac:dyDescent="0.2">
      <c r="B11" s="285" t="s">
        <v>156</v>
      </c>
      <c r="C11" s="105" t="s">
        <v>157</v>
      </c>
      <c r="D11" s="290" t="s">
        <v>82</v>
      </c>
      <c r="E11" s="275" t="s">
        <v>321</v>
      </c>
      <c r="F11" s="290">
        <v>250</v>
      </c>
      <c r="G11" s="290">
        <v>250</v>
      </c>
      <c r="H11" s="278">
        <v>1.6</v>
      </c>
      <c r="I11" s="448">
        <v>1.4E-2</v>
      </c>
      <c r="J11" s="253">
        <f t="shared" ref="J11" si="22">IF(H11&lt;&gt;"-", H11*ED_8/AT_AC*Breathing_Ratio,"-")</f>
        <v>1.08843537414966</v>
      </c>
      <c r="K11" s="254">
        <f t="shared" ref="K11" si="23">IF(I11&lt;&gt;"-", I11*ED_8/AT_AC*Breathing_Ratio,"-")</f>
        <v>9.5238095238095247E-3</v>
      </c>
      <c r="L11" s="253">
        <f t="shared" ref="L11" si="24">IF(H11&lt;&gt;"-", IF(F11&gt;=EF_ST, H11*ED_8*EF_ST/AT_ADC_ST*Breathing_Ratio, H11*ED_8*F11/AT_ADC_ST*Breathing_Ratio),"-")</f>
        <v>0.79818594104308394</v>
      </c>
      <c r="M11" s="254">
        <f t="shared" ref="M11" si="25">IF(I11&lt;&gt;"-", IF(G11&gt;=EF_ST, I11*ED_8*EF_ST/AT_ADC_ST*Breathing_Ratio, I11*ED_8*G11/AT_ADC_ST*Breathing_Ratio),"-")</f>
        <v>6.9841269841269841E-3</v>
      </c>
      <c r="N11" s="253">
        <f>IF(H11&lt;&gt;"-", H11*ED_8*F11*WY_high/AT_ADC_high*Breathing_Ratio,"-")</f>
        <v>0.74550368092442454</v>
      </c>
      <c r="O11" s="254">
        <f t="shared" ref="O11" si="26">IF(I11&lt;&gt;"-", I11*ED_8*G11*WY_mid/AT_ADC_mid*Breathing_Ratio, "-")</f>
        <v>6.5231572080887154E-3</v>
      </c>
      <c r="P11" s="253">
        <f>IF(H11&lt;&gt;"-",H11*ED_8*F11*WY_high/AT_LADC*Breathing_Ratio,"-")</f>
        <v>0.38230957996124337</v>
      </c>
      <c r="Q11" s="254">
        <f t="shared" ref="Q11" si="27">IF(I11&lt;&gt;"-",I11*ED_8*G11*WY_mid/AT_LADC*Breathing_Ratio,"-")</f>
        <v>2.5925368391121815E-3</v>
      </c>
      <c r="R11" s="360">
        <f t="shared" si="4"/>
        <v>0.31540540346802576</v>
      </c>
      <c r="S11" s="361">
        <f t="shared" si="5"/>
        <v>7.4430896348704574E-4</v>
      </c>
      <c r="T11" s="219">
        <v>39</v>
      </c>
      <c r="U11" s="288" t="s">
        <v>322</v>
      </c>
      <c r="V11" s="292" t="s">
        <v>323</v>
      </c>
      <c r="X11" s="32"/>
      <c r="Y11" s="32"/>
      <c r="Z11" s="32"/>
      <c r="AA11" s="32"/>
      <c r="AB11" s="47"/>
      <c r="AC11" s="27"/>
      <c r="AE11" s="32"/>
      <c r="AF11" s="497"/>
      <c r="AG11" s="497"/>
      <c r="AH11" s="496"/>
    </row>
    <row r="12" spans="2:34" x14ac:dyDescent="0.2">
      <c r="B12" s="285" t="s">
        <v>158</v>
      </c>
      <c r="C12" s="105" t="s">
        <v>159</v>
      </c>
      <c r="D12" s="290" t="s">
        <v>79</v>
      </c>
      <c r="E12" s="275" t="s">
        <v>321</v>
      </c>
      <c r="F12" s="290">
        <v>250</v>
      </c>
      <c r="G12" s="290">
        <v>250</v>
      </c>
      <c r="H12" s="278">
        <v>1.3</v>
      </c>
      <c r="I12" s="448">
        <v>4.7E-2</v>
      </c>
      <c r="J12" s="253">
        <f t="shared" si="16"/>
        <v>0.88435374149659873</v>
      </c>
      <c r="K12" s="254">
        <f t="shared" si="17"/>
        <v>3.1972789115646258E-2</v>
      </c>
      <c r="L12" s="253">
        <f t="shared" si="18"/>
        <v>0.64852607709750565</v>
      </c>
      <c r="M12" s="254">
        <f t="shared" si="19"/>
        <v>2.3446712018140591E-2</v>
      </c>
      <c r="N12" s="253">
        <f t="shared" ref="N12" si="28">IF(H12&lt;&gt;"-", H12*ED_8*F12*WY_high/AT_ADC_high*Breathing_Ratio,"-")</f>
        <v>0.60572174075109497</v>
      </c>
      <c r="O12" s="254">
        <f t="shared" si="20"/>
        <v>2.1899170627154973E-2</v>
      </c>
      <c r="P12" s="253">
        <f t="shared" ref="P12" si="29">IF(H12&lt;&gt;"-",H12*ED_8*F12*WY_high/AT_LADC*Breathing_Ratio,"-")</f>
        <v>0.31062653371851023</v>
      </c>
      <c r="Q12" s="254">
        <f t="shared" si="21"/>
        <v>8.7035165313051801E-3</v>
      </c>
      <c r="R12" s="360">
        <f t="shared" si="4"/>
        <v>0.25626689031777095</v>
      </c>
      <c r="S12" s="361">
        <f t="shared" si="5"/>
        <v>2.4987515202779392E-3</v>
      </c>
      <c r="T12" s="219">
        <v>29</v>
      </c>
      <c r="U12" s="288" t="s">
        <v>322</v>
      </c>
      <c r="V12" s="292" t="s">
        <v>323</v>
      </c>
      <c r="W12" s="293"/>
      <c r="X12" s="48"/>
      <c r="Y12" s="48"/>
      <c r="Z12" s="48"/>
      <c r="AA12" s="26"/>
      <c r="AB12" s="28"/>
      <c r="AC12" s="29"/>
      <c r="AE12" s="29"/>
      <c r="AF12" s="28"/>
      <c r="AG12" s="30"/>
      <c r="AH12" s="28"/>
    </row>
    <row r="13" spans="2:34" ht="15.75" customHeight="1" x14ac:dyDescent="0.2">
      <c r="B13" s="285" t="s">
        <v>158</v>
      </c>
      <c r="C13" s="105" t="s">
        <v>159</v>
      </c>
      <c r="D13" s="290" t="s">
        <v>82</v>
      </c>
      <c r="E13" s="275" t="s">
        <v>321</v>
      </c>
      <c r="F13" s="290">
        <v>250</v>
      </c>
      <c r="G13" s="290">
        <v>250</v>
      </c>
      <c r="H13" s="278">
        <v>1.6</v>
      </c>
      <c r="I13" s="448">
        <v>1.4E-2</v>
      </c>
      <c r="J13" s="253">
        <f t="shared" si="16"/>
        <v>1.08843537414966</v>
      </c>
      <c r="K13" s="254">
        <f t="shared" si="17"/>
        <v>9.5238095238095247E-3</v>
      </c>
      <c r="L13" s="253">
        <f t="shared" si="18"/>
        <v>0.79818594104308394</v>
      </c>
      <c r="M13" s="254">
        <f t="shared" si="19"/>
        <v>6.9841269841269841E-3</v>
      </c>
      <c r="N13" s="253">
        <f>IF(H13&lt;&gt;"-", H13*ED_8*F13*WY_high/AT_ADC_high*Breathing_Ratio,"-")</f>
        <v>0.74550368092442454</v>
      </c>
      <c r="O13" s="254">
        <f t="shared" si="20"/>
        <v>6.5231572080887154E-3</v>
      </c>
      <c r="P13" s="253">
        <f>IF(H13&lt;&gt;"-",H13*ED_8*F13*WY_high/AT_LADC*Breathing_Ratio,"-")</f>
        <v>0.38230957996124337</v>
      </c>
      <c r="Q13" s="254">
        <f t="shared" si="21"/>
        <v>2.5925368391121815E-3</v>
      </c>
      <c r="R13" s="360">
        <f t="shared" si="4"/>
        <v>0.31540540346802576</v>
      </c>
      <c r="S13" s="361">
        <f t="shared" si="5"/>
        <v>7.4430896348704574E-4</v>
      </c>
      <c r="T13" s="219">
        <v>39</v>
      </c>
      <c r="U13" s="288" t="s">
        <v>322</v>
      </c>
      <c r="V13" s="292" t="s">
        <v>323</v>
      </c>
      <c r="X13" s="32"/>
      <c r="Y13" s="32"/>
      <c r="Z13" s="32"/>
      <c r="AA13" s="32"/>
      <c r="AB13" s="47"/>
      <c r="AC13" s="27"/>
      <c r="AE13" s="32"/>
      <c r="AF13" s="497"/>
      <c r="AG13" s="497"/>
      <c r="AH13" s="496"/>
    </row>
    <row r="14" spans="2:34" x14ac:dyDescent="0.2">
      <c r="B14" s="285">
        <v>1</v>
      </c>
      <c r="C14" s="105" t="s">
        <v>324</v>
      </c>
      <c r="D14" s="290" t="s">
        <v>82</v>
      </c>
      <c r="E14" s="275" t="s">
        <v>321</v>
      </c>
      <c r="F14" s="290">
        <v>250</v>
      </c>
      <c r="G14" s="290">
        <v>250</v>
      </c>
      <c r="H14" s="278">
        <v>1.6</v>
      </c>
      <c r="I14" s="448">
        <v>1.4E-2</v>
      </c>
      <c r="J14" s="253">
        <f t="shared" ref="J14" si="30">IF(H14&lt;&gt;"-", H14*ED_8/AT_AC*Breathing_Ratio,"-")</f>
        <v>1.08843537414966</v>
      </c>
      <c r="K14" s="254">
        <f t="shared" ref="K14" si="31">IF(I14&lt;&gt;"-", I14*ED_8/AT_AC*Breathing_Ratio,"-")</f>
        <v>9.5238095238095247E-3</v>
      </c>
      <c r="L14" s="253">
        <f t="shared" ref="L14" si="32">IF(H14&lt;&gt;"-", IF(F14&gt;=EF_ST, H14*ED_8*EF_ST/AT_ADC_ST*Breathing_Ratio, H14*ED_8*F14/AT_ADC_ST*Breathing_Ratio),"-")</f>
        <v>0.79818594104308394</v>
      </c>
      <c r="M14" s="254">
        <f t="shared" ref="M14" si="33">IF(I14&lt;&gt;"-", IF(G14&gt;=EF_ST, I14*ED_8*EF_ST/AT_ADC_ST*Breathing_Ratio, I14*ED_8*G14/AT_ADC_ST*Breathing_Ratio),"-")</f>
        <v>6.9841269841269841E-3</v>
      </c>
      <c r="N14" s="253">
        <f>IF(H14&lt;&gt;"-", H14*ED_8*F14*WY_high/AT_ADC_high*Breathing_Ratio,"-")</f>
        <v>0.74550368092442454</v>
      </c>
      <c r="O14" s="254">
        <f t="shared" ref="O14" si="34">IF(I14&lt;&gt;"-", I14*ED_8*G14*WY_mid/AT_ADC_mid*Breathing_Ratio, "-")</f>
        <v>6.5231572080887154E-3</v>
      </c>
      <c r="P14" s="253">
        <f>IF(H14&lt;&gt;"-",H14*ED_8*F14*WY_high/AT_LADC*Breathing_Ratio,"-")</f>
        <v>0.38230957996124337</v>
      </c>
      <c r="Q14" s="254">
        <f t="shared" ref="Q14" si="35">IF(I14&lt;&gt;"-",I14*ED_8*G14*WY_mid/AT_LADC*Breathing_Ratio,"-")</f>
        <v>2.5925368391121815E-3</v>
      </c>
      <c r="R14" s="360">
        <f t="shared" si="4"/>
        <v>0.31540540346802576</v>
      </c>
      <c r="S14" s="361">
        <f t="shared" si="5"/>
        <v>7.4430896348704574E-4</v>
      </c>
      <c r="T14" s="219">
        <v>39</v>
      </c>
      <c r="U14" s="288" t="s">
        <v>322</v>
      </c>
      <c r="V14" s="292" t="s">
        <v>323</v>
      </c>
      <c r="X14" s="32"/>
      <c r="Y14" s="32"/>
      <c r="Z14" s="32"/>
      <c r="AA14" s="32"/>
      <c r="AB14" s="47"/>
      <c r="AC14" s="27"/>
      <c r="AE14" s="32"/>
      <c r="AF14" s="497"/>
      <c r="AG14" s="497"/>
      <c r="AH14" s="496"/>
    </row>
    <row r="15" spans="2:34" x14ac:dyDescent="0.2">
      <c r="B15" s="285" t="s">
        <v>163</v>
      </c>
      <c r="C15" s="105" t="s">
        <v>429</v>
      </c>
      <c r="D15" s="290" t="s">
        <v>79</v>
      </c>
      <c r="E15" s="275" t="s">
        <v>321</v>
      </c>
      <c r="F15" s="290">
        <v>250</v>
      </c>
      <c r="G15" s="290">
        <v>250</v>
      </c>
      <c r="H15" s="278">
        <v>0.27</v>
      </c>
      <c r="I15" s="448">
        <v>7.3999999999999996E-2</v>
      </c>
      <c r="J15" s="253">
        <f t="shared" ref="J15:J36" si="36">IF(H15&lt;&gt;"-", H15*ED_8/AT_AC*Breathing_Ratio,"-")</f>
        <v>0.18367346938775514</v>
      </c>
      <c r="K15" s="254">
        <f t="shared" si="0"/>
        <v>5.0340136054421766E-2</v>
      </c>
      <c r="L15" s="253">
        <f t="shared" si="1"/>
        <v>0.13469387755102041</v>
      </c>
      <c r="M15" s="254">
        <f t="shared" si="7"/>
        <v>3.691609977324263E-2</v>
      </c>
      <c r="N15" s="253">
        <f t="shared" ref="N15:N33" si="37">IF(H15&lt;&gt;"-", H15*ED_8*F15*WY_high/AT_ADC_high*Breathing_Ratio,"-")</f>
        <v>0.12580374615599665</v>
      </c>
      <c r="O15" s="254">
        <f t="shared" si="2"/>
        <v>3.4479545242754636E-2</v>
      </c>
      <c r="P15" s="253">
        <f t="shared" ref="P15:P34" si="38">IF(H15&lt;&gt;"-",H15*ED_8*F15*WY_high/AT_LADC*Breathing_Ratio,"-")</f>
        <v>6.4514741618459825E-2</v>
      </c>
      <c r="Q15" s="254">
        <f t="shared" si="3"/>
        <v>1.3703409006735816E-2</v>
      </c>
      <c r="R15" s="360">
        <f t="shared" ref="R15:R23" si="39">IF(H15&lt;&gt;"-",H15*ED_8*F15*WY_byp_high/AT_LADC*Breathing_Ratio,"-")</f>
        <v>6.4514741618459825E-2</v>
      </c>
      <c r="S15" s="361">
        <f t="shared" ref="S15:S23" si="40">IF(I15&lt;&gt;"-",I15*ED_8*G15*WY_byp_mid/AT_LADC*Breathing_Ratio,"-")</f>
        <v>4.6856817893999887E-3</v>
      </c>
      <c r="T15" s="219">
        <v>12</v>
      </c>
      <c r="U15" s="288" t="s">
        <v>322</v>
      </c>
      <c r="V15" s="292" t="s">
        <v>323</v>
      </c>
      <c r="W15" s="293"/>
      <c r="X15" s="48"/>
      <c r="Y15" s="48"/>
      <c r="Z15" s="48"/>
      <c r="AA15" s="26"/>
      <c r="AB15" s="28"/>
      <c r="AC15" s="29"/>
      <c r="AE15" s="29"/>
      <c r="AF15" s="28"/>
      <c r="AG15" s="30"/>
      <c r="AH15" s="28"/>
    </row>
    <row r="16" spans="2:34" ht="12.75" customHeight="1" x14ac:dyDescent="0.2">
      <c r="B16" s="285" t="s">
        <v>163</v>
      </c>
      <c r="C16" s="105" t="s">
        <v>429</v>
      </c>
      <c r="D16" s="290" t="s">
        <v>82</v>
      </c>
      <c r="E16" s="276" t="s">
        <v>321</v>
      </c>
      <c r="F16" s="290">
        <v>250</v>
      </c>
      <c r="G16" s="290">
        <v>250</v>
      </c>
      <c r="H16" s="278">
        <v>0.16</v>
      </c>
      <c r="I16" s="448">
        <v>4.9000000000000007E-3</v>
      </c>
      <c r="J16" s="253">
        <f t="shared" ref="J16" si="41">IF(H16&lt;&gt;"-", H16*ED_8/AT_AC*Breathing_Ratio,"-")</f>
        <v>0.108843537414966</v>
      </c>
      <c r="K16" s="254">
        <f t="shared" ref="K16" si="42">IF(I16&lt;&gt;"-", I16*ED_8/AT_AC*Breathing_Ratio,"-")</f>
        <v>3.333333333333334E-3</v>
      </c>
      <c r="L16" s="253">
        <f t="shared" ref="L16" si="43">IF(H16&lt;&gt;"-", IF(F16&gt;=EF_ST, H16*ED_8*EF_ST/AT_ADC_ST*Breathing_Ratio, H16*ED_8*F16/AT_ADC_ST*Breathing_Ratio),"-")</f>
        <v>7.9818594104308388E-2</v>
      </c>
      <c r="M16" s="254">
        <f t="shared" ref="M16" si="44">IF(I16&lt;&gt;"-", IF(G16&gt;=EF_ST, I16*ED_8*EF_ST/AT_ADC_ST*Breathing_Ratio, I16*ED_8*G16/AT_ADC_ST*Breathing_Ratio),"-")</f>
        <v>2.4444444444444453E-3</v>
      </c>
      <c r="N16" s="253">
        <f t="shared" ref="N16" si="45">IF(H16&lt;&gt;"-", H16*ED_8*F16*WY_high/AT_ADC_high*Breathing_Ratio,"-")</f>
        <v>7.4550368092442448E-2</v>
      </c>
      <c r="O16" s="254">
        <f t="shared" ref="O16" si="46">IF(I16&lt;&gt;"-", I16*ED_8*G16*WY_mid/AT_ADC_mid*Breathing_Ratio, "-")</f>
        <v>2.2831050228310505E-3</v>
      </c>
      <c r="P16" s="253">
        <f t="shared" ref="P16" si="47">IF(H16&lt;&gt;"-",H16*ED_8*F16*WY_high/AT_LADC*Breathing_Ratio,"-")</f>
        <v>3.8230957996124339E-2</v>
      </c>
      <c r="Q16" s="254">
        <f t="shared" ref="Q16" si="48">IF(I16&lt;&gt;"-",I16*ED_8*G16*WY_mid/AT_LADC*Breathing_Ratio,"-")</f>
        <v>9.073878936892636E-4</v>
      </c>
      <c r="R16" s="360">
        <f t="shared" si="39"/>
        <v>3.8230957996124339E-2</v>
      </c>
      <c r="S16" s="361">
        <f t="shared" si="40"/>
        <v>3.1026811848729657E-4</v>
      </c>
      <c r="T16" s="219">
        <v>6</v>
      </c>
      <c r="U16" s="291" t="s">
        <v>325</v>
      </c>
      <c r="V16" s="292" t="s">
        <v>323</v>
      </c>
      <c r="X16" s="28"/>
      <c r="Y16" s="28"/>
      <c r="Z16" s="28"/>
      <c r="AA16" s="26"/>
      <c r="AB16" s="28"/>
    </row>
    <row r="17" spans="2:34" x14ac:dyDescent="0.2">
      <c r="B17" s="285" t="s">
        <v>164</v>
      </c>
      <c r="C17" s="105" t="s">
        <v>430</v>
      </c>
      <c r="D17" s="290" t="s">
        <v>79</v>
      </c>
      <c r="E17" s="276" t="s">
        <v>321</v>
      </c>
      <c r="F17" s="290">
        <v>250</v>
      </c>
      <c r="G17" s="290">
        <v>250</v>
      </c>
      <c r="H17" s="278">
        <v>1.7</v>
      </c>
      <c r="I17" s="448">
        <v>6.5000000000000002E-2</v>
      </c>
      <c r="J17" s="253">
        <f t="shared" si="36"/>
        <v>1.1564625850340136</v>
      </c>
      <c r="K17" s="254">
        <f t="shared" si="0"/>
        <v>4.4217687074829932E-2</v>
      </c>
      <c r="L17" s="253">
        <f t="shared" si="1"/>
        <v>0.84807256235827666</v>
      </c>
      <c r="M17" s="254">
        <f t="shared" si="7"/>
        <v>3.2426303854875285E-2</v>
      </c>
      <c r="N17" s="253">
        <f t="shared" si="37"/>
        <v>0.79209766098220102</v>
      </c>
      <c r="O17" s="254">
        <f t="shared" si="2"/>
        <v>3.0286087037554747E-2</v>
      </c>
      <c r="P17" s="253">
        <f t="shared" si="38"/>
        <v>0.40620392870882105</v>
      </c>
      <c r="Q17" s="254">
        <f t="shared" si="3"/>
        <v>1.203677818159227E-2</v>
      </c>
      <c r="R17" s="360">
        <f t="shared" si="39"/>
        <v>0.40620392870882105</v>
      </c>
      <c r="S17" s="361">
        <f t="shared" si="40"/>
        <v>4.115801571770261E-3</v>
      </c>
      <c r="T17" s="219">
        <v>12</v>
      </c>
      <c r="U17" s="288" t="s">
        <v>322</v>
      </c>
      <c r="V17" s="292" t="s">
        <v>323</v>
      </c>
      <c r="W17" s="293"/>
      <c r="X17" s="48"/>
      <c r="Y17" s="48"/>
      <c r="Z17" s="48"/>
      <c r="AA17" s="26"/>
      <c r="AB17" s="28"/>
      <c r="AC17" s="29"/>
      <c r="AE17" s="29"/>
      <c r="AF17" s="28"/>
      <c r="AG17" s="30"/>
      <c r="AH17" s="28"/>
    </row>
    <row r="18" spans="2:34" x14ac:dyDescent="0.2">
      <c r="B18" s="285" t="s">
        <v>164</v>
      </c>
      <c r="C18" s="105" t="s">
        <v>430</v>
      </c>
      <c r="D18" s="290" t="s">
        <v>82</v>
      </c>
      <c r="E18" s="276" t="s">
        <v>321</v>
      </c>
      <c r="F18" s="290">
        <v>250</v>
      </c>
      <c r="G18" s="290">
        <v>250</v>
      </c>
      <c r="H18" s="278">
        <v>0.16</v>
      </c>
      <c r="I18" s="448">
        <v>4.9000000000000007E-3</v>
      </c>
      <c r="J18" s="253">
        <f t="shared" ref="J18" si="49">IF(H18&lt;&gt;"-", H18*ED_8/AT_AC*Breathing_Ratio,"-")</f>
        <v>0.108843537414966</v>
      </c>
      <c r="K18" s="254">
        <f t="shared" ref="K18" si="50">IF(I18&lt;&gt;"-", I18*ED_8/AT_AC*Breathing_Ratio,"-")</f>
        <v>3.333333333333334E-3</v>
      </c>
      <c r="L18" s="253">
        <f t="shared" ref="L18" si="51">IF(H18&lt;&gt;"-", IF(F18&gt;=EF_ST, H18*ED_8*EF_ST/AT_ADC_ST*Breathing_Ratio, H18*ED_8*F18/AT_ADC_ST*Breathing_Ratio),"-")</f>
        <v>7.9818594104308388E-2</v>
      </c>
      <c r="M18" s="254">
        <f t="shared" ref="M18" si="52">IF(I18&lt;&gt;"-", IF(G18&gt;=EF_ST, I18*ED_8*EF_ST/AT_ADC_ST*Breathing_Ratio, I18*ED_8*G18/AT_ADC_ST*Breathing_Ratio),"-")</f>
        <v>2.4444444444444453E-3</v>
      </c>
      <c r="N18" s="253">
        <f t="shared" ref="N18" si="53">IF(H18&lt;&gt;"-", H18*ED_8*F18*WY_high/AT_ADC_high*Breathing_Ratio,"-")</f>
        <v>7.4550368092442448E-2</v>
      </c>
      <c r="O18" s="254">
        <f t="shared" ref="O18" si="54">IF(I18&lt;&gt;"-", I18*ED_8*G18*WY_mid/AT_ADC_mid*Breathing_Ratio, "-")</f>
        <v>2.2831050228310505E-3</v>
      </c>
      <c r="P18" s="253">
        <f t="shared" ref="P18" si="55">IF(H18&lt;&gt;"-",H18*ED_8*F18*WY_high/AT_LADC*Breathing_Ratio,"-")</f>
        <v>3.8230957996124339E-2</v>
      </c>
      <c r="Q18" s="254">
        <f t="shared" ref="Q18" si="56">IF(I18&lt;&gt;"-",I18*ED_8*G18*WY_mid/AT_LADC*Breathing_Ratio,"-")</f>
        <v>9.073878936892636E-4</v>
      </c>
      <c r="R18" s="360">
        <f t="shared" si="39"/>
        <v>3.8230957996124339E-2</v>
      </c>
      <c r="S18" s="361">
        <f t="shared" si="40"/>
        <v>3.1026811848729657E-4</v>
      </c>
      <c r="T18" s="219">
        <v>6</v>
      </c>
      <c r="U18" s="291" t="s">
        <v>325</v>
      </c>
      <c r="V18" s="292" t="s">
        <v>323</v>
      </c>
      <c r="X18" s="28"/>
      <c r="Y18" s="28"/>
      <c r="Z18" s="28"/>
      <c r="AA18" s="26"/>
      <c r="AB18" s="28"/>
    </row>
    <row r="19" spans="2:34" x14ac:dyDescent="0.2">
      <c r="B19" s="285" t="s">
        <v>165</v>
      </c>
      <c r="C19" s="105" t="s">
        <v>431</v>
      </c>
      <c r="D19" s="290" t="s">
        <v>79</v>
      </c>
      <c r="E19" s="276" t="s">
        <v>321</v>
      </c>
      <c r="F19" s="290">
        <v>250</v>
      </c>
      <c r="G19" s="290">
        <v>250</v>
      </c>
      <c r="H19" s="278">
        <v>0.36</v>
      </c>
      <c r="I19" s="448">
        <v>2.1000000000000001E-2</v>
      </c>
      <c r="J19" s="253">
        <f t="shared" si="36"/>
        <v>0.24489795918367346</v>
      </c>
      <c r="K19" s="254">
        <f t="shared" si="0"/>
        <v>1.4285714285714287E-2</v>
      </c>
      <c r="L19" s="253">
        <f t="shared" si="1"/>
        <v>0.17959183673469387</v>
      </c>
      <c r="M19" s="254">
        <f t="shared" si="7"/>
        <v>1.0476190476190477E-2</v>
      </c>
      <c r="N19" s="253">
        <f t="shared" si="37"/>
        <v>0.16773832820799553</v>
      </c>
      <c r="O19" s="254">
        <f t="shared" si="2"/>
        <v>9.7847358121330736E-3</v>
      </c>
      <c r="P19" s="253">
        <f t="shared" si="38"/>
        <v>8.6019655491279753E-2</v>
      </c>
      <c r="Q19" s="254">
        <f t="shared" si="3"/>
        <v>3.8888052586682725E-3</v>
      </c>
      <c r="R19" s="360">
        <f t="shared" si="39"/>
        <v>8.6019655491279753E-2</v>
      </c>
      <c r="S19" s="361">
        <f t="shared" si="40"/>
        <v>1.3297205078026996E-3</v>
      </c>
      <c r="T19" s="219">
        <v>14</v>
      </c>
      <c r="U19" s="288" t="s">
        <v>322</v>
      </c>
      <c r="V19" s="292" t="s">
        <v>323</v>
      </c>
      <c r="X19" s="28"/>
      <c r="Y19" s="28"/>
      <c r="Z19" s="28"/>
      <c r="AA19" s="26"/>
      <c r="AB19" s="28"/>
      <c r="AC19" s="231"/>
      <c r="AE19" s="231"/>
      <c r="AF19" s="28"/>
      <c r="AG19" s="30"/>
      <c r="AH19" s="28"/>
    </row>
    <row r="20" spans="2:34" x14ac:dyDescent="0.2">
      <c r="B20" s="285" t="s">
        <v>165</v>
      </c>
      <c r="C20" s="105" t="s">
        <v>431</v>
      </c>
      <c r="D20" s="290" t="s">
        <v>82</v>
      </c>
      <c r="E20" s="276" t="s">
        <v>321</v>
      </c>
      <c r="F20" s="290">
        <v>250</v>
      </c>
      <c r="G20" s="290">
        <v>250</v>
      </c>
      <c r="H20" s="278">
        <v>0.16</v>
      </c>
      <c r="I20" s="448">
        <v>4.9000000000000007E-3</v>
      </c>
      <c r="J20" s="253">
        <f t="shared" ref="J20" si="57">IF(H20&lt;&gt;"-", H20*ED_8/AT_AC*Breathing_Ratio,"-")</f>
        <v>0.108843537414966</v>
      </c>
      <c r="K20" s="254">
        <f t="shared" ref="K20" si="58">IF(I20&lt;&gt;"-", I20*ED_8/AT_AC*Breathing_Ratio,"-")</f>
        <v>3.333333333333334E-3</v>
      </c>
      <c r="L20" s="253">
        <f t="shared" ref="L20" si="59">IF(H20&lt;&gt;"-", IF(F20&gt;=EF_ST, H20*ED_8*EF_ST/AT_ADC_ST*Breathing_Ratio, H20*ED_8*F20/AT_ADC_ST*Breathing_Ratio),"-")</f>
        <v>7.9818594104308388E-2</v>
      </c>
      <c r="M20" s="254">
        <f t="shared" ref="M20" si="60">IF(I20&lt;&gt;"-", IF(G20&gt;=EF_ST, I20*ED_8*EF_ST/AT_ADC_ST*Breathing_Ratio, I20*ED_8*G20/AT_ADC_ST*Breathing_Ratio),"-")</f>
        <v>2.4444444444444453E-3</v>
      </c>
      <c r="N20" s="253">
        <f t="shared" ref="N20" si="61">IF(H20&lt;&gt;"-", H20*ED_8*F20*WY_high/AT_ADC_high*Breathing_Ratio,"-")</f>
        <v>7.4550368092442448E-2</v>
      </c>
      <c r="O20" s="254">
        <f t="shared" ref="O20" si="62">IF(I20&lt;&gt;"-", I20*ED_8*G20*WY_mid/AT_ADC_mid*Breathing_Ratio, "-")</f>
        <v>2.2831050228310505E-3</v>
      </c>
      <c r="P20" s="253">
        <f t="shared" ref="P20" si="63">IF(H20&lt;&gt;"-",H20*ED_8*F20*WY_high/AT_LADC*Breathing_Ratio,"-")</f>
        <v>3.8230957996124339E-2</v>
      </c>
      <c r="Q20" s="254">
        <f t="shared" ref="Q20" si="64">IF(I20&lt;&gt;"-",I20*ED_8*G20*WY_mid/AT_LADC*Breathing_Ratio,"-")</f>
        <v>9.073878936892636E-4</v>
      </c>
      <c r="R20" s="360">
        <f t="shared" si="39"/>
        <v>3.8230957996124339E-2</v>
      </c>
      <c r="S20" s="361">
        <f t="shared" si="40"/>
        <v>3.1026811848729657E-4</v>
      </c>
      <c r="T20" s="219">
        <v>6</v>
      </c>
      <c r="U20" s="291" t="s">
        <v>325</v>
      </c>
      <c r="V20" s="292" t="s">
        <v>323</v>
      </c>
      <c r="X20" s="28"/>
      <c r="Y20" s="28"/>
      <c r="Z20" s="28"/>
      <c r="AA20" s="26"/>
      <c r="AB20" s="28"/>
    </row>
    <row r="21" spans="2:34" x14ac:dyDescent="0.2">
      <c r="B21" s="285" t="s">
        <v>166</v>
      </c>
      <c r="C21" s="105" t="s">
        <v>432</v>
      </c>
      <c r="D21" s="290" t="s">
        <v>79</v>
      </c>
      <c r="E21" s="276" t="s">
        <v>321</v>
      </c>
      <c r="F21" s="290">
        <v>250</v>
      </c>
      <c r="G21" s="290">
        <v>250</v>
      </c>
      <c r="H21" s="278">
        <v>7.5999999999999998E-2</v>
      </c>
      <c r="I21" s="448">
        <v>2.5999999999999999E-2</v>
      </c>
      <c r="J21" s="253">
        <f t="shared" si="36"/>
        <v>5.1700680272108841E-2</v>
      </c>
      <c r="K21" s="254">
        <f t="shared" si="0"/>
        <v>1.7687074829931971E-2</v>
      </c>
      <c r="L21" s="253">
        <f t="shared" si="1"/>
        <v>3.7913832199546485E-2</v>
      </c>
      <c r="M21" s="254">
        <f t="shared" si="7"/>
        <v>1.2970521541950114E-2</v>
      </c>
      <c r="N21" s="253">
        <f t="shared" si="37"/>
        <v>3.5411424843910168E-2</v>
      </c>
      <c r="O21" s="254">
        <f t="shared" si="2"/>
        <v>1.2114434815021899E-2</v>
      </c>
      <c r="P21" s="253">
        <f t="shared" si="38"/>
        <v>1.8159705048159062E-2</v>
      </c>
      <c r="Q21" s="254">
        <f t="shared" si="3"/>
        <v>4.8147112726369089E-3</v>
      </c>
      <c r="R21" s="360">
        <f t="shared" si="39"/>
        <v>1.8159705048159062E-2</v>
      </c>
      <c r="S21" s="361">
        <f t="shared" si="40"/>
        <v>1.646320628708104E-3</v>
      </c>
      <c r="T21" s="219">
        <v>9</v>
      </c>
      <c r="U21" s="288" t="s">
        <v>322</v>
      </c>
      <c r="V21" s="292" t="s">
        <v>323</v>
      </c>
      <c r="X21" s="28"/>
      <c r="Y21" s="28"/>
      <c r="Z21" s="28"/>
      <c r="AA21" s="26"/>
      <c r="AB21" s="28"/>
    </row>
    <row r="22" spans="2:34" x14ac:dyDescent="0.2">
      <c r="B22" s="285" t="s">
        <v>166</v>
      </c>
      <c r="C22" s="105" t="s">
        <v>432</v>
      </c>
      <c r="D22" s="290" t="s">
        <v>82</v>
      </c>
      <c r="E22" s="276" t="s">
        <v>321</v>
      </c>
      <c r="F22" s="290">
        <v>250</v>
      </c>
      <c r="G22" s="290">
        <v>250</v>
      </c>
      <c r="H22" s="278">
        <v>0.16</v>
      </c>
      <c r="I22" s="448">
        <v>4.9000000000000007E-3</v>
      </c>
      <c r="J22" s="253">
        <f t="shared" ref="J22" si="65">IF(H22&lt;&gt;"-", H22*ED_8/AT_AC*Breathing_Ratio,"-")</f>
        <v>0.108843537414966</v>
      </c>
      <c r="K22" s="254">
        <f t="shared" ref="K22" si="66">IF(I22&lt;&gt;"-", I22*ED_8/AT_AC*Breathing_Ratio,"-")</f>
        <v>3.333333333333334E-3</v>
      </c>
      <c r="L22" s="253">
        <f t="shared" ref="L22" si="67">IF(H22&lt;&gt;"-", IF(F22&gt;=EF_ST, H22*ED_8*EF_ST/AT_ADC_ST*Breathing_Ratio, H22*ED_8*F22/AT_ADC_ST*Breathing_Ratio),"-")</f>
        <v>7.9818594104308388E-2</v>
      </c>
      <c r="M22" s="254">
        <f t="shared" ref="M22" si="68">IF(I22&lt;&gt;"-", IF(G22&gt;=EF_ST, I22*ED_8*EF_ST/AT_ADC_ST*Breathing_Ratio, I22*ED_8*G22/AT_ADC_ST*Breathing_Ratio),"-")</f>
        <v>2.4444444444444453E-3</v>
      </c>
      <c r="N22" s="253">
        <f t="shared" ref="N22" si="69">IF(H22&lt;&gt;"-", H22*ED_8*F22*WY_high/AT_ADC_high*Breathing_Ratio,"-")</f>
        <v>7.4550368092442448E-2</v>
      </c>
      <c r="O22" s="254">
        <f t="shared" ref="O22" si="70">IF(I22&lt;&gt;"-", I22*ED_8*G22*WY_mid/AT_ADC_mid*Breathing_Ratio, "-")</f>
        <v>2.2831050228310505E-3</v>
      </c>
      <c r="P22" s="253">
        <f t="shared" ref="P22" si="71">IF(H22&lt;&gt;"-",H22*ED_8*F22*WY_high/AT_LADC*Breathing_Ratio,"-")</f>
        <v>3.8230957996124339E-2</v>
      </c>
      <c r="Q22" s="254">
        <f t="shared" ref="Q22" si="72">IF(I22&lt;&gt;"-",I22*ED_8*G22*WY_mid/AT_LADC*Breathing_Ratio,"-")</f>
        <v>9.073878936892636E-4</v>
      </c>
      <c r="R22" s="360">
        <f t="shared" si="39"/>
        <v>3.8230957996124339E-2</v>
      </c>
      <c r="S22" s="361">
        <f t="shared" si="40"/>
        <v>3.1026811848729657E-4</v>
      </c>
      <c r="T22" s="219">
        <v>6</v>
      </c>
      <c r="U22" s="291" t="s">
        <v>325</v>
      </c>
      <c r="V22" s="292" t="s">
        <v>323</v>
      </c>
      <c r="X22" s="28"/>
      <c r="Y22" s="28"/>
      <c r="Z22" s="28"/>
      <c r="AA22" s="26"/>
      <c r="AB22" s="28"/>
    </row>
    <row r="23" spans="2:34" x14ac:dyDescent="0.2">
      <c r="B23" s="285" t="s">
        <v>438</v>
      </c>
      <c r="C23" s="105" t="s">
        <v>437</v>
      </c>
      <c r="D23" s="290" t="s">
        <v>82</v>
      </c>
      <c r="E23" s="276" t="s">
        <v>321</v>
      </c>
      <c r="F23" s="290">
        <v>250</v>
      </c>
      <c r="G23" s="290">
        <v>250</v>
      </c>
      <c r="H23" s="278">
        <v>0.16</v>
      </c>
      <c r="I23" s="448">
        <v>4.9000000000000007E-3</v>
      </c>
      <c r="J23" s="253">
        <f t="shared" si="36"/>
        <v>0.108843537414966</v>
      </c>
      <c r="K23" s="254">
        <f t="shared" si="0"/>
        <v>3.333333333333334E-3</v>
      </c>
      <c r="L23" s="253">
        <f t="shared" si="1"/>
        <v>7.9818594104308388E-2</v>
      </c>
      <c r="M23" s="254">
        <f t="shared" si="7"/>
        <v>2.4444444444444453E-3</v>
      </c>
      <c r="N23" s="253">
        <f t="shared" si="37"/>
        <v>7.4550368092442448E-2</v>
      </c>
      <c r="O23" s="254">
        <f t="shared" si="2"/>
        <v>2.2831050228310505E-3</v>
      </c>
      <c r="P23" s="253">
        <f t="shared" si="38"/>
        <v>3.8230957996124339E-2</v>
      </c>
      <c r="Q23" s="254">
        <f t="shared" si="3"/>
        <v>9.073878936892636E-4</v>
      </c>
      <c r="R23" s="360">
        <f t="shared" si="39"/>
        <v>3.8230957996124339E-2</v>
      </c>
      <c r="S23" s="361">
        <f t="shared" si="40"/>
        <v>3.1026811848729657E-4</v>
      </c>
      <c r="T23" s="219">
        <v>6</v>
      </c>
      <c r="U23" s="291" t="s">
        <v>325</v>
      </c>
      <c r="V23" s="292" t="s">
        <v>323</v>
      </c>
      <c r="X23" s="28"/>
      <c r="Y23" s="28"/>
      <c r="Z23" s="28"/>
      <c r="AA23" s="26"/>
      <c r="AB23" s="28"/>
    </row>
    <row r="24" spans="2:34" x14ac:dyDescent="0.2">
      <c r="B24" s="285" t="s">
        <v>439</v>
      </c>
      <c r="C24" s="105" t="s">
        <v>433</v>
      </c>
      <c r="D24" s="290" t="s">
        <v>79</v>
      </c>
      <c r="E24" s="275" t="s">
        <v>321</v>
      </c>
      <c r="F24" s="290">
        <v>250</v>
      </c>
      <c r="G24" s="290">
        <v>250</v>
      </c>
      <c r="H24" s="278">
        <v>2.8421052631578949E-3</v>
      </c>
      <c r="I24" s="448">
        <v>7.7894736842105267E-4</v>
      </c>
      <c r="J24" s="253">
        <f t="shared" ref="J24:J32" si="73">IF(H24&lt;&gt;"-", H24*ED_8/AT_AC*Breathing_Ratio,"-")</f>
        <v>1.9334049409237381E-3</v>
      </c>
      <c r="K24" s="254">
        <f t="shared" ref="K24:K32" si="74">IF(I24&lt;&gt;"-", I24*ED_8/AT_AC*Breathing_Ratio,"-")</f>
        <v>5.2989616899391345E-4</v>
      </c>
      <c r="L24" s="253">
        <f t="shared" ref="L24:L32" si="75">IF(H24&lt;&gt;"-", IF(F24&gt;=EF_ST, H24*ED_8*EF_ST/AT_ADC_ST*Breathing_Ratio, H24*ED_8*F24/AT_ADC_ST*Breathing_Ratio),"-")</f>
        <v>1.4178302900107415E-3</v>
      </c>
      <c r="M24" s="254">
        <f t="shared" ref="M24:M32" si="76">IF(I24&lt;&gt;"-", IF(G24&gt;=EF_ST, I24*ED_8*EF_ST/AT_ADC_ST*Breathing_Ratio, I24*ED_8*G24/AT_ADC_ST*Breathing_Ratio),"-")</f>
        <v>3.8859052392886987E-4</v>
      </c>
      <c r="N24" s="253">
        <f t="shared" ref="N24:N32" si="77">IF(H24&lt;&gt;"-", H24*ED_8*F24*WY_high/AT_ADC_high*Breathing_Ratio,"-")</f>
        <v>1.3242499595368072E-3</v>
      </c>
      <c r="O24" s="254">
        <f t="shared" ref="O24:O32" si="78">IF(I24&lt;&gt;"-", I24*ED_8*G24*WY_mid/AT_ADC_mid*Breathing_Ratio, "-")</f>
        <v>3.6294258150268031E-4</v>
      </c>
      <c r="P24" s="253">
        <f t="shared" ref="P24:P32" si="79">IF(H24&lt;&gt;"-",H24*ED_8*F24*WY_high/AT_LADC*Breathing_Ratio,"-")</f>
        <v>6.7910254335220882E-4</v>
      </c>
      <c r="Q24" s="254">
        <f t="shared" ref="Q24:Q32" si="80">IF(I24&lt;&gt;"-",I24*ED_8*G24*WY_mid/AT_LADC*Breathing_Ratio,"-")</f>
        <v>1.4424641059721912E-4</v>
      </c>
      <c r="R24" s="360">
        <f t="shared" ref="R24:R32" si="81">IF(H24&lt;&gt;"-",H24*ED_8*F24*WY_byp_high/AT_LADC*Breathing_Ratio,"-")</f>
        <v>6.7910254335220882E-4</v>
      </c>
      <c r="S24" s="361">
        <f t="shared" ref="S24:S32" si="82">IF(I24&lt;&gt;"-",I24*ED_8*G24*WY_byp_mid/AT_LADC*Breathing_Ratio,"-")</f>
        <v>4.9322966204210403E-5</v>
      </c>
      <c r="T24" s="219">
        <v>12</v>
      </c>
      <c r="U24" s="288" t="s">
        <v>322</v>
      </c>
      <c r="V24" s="292" t="s">
        <v>323</v>
      </c>
      <c r="W24" s="293"/>
      <c r="X24" s="48"/>
      <c r="Y24" s="48"/>
      <c r="Z24" s="48"/>
      <c r="AA24" s="26"/>
      <c r="AB24" s="28"/>
      <c r="AC24" s="29"/>
      <c r="AE24" s="29"/>
      <c r="AF24" s="28"/>
      <c r="AG24" s="30"/>
      <c r="AH24" s="28"/>
    </row>
    <row r="25" spans="2:34" ht="12.75" customHeight="1" x14ac:dyDescent="0.2">
      <c r="B25" s="285" t="s">
        <v>439</v>
      </c>
      <c r="C25" s="105" t="s">
        <v>433</v>
      </c>
      <c r="D25" s="290" t="s">
        <v>82</v>
      </c>
      <c r="E25" s="276" t="s">
        <v>321</v>
      </c>
      <c r="F25" s="290">
        <v>250</v>
      </c>
      <c r="G25" s="290">
        <v>250</v>
      </c>
      <c r="H25" s="278">
        <v>1.6842105263157896E-3</v>
      </c>
      <c r="I25" s="448">
        <v>5.1578947368421063E-5</v>
      </c>
      <c r="J25" s="253">
        <f t="shared" si="73"/>
        <v>1.1457214464733263E-3</v>
      </c>
      <c r="K25" s="254">
        <f t="shared" si="74"/>
        <v>3.5087719298245625E-5</v>
      </c>
      <c r="L25" s="253">
        <f t="shared" si="75"/>
        <v>8.4019572741377262E-4</v>
      </c>
      <c r="M25" s="254">
        <f t="shared" si="76"/>
        <v>2.573099415204679E-5</v>
      </c>
      <c r="N25" s="253">
        <f t="shared" si="77"/>
        <v>7.8474071676255233E-4</v>
      </c>
      <c r="O25" s="254">
        <f t="shared" si="78"/>
        <v>2.4032684450853162E-5</v>
      </c>
      <c r="P25" s="253">
        <f t="shared" si="79"/>
        <v>4.0243113680130886E-4</v>
      </c>
      <c r="Q25" s="254">
        <f t="shared" si="80"/>
        <v>9.5514515125185665E-6</v>
      </c>
      <c r="R25" s="360">
        <f t="shared" si="81"/>
        <v>4.0243113680130886E-4</v>
      </c>
      <c r="S25" s="361">
        <f t="shared" si="82"/>
        <v>3.2659801946031227E-6</v>
      </c>
      <c r="T25" s="219">
        <v>6</v>
      </c>
      <c r="U25" s="291" t="s">
        <v>325</v>
      </c>
      <c r="V25" s="292" t="s">
        <v>323</v>
      </c>
      <c r="X25" s="28"/>
      <c r="Y25" s="28"/>
      <c r="Z25" s="28"/>
      <c r="AA25" s="26"/>
      <c r="AB25" s="28"/>
    </row>
    <row r="26" spans="2:34" x14ac:dyDescent="0.2">
      <c r="B26" s="285" t="s">
        <v>441</v>
      </c>
      <c r="C26" s="105" t="s">
        <v>434</v>
      </c>
      <c r="D26" s="290" t="s">
        <v>79</v>
      </c>
      <c r="E26" s="276" t="s">
        <v>321</v>
      </c>
      <c r="F26" s="290">
        <v>250</v>
      </c>
      <c r="G26" s="290">
        <v>250</v>
      </c>
      <c r="H26" s="278">
        <v>1.7894736842105265E-2</v>
      </c>
      <c r="I26" s="448">
        <v>6.8421052631578954E-4</v>
      </c>
      <c r="J26" s="253">
        <f t="shared" si="73"/>
        <v>1.2173290368779092E-2</v>
      </c>
      <c r="K26" s="254">
        <f t="shared" si="74"/>
        <v>4.6544933762978881E-4</v>
      </c>
      <c r="L26" s="253">
        <f t="shared" si="75"/>
        <v>8.927079603771336E-3</v>
      </c>
      <c r="M26" s="254">
        <f t="shared" si="76"/>
        <v>3.413295142618451E-4</v>
      </c>
      <c r="N26" s="253">
        <f t="shared" si="77"/>
        <v>8.3378701156021171E-3</v>
      </c>
      <c r="O26" s="254">
        <f t="shared" si="78"/>
        <v>3.1880091618478683E-4</v>
      </c>
      <c r="P26" s="253">
        <f t="shared" si="79"/>
        <v>4.2758308285139063E-3</v>
      </c>
      <c r="Q26" s="254">
        <f t="shared" si="80"/>
        <v>1.2670292822728705E-4</v>
      </c>
      <c r="R26" s="360">
        <f t="shared" si="81"/>
        <v>4.2758308285139063E-3</v>
      </c>
      <c r="S26" s="361">
        <f t="shared" si="82"/>
        <v>4.3324227071265905E-5</v>
      </c>
      <c r="T26" s="219">
        <v>12</v>
      </c>
      <c r="U26" s="288" t="s">
        <v>322</v>
      </c>
      <c r="V26" s="292" t="s">
        <v>323</v>
      </c>
      <c r="W26" s="293"/>
      <c r="X26" s="48"/>
      <c r="Y26" s="48"/>
      <c r="Z26" s="48"/>
      <c r="AA26" s="26"/>
      <c r="AB26" s="28"/>
      <c r="AC26" s="29"/>
      <c r="AE26" s="29"/>
      <c r="AF26" s="28"/>
      <c r="AG26" s="30"/>
      <c r="AH26" s="28"/>
    </row>
    <row r="27" spans="2:34" x14ac:dyDescent="0.2">
      <c r="B27" s="285" t="s">
        <v>441</v>
      </c>
      <c r="C27" s="105" t="s">
        <v>434</v>
      </c>
      <c r="D27" s="290" t="s">
        <v>82</v>
      </c>
      <c r="E27" s="276" t="s">
        <v>321</v>
      </c>
      <c r="F27" s="290">
        <v>250</v>
      </c>
      <c r="G27" s="290">
        <v>250</v>
      </c>
      <c r="H27" s="278">
        <v>1.6842105263157896E-3</v>
      </c>
      <c r="I27" s="448">
        <v>5.1578947368421063E-5</v>
      </c>
      <c r="J27" s="253">
        <f t="shared" si="73"/>
        <v>1.1457214464733263E-3</v>
      </c>
      <c r="K27" s="254">
        <f t="shared" si="74"/>
        <v>3.5087719298245625E-5</v>
      </c>
      <c r="L27" s="253">
        <f t="shared" si="75"/>
        <v>8.4019572741377262E-4</v>
      </c>
      <c r="M27" s="254">
        <f t="shared" si="76"/>
        <v>2.573099415204679E-5</v>
      </c>
      <c r="N27" s="253">
        <f t="shared" si="77"/>
        <v>7.8474071676255233E-4</v>
      </c>
      <c r="O27" s="254">
        <f t="shared" si="78"/>
        <v>2.4032684450853162E-5</v>
      </c>
      <c r="P27" s="253">
        <f t="shared" si="79"/>
        <v>4.0243113680130886E-4</v>
      </c>
      <c r="Q27" s="254">
        <f t="shared" si="80"/>
        <v>9.5514515125185665E-6</v>
      </c>
      <c r="R27" s="360">
        <f t="shared" si="81"/>
        <v>4.0243113680130886E-4</v>
      </c>
      <c r="S27" s="361">
        <f t="shared" si="82"/>
        <v>3.2659801946031227E-6</v>
      </c>
      <c r="T27" s="219">
        <v>6</v>
      </c>
      <c r="U27" s="291" t="s">
        <v>325</v>
      </c>
      <c r="V27" s="292" t="s">
        <v>323</v>
      </c>
      <c r="X27" s="28"/>
      <c r="Y27" s="28"/>
      <c r="Z27" s="28"/>
      <c r="AA27" s="26"/>
      <c r="AB27" s="28"/>
    </row>
    <row r="28" spans="2:34" x14ac:dyDescent="0.2">
      <c r="B28" s="285" t="s">
        <v>442</v>
      </c>
      <c r="C28" s="105" t="s">
        <v>435</v>
      </c>
      <c r="D28" s="290" t="s">
        <v>79</v>
      </c>
      <c r="E28" s="276" t="s">
        <v>321</v>
      </c>
      <c r="F28" s="290">
        <v>250</v>
      </c>
      <c r="G28" s="290">
        <v>250</v>
      </c>
      <c r="H28" s="278">
        <v>3.7894736842105266E-3</v>
      </c>
      <c r="I28" s="448">
        <v>2.2105263157894738E-4</v>
      </c>
      <c r="J28" s="253">
        <f t="shared" si="73"/>
        <v>2.5778732545649842E-3</v>
      </c>
      <c r="K28" s="254">
        <f t="shared" si="74"/>
        <v>1.5037593984962405E-4</v>
      </c>
      <c r="L28" s="253">
        <f t="shared" si="75"/>
        <v>1.8904403866809886E-3</v>
      </c>
      <c r="M28" s="254">
        <f t="shared" si="76"/>
        <v>1.1027568922305765E-4</v>
      </c>
      <c r="N28" s="253">
        <f t="shared" si="77"/>
        <v>1.7656666127157427E-3</v>
      </c>
      <c r="O28" s="254">
        <f t="shared" si="78"/>
        <v>1.0299721907508498E-4</v>
      </c>
      <c r="P28" s="253">
        <f t="shared" si="79"/>
        <v>9.0547005780294485E-4</v>
      </c>
      <c r="Q28" s="254">
        <f t="shared" si="80"/>
        <v>4.0934792196508132E-5</v>
      </c>
      <c r="R28" s="360">
        <f t="shared" si="81"/>
        <v>9.0547005780294485E-4</v>
      </c>
      <c r="S28" s="361">
        <f t="shared" si="82"/>
        <v>1.3997057976870522E-5</v>
      </c>
      <c r="T28" s="219">
        <v>14</v>
      </c>
      <c r="U28" s="288" t="s">
        <v>322</v>
      </c>
      <c r="V28" s="292" t="s">
        <v>323</v>
      </c>
      <c r="X28" s="28"/>
      <c r="Y28" s="28"/>
      <c r="Z28" s="28"/>
      <c r="AA28" s="26"/>
      <c r="AB28" s="28"/>
      <c r="AC28" s="231"/>
      <c r="AE28" s="231"/>
      <c r="AF28" s="28"/>
      <c r="AG28" s="30"/>
      <c r="AH28" s="28"/>
    </row>
    <row r="29" spans="2:34" x14ac:dyDescent="0.2">
      <c r="B29" s="285" t="s">
        <v>442</v>
      </c>
      <c r="C29" s="105" t="s">
        <v>435</v>
      </c>
      <c r="D29" s="290" t="s">
        <v>82</v>
      </c>
      <c r="E29" s="276" t="s">
        <v>321</v>
      </c>
      <c r="F29" s="290">
        <v>250</v>
      </c>
      <c r="G29" s="290">
        <v>250</v>
      </c>
      <c r="H29" s="278">
        <v>1.6842105263157896E-3</v>
      </c>
      <c r="I29" s="448">
        <v>5.1578947368421063E-5</v>
      </c>
      <c r="J29" s="253">
        <f t="shared" si="73"/>
        <v>1.1457214464733263E-3</v>
      </c>
      <c r="K29" s="254">
        <f t="shared" si="74"/>
        <v>3.5087719298245625E-5</v>
      </c>
      <c r="L29" s="253">
        <f t="shared" si="75"/>
        <v>8.4019572741377262E-4</v>
      </c>
      <c r="M29" s="254">
        <f t="shared" si="76"/>
        <v>2.573099415204679E-5</v>
      </c>
      <c r="N29" s="253">
        <f t="shared" si="77"/>
        <v>7.8474071676255233E-4</v>
      </c>
      <c r="O29" s="254">
        <f t="shared" si="78"/>
        <v>2.4032684450853162E-5</v>
      </c>
      <c r="P29" s="253">
        <f t="shared" si="79"/>
        <v>4.0243113680130886E-4</v>
      </c>
      <c r="Q29" s="254">
        <f t="shared" si="80"/>
        <v>9.5514515125185665E-6</v>
      </c>
      <c r="R29" s="360">
        <f t="shared" si="81"/>
        <v>4.0243113680130886E-4</v>
      </c>
      <c r="S29" s="361">
        <f t="shared" si="82"/>
        <v>3.2659801946031227E-6</v>
      </c>
      <c r="T29" s="219">
        <v>6</v>
      </c>
      <c r="U29" s="291" t="s">
        <v>325</v>
      </c>
      <c r="V29" s="292" t="s">
        <v>323</v>
      </c>
      <c r="X29" s="28"/>
      <c r="Y29" s="28"/>
      <c r="Z29" s="28"/>
      <c r="AA29" s="26"/>
      <c r="AB29" s="28"/>
    </row>
    <row r="30" spans="2:34" x14ac:dyDescent="0.2">
      <c r="B30" s="285" t="s">
        <v>443</v>
      </c>
      <c r="C30" s="105" t="s">
        <v>436</v>
      </c>
      <c r="D30" s="290" t="s">
        <v>79</v>
      </c>
      <c r="E30" s="276" t="s">
        <v>321</v>
      </c>
      <c r="F30" s="290">
        <v>250</v>
      </c>
      <c r="G30" s="290">
        <v>250</v>
      </c>
      <c r="H30" s="278">
        <v>8.0000000000000004E-4</v>
      </c>
      <c r="I30" s="448">
        <v>2.7368421052631579E-4</v>
      </c>
      <c r="J30" s="253">
        <f t="shared" si="73"/>
        <v>5.4421768707482992E-4</v>
      </c>
      <c r="K30" s="254">
        <f t="shared" si="74"/>
        <v>1.8617973505191551E-4</v>
      </c>
      <c r="L30" s="253">
        <f t="shared" si="75"/>
        <v>3.9909297052154196E-4</v>
      </c>
      <c r="M30" s="254">
        <f t="shared" si="76"/>
        <v>1.3653180570473805E-4</v>
      </c>
      <c r="N30" s="253">
        <f t="shared" si="77"/>
        <v>3.727518404622123E-4</v>
      </c>
      <c r="O30" s="254">
        <f t="shared" si="78"/>
        <v>1.2752036647391472E-4</v>
      </c>
      <c r="P30" s="253">
        <f t="shared" si="79"/>
        <v>1.9115478998062168E-4</v>
      </c>
      <c r="Q30" s="254">
        <f t="shared" si="80"/>
        <v>5.0681171290914834E-5</v>
      </c>
      <c r="R30" s="360">
        <f t="shared" si="81"/>
        <v>1.9115478998062168E-4</v>
      </c>
      <c r="S30" s="361">
        <f t="shared" si="82"/>
        <v>1.7329690828506362E-5</v>
      </c>
      <c r="T30" s="219">
        <v>9</v>
      </c>
      <c r="U30" s="288" t="s">
        <v>322</v>
      </c>
      <c r="V30" s="292" t="s">
        <v>323</v>
      </c>
      <c r="X30" s="28"/>
      <c r="Y30" s="28"/>
      <c r="Z30" s="28"/>
      <c r="AA30" s="26"/>
      <c r="AB30" s="28"/>
    </row>
    <row r="31" spans="2:34" x14ac:dyDescent="0.2">
      <c r="B31" s="285" t="s">
        <v>443</v>
      </c>
      <c r="C31" s="105" t="s">
        <v>436</v>
      </c>
      <c r="D31" s="290" t="s">
        <v>82</v>
      </c>
      <c r="E31" s="276" t="s">
        <v>321</v>
      </c>
      <c r="F31" s="290">
        <v>250</v>
      </c>
      <c r="G31" s="290">
        <v>250</v>
      </c>
      <c r="H31" s="278">
        <v>1.6842105263157896E-3</v>
      </c>
      <c r="I31" s="448">
        <v>5.1578947368421063E-5</v>
      </c>
      <c r="J31" s="253">
        <f t="shared" si="73"/>
        <v>1.1457214464733263E-3</v>
      </c>
      <c r="K31" s="254">
        <f t="shared" si="74"/>
        <v>3.5087719298245625E-5</v>
      </c>
      <c r="L31" s="253">
        <f t="shared" si="75"/>
        <v>8.4019572741377262E-4</v>
      </c>
      <c r="M31" s="254">
        <f t="shared" si="76"/>
        <v>2.573099415204679E-5</v>
      </c>
      <c r="N31" s="253">
        <f t="shared" si="77"/>
        <v>7.8474071676255233E-4</v>
      </c>
      <c r="O31" s="254">
        <f t="shared" si="78"/>
        <v>2.4032684450853162E-5</v>
      </c>
      <c r="P31" s="253">
        <f t="shared" si="79"/>
        <v>4.0243113680130886E-4</v>
      </c>
      <c r="Q31" s="254">
        <f t="shared" si="80"/>
        <v>9.5514515125185665E-6</v>
      </c>
      <c r="R31" s="360">
        <f t="shared" si="81"/>
        <v>4.0243113680130886E-4</v>
      </c>
      <c r="S31" s="361">
        <f t="shared" si="82"/>
        <v>3.2659801946031227E-6</v>
      </c>
      <c r="T31" s="219">
        <v>6</v>
      </c>
      <c r="U31" s="291" t="s">
        <v>325</v>
      </c>
      <c r="V31" s="292" t="s">
        <v>323</v>
      </c>
      <c r="X31" s="28"/>
      <c r="Y31" s="28"/>
      <c r="Z31" s="28"/>
      <c r="AA31" s="26"/>
      <c r="AB31" s="28"/>
    </row>
    <row r="32" spans="2:34" x14ac:dyDescent="0.2">
      <c r="B32" s="285" t="s">
        <v>444</v>
      </c>
      <c r="C32" s="105" t="s">
        <v>440</v>
      </c>
      <c r="D32" s="290" t="s">
        <v>82</v>
      </c>
      <c r="E32" s="276" t="s">
        <v>321</v>
      </c>
      <c r="F32" s="290">
        <v>250</v>
      </c>
      <c r="G32" s="290">
        <v>250</v>
      </c>
      <c r="H32" s="278">
        <v>1.6842105263157896E-3</v>
      </c>
      <c r="I32" s="448">
        <v>5.1578947368421063E-5</v>
      </c>
      <c r="J32" s="253">
        <f t="shared" si="73"/>
        <v>1.1457214464733263E-3</v>
      </c>
      <c r="K32" s="254">
        <f t="shared" si="74"/>
        <v>3.5087719298245625E-5</v>
      </c>
      <c r="L32" s="253">
        <f t="shared" si="75"/>
        <v>8.4019572741377262E-4</v>
      </c>
      <c r="M32" s="254">
        <f t="shared" si="76"/>
        <v>2.573099415204679E-5</v>
      </c>
      <c r="N32" s="253">
        <f t="shared" si="77"/>
        <v>7.8474071676255233E-4</v>
      </c>
      <c r="O32" s="254">
        <f t="shared" si="78"/>
        <v>2.4032684450853162E-5</v>
      </c>
      <c r="P32" s="253">
        <f t="shared" si="79"/>
        <v>4.0243113680130886E-4</v>
      </c>
      <c r="Q32" s="254">
        <f t="shared" si="80"/>
        <v>9.5514515125185665E-6</v>
      </c>
      <c r="R32" s="360">
        <f t="shared" si="81"/>
        <v>4.0243113680130886E-4</v>
      </c>
      <c r="S32" s="361">
        <f t="shared" si="82"/>
        <v>3.2659801946031227E-6</v>
      </c>
      <c r="T32" s="219">
        <v>6</v>
      </c>
      <c r="U32" s="291" t="s">
        <v>325</v>
      </c>
      <c r="V32" s="292" t="s">
        <v>323</v>
      </c>
      <c r="X32" s="28"/>
      <c r="Y32" s="28"/>
      <c r="Z32" s="28"/>
      <c r="AA32" s="26"/>
      <c r="AB32" s="28"/>
    </row>
    <row r="33" spans="2:34" x14ac:dyDescent="0.2">
      <c r="B33" s="285" t="s">
        <v>167</v>
      </c>
      <c r="C33" s="105" t="s">
        <v>170</v>
      </c>
      <c r="D33" s="290" t="s">
        <v>79</v>
      </c>
      <c r="E33" s="276" t="s">
        <v>321</v>
      </c>
      <c r="F33" s="290">
        <v>250</v>
      </c>
      <c r="G33" s="290">
        <v>250</v>
      </c>
      <c r="H33" s="278">
        <v>2.4</v>
      </c>
      <c r="I33" s="15">
        <v>4.9951041666666668E-2</v>
      </c>
      <c r="J33" s="253">
        <f t="shared" si="36"/>
        <v>1.6326530612244896</v>
      </c>
      <c r="K33" s="254">
        <f t="shared" si="0"/>
        <v>3.3980300453514738E-2</v>
      </c>
      <c r="L33" s="253">
        <f t="shared" si="1"/>
        <v>1.1972789115646258</v>
      </c>
      <c r="M33" s="254">
        <f t="shared" si="7"/>
        <v>2.4918886999244143E-2</v>
      </c>
      <c r="N33" s="253">
        <f t="shared" si="37"/>
        <v>1.1182555213866368</v>
      </c>
      <c r="O33" s="254">
        <f t="shared" si="2"/>
        <v>2.3274178392818316E-2</v>
      </c>
      <c r="P33" s="253">
        <f t="shared" si="38"/>
        <v>0.57346436994186512</v>
      </c>
      <c r="Q33" s="254">
        <f t="shared" si="3"/>
        <v>9.2499939766329201E-3</v>
      </c>
      <c r="R33" s="362" t="s">
        <v>295</v>
      </c>
      <c r="S33" s="363" t="s">
        <v>295</v>
      </c>
      <c r="T33" s="219">
        <v>26</v>
      </c>
      <c r="U33" s="288" t="s">
        <v>326</v>
      </c>
      <c r="V33" s="292" t="s">
        <v>323</v>
      </c>
      <c r="X33" s="28"/>
      <c r="Y33" s="28"/>
      <c r="Z33" s="28"/>
      <c r="AA33" s="26"/>
      <c r="AB33" s="28"/>
      <c r="AC33" s="31"/>
      <c r="AE33" s="31"/>
      <c r="AF33" s="763"/>
      <c r="AG33" s="763"/>
      <c r="AH33" s="762"/>
    </row>
    <row r="34" spans="2:34" ht="25.5" x14ac:dyDescent="0.2">
      <c r="B34" s="285" t="s">
        <v>167</v>
      </c>
      <c r="C34" s="105" t="s">
        <v>170</v>
      </c>
      <c r="D34" s="290" t="s">
        <v>82</v>
      </c>
      <c r="E34" s="276" t="s">
        <v>321</v>
      </c>
      <c r="F34" s="290">
        <v>250</v>
      </c>
      <c r="G34" s="290">
        <v>250</v>
      </c>
      <c r="H34" s="450">
        <v>4.9951041666666703E-2</v>
      </c>
      <c r="I34" s="451">
        <v>4.9951041666666703E-2</v>
      </c>
      <c r="J34" s="253">
        <f t="shared" si="36"/>
        <v>3.3980300453514765E-2</v>
      </c>
      <c r="K34" s="254">
        <f t="shared" si="0"/>
        <v>3.3980300453514765E-2</v>
      </c>
      <c r="L34" s="253">
        <f t="shared" si="1"/>
        <v>2.4918886999244161E-2</v>
      </c>
      <c r="M34" s="254">
        <f t="shared" si="7"/>
        <v>2.4918886999244161E-2</v>
      </c>
      <c r="N34" s="253">
        <f>IF(H34&lt;&gt;"-", H34*ED_8*F34*WY_high/AT_ADC_high*Breathing_Ratio,"-")</f>
        <v>2.3274178392818333E-2</v>
      </c>
      <c r="O34" s="254">
        <f t="shared" si="2"/>
        <v>2.3274178392818333E-2</v>
      </c>
      <c r="P34" s="253">
        <f t="shared" si="38"/>
        <v>1.1935476098881195E-2</v>
      </c>
      <c r="Q34" s="254">
        <f t="shared" si="3"/>
        <v>9.2499939766329271E-3</v>
      </c>
      <c r="R34" s="362" t="s">
        <v>295</v>
      </c>
      <c r="S34" s="363" t="s">
        <v>295</v>
      </c>
      <c r="T34" s="219" t="s">
        <v>327</v>
      </c>
      <c r="U34" s="291" t="s">
        <v>328</v>
      </c>
      <c r="V34" s="292" t="s">
        <v>323</v>
      </c>
      <c r="X34" s="28"/>
      <c r="Y34" s="48"/>
      <c r="Z34" s="48"/>
      <c r="AA34" s="26"/>
      <c r="AB34" s="28"/>
      <c r="AC34" s="32"/>
      <c r="AE34" s="32"/>
      <c r="AF34" s="763"/>
      <c r="AG34" s="763"/>
      <c r="AH34" s="762"/>
    </row>
    <row r="35" spans="2:34" x14ac:dyDescent="0.2">
      <c r="B35" s="285" t="s">
        <v>171</v>
      </c>
      <c r="C35" s="105" t="s">
        <v>172</v>
      </c>
      <c r="D35" s="290" t="s">
        <v>79</v>
      </c>
      <c r="E35" s="276" t="s">
        <v>321</v>
      </c>
      <c r="F35" s="290">
        <v>119</v>
      </c>
      <c r="G35" s="290">
        <v>24</v>
      </c>
      <c r="H35" s="278">
        <v>18.3</v>
      </c>
      <c r="I35" s="448">
        <v>4.93</v>
      </c>
      <c r="J35" s="253">
        <f t="shared" si="36"/>
        <v>12.448979591836736</v>
      </c>
      <c r="K35" s="254">
        <f t="shared" si="0"/>
        <v>3.3537414965986394</v>
      </c>
      <c r="L35" s="253">
        <v>3.3222589215865415</v>
      </c>
      <c r="M35" s="254">
        <v>0.89364473621970963</v>
      </c>
      <c r="N35" s="253">
        <v>0.16425601890975161</v>
      </c>
      <c r="O35" s="254">
        <v>4.7485400330694073E-2</v>
      </c>
      <c r="P35" s="253">
        <v>6.5268045601076963E-2</v>
      </c>
      <c r="Q35" s="254">
        <v>1.7989923858377062E-2</v>
      </c>
      <c r="R35" s="362" t="s">
        <v>295</v>
      </c>
      <c r="S35" s="363" t="s">
        <v>295</v>
      </c>
      <c r="T35" s="219" t="s">
        <v>327</v>
      </c>
      <c r="U35" s="291" t="s">
        <v>329</v>
      </c>
      <c r="V35" s="292" t="s">
        <v>330</v>
      </c>
      <c r="X35" s="28"/>
      <c r="Y35" s="48"/>
      <c r="Z35" s="48"/>
      <c r="AA35" s="26"/>
      <c r="AB35" s="28"/>
      <c r="AC35" s="32"/>
      <c r="AE35" s="32"/>
      <c r="AF35" s="763"/>
      <c r="AG35" s="763"/>
      <c r="AH35" s="762"/>
    </row>
    <row r="36" spans="2:34" x14ac:dyDescent="0.2">
      <c r="B36" s="285" t="s">
        <v>171</v>
      </c>
      <c r="C36" s="105" t="s">
        <v>172</v>
      </c>
      <c r="D36" s="290" t="s">
        <v>82</v>
      </c>
      <c r="E36" s="276" t="s">
        <v>321</v>
      </c>
      <c r="F36" s="290">
        <v>119</v>
      </c>
      <c r="G36" s="290">
        <v>24</v>
      </c>
      <c r="H36" s="278">
        <v>4.93</v>
      </c>
      <c r="I36" s="448">
        <v>4.93</v>
      </c>
      <c r="J36" s="253">
        <f t="shared" si="36"/>
        <v>3.3537414965986394</v>
      </c>
      <c r="K36" s="254">
        <f t="shared" si="0"/>
        <v>3.3537414965986394</v>
      </c>
      <c r="L36" s="253">
        <v>0.89364473621970963</v>
      </c>
      <c r="M36" s="254">
        <v>0.89364473621970963</v>
      </c>
      <c r="N36" s="253">
        <v>4.7485400330694073E-2</v>
      </c>
      <c r="O36" s="254">
        <v>4.7485400330694073E-2</v>
      </c>
      <c r="P36" s="253">
        <v>1.7989923858377062E-2</v>
      </c>
      <c r="Q36" s="254">
        <v>1.7989923858377062E-2</v>
      </c>
      <c r="R36" s="362" t="s">
        <v>295</v>
      </c>
      <c r="S36" s="363" t="s">
        <v>295</v>
      </c>
      <c r="T36" s="452" t="s">
        <v>327</v>
      </c>
      <c r="U36" s="291" t="s">
        <v>331</v>
      </c>
      <c r="V36" s="292" t="s">
        <v>330</v>
      </c>
      <c r="X36" s="28"/>
      <c r="Y36" s="48"/>
      <c r="Z36" s="48"/>
      <c r="AA36" s="26"/>
      <c r="AB36" s="28"/>
      <c r="AC36" s="27"/>
      <c r="AE36" s="32"/>
      <c r="AF36" s="763"/>
      <c r="AG36" s="763"/>
      <c r="AH36" s="762"/>
    </row>
    <row r="37" spans="2:34" x14ac:dyDescent="0.2">
      <c r="B37" s="285" t="s">
        <v>173</v>
      </c>
      <c r="C37" s="244" t="s">
        <v>176</v>
      </c>
      <c r="D37" s="290" t="s">
        <v>79</v>
      </c>
      <c r="E37" s="275" t="s">
        <v>321</v>
      </c>
      <c r="F37" s="290">
        <v>250</v>
      </c>
      <c r="G37" s="290">
        <v>250</v>
      </c>
      <c r="H37" s="278">
        <v>4.7999999999999996E-3</v>
      </c>
      <c r="I37" s="448">
        <v>1.2999999999999999E-3</v>
      </c>
      <c r="J37" s="253">
        <f t="shared" ref="J37:J54" si="83">IF(H37&lt;&gt;"-", H37*ED_8/AT_AC*Breathing_Ratio,"-")</f>
        <v>3.2653061224489793E-3</v>
      </c>
      <c r="K37" s="254">
        <f t="shared" ref="K37:K54" si="84">IF(I37&lt;&gt;"-", I37*ED_8/AT_AC*Breathing_Ratio,"-")</f>
        <v>8.8435374149659865E-4</v>
      </c>
      <c r="L37" s="253">
        <f t="shared" ref="L37:L54" si="85">IF(H37&lt;&gt;"-", IF(F37&gt;=EF_ST, H37*ED_8*EF_ST/AT_ADC_ST*Breathing_Ratio, H37*ED_8*F37/AT_ADC_ST*Breathing_Ratio),"-")</f>
        <v>2.3945578231292512E-3</v>
      </c>
      <c r="M37" s="254">
        <f t="shared" ref="M37:M54" si="86">IF(I37&lt;&gt;"-", IF(G37&gt;=EF_ST, I37*ED_8*EF_ST/AT_ADC_ST*Breathing_Ratio, I37*ED_8*G37/AT_ADC_ST*Breathing_Ratio),"-")</f>
        <v>6.4852607709750564E-4</v>
      </c>
      <c r="N37" s="253">
        <f t="shared" ref="N37:N54" si="87">IF(H37&lt;&gt;"-", H37*ED_8*F37*WY_high/AT_ADC_high*Breathing_Ratio,"-")</f>
        <v>2.2365110427732737E-3</v>
      </c>
      <c r="O37" s="254">
        <f t="shared" ref="O37:O54" si="88">IF(I37&lt;&gt;"-", I37*ED_8*G37*WY_mid/AT_ADC_mid*Breathing_Ratio, "-")</f>
        <v>6.0572174075109505E-4</v>
      </c>
      <c r="P37" s="253">
        <f t="shared" ref="P37:P54" si="89">IF(H37&lt;&gt;"-",H37*ED_8*F37*WY_high/AT_LADC*Breathing_Ratio,"-")</f>
        <v>1.1469287398837302E-3</v>
      </c>
      <c r="Q37" s="254">
        <f t="shared" ref="Q37:Q54" si="90">IF(I37&lt;&gt;"-",I37*ED_8*G37*WY_mid/AT_LADC*Breathing_Ratio,"-")</f>
        <v>2.4073556363184547E-4</v>
      </c>
      <c r="R37" s="364">
        <f t="shared" ref="R37:R47" si="91">IF(H37&lt;&gt;"-",H37*ED_8*F37*WY_proc_high/AT_LADC*Breathing_Ratio,"-")</f>
        <v>9.4621621040407735E-4</v>
      </c>
      <c r="S37" s="365">
        <f t="shared" ref="S37:S47" si="92">IF(I37&lt;&gt;"-",I37*ED_8*G37*WY_proc_mid/AT_LADC*Breathing_Ratio,"-")</f>
        <v>7.6103500761035028E-5</v>
      </c>
      <c r="T37" s="245">
        <v>18</v>
      </c>
      <c r="U37" s="288" t="s">
        <v>322</v>
      </c>
      <c r="V37" s="292" t="s">
        <v>323</v>
      </c>
    </row>
    <row r="38" spans="2:34" x14ac:dyDescent="0.2">
      <c r="B38" s="285" t="s">
        <v>173</v>
      </c>
      <c r="C38" s="244" t="s">
        <v>176</v>
      </c>
      <c r="D38" s="290" t="s">
        <v>82</v>
      </c>
      <c r="E38" s="275" t="s">
        <v>321</v>
      </c>
      <c r="F38" s="290">
        <v>250</v>
      </c>
      <c r="G38" s="290">
        <v>250</v>
      </c>
      <c r="H38" s="278">
        <v>2.6000000000000003E-4</v>
      </c>
      <c r="I38" s="448">
        <v>2.0999999999999998E-4</v>
      </c>
      <c r="J38" s="253">
        <f t="shared" ref="J38" si="93">IF(H38&lt;&gt;"-", H38*ED_8/AT_AC*Breathing_Ratio,"-")</f>
        <v>1.7687074829931976E-4</v>
      </c>
      <c r="K38" s="254">
        <f t="shared" ref="K38" si="94">IF(I38&lt;&gt;"-", I38*ED_8/AT_AC*Breathing_Ratio,"-")</f>
        <v>1.4285714285714284E-4</v>
      </c>
      <c r="L38" s="253">
        <f t="shared" ref="L38" si="95">IF(H38&lt;&gt;"-", IF(F38&gt;=EF_ST, H38*ED_8*EF_ST/AT_ADC_ST*Breathing_Ratio, H38*ED_8*F38/AT_ADC_ST*Breathing_Ratio),"-")</f>
        <v>1.2970521541950114E-4</v>
      </c>
      <c r="M38" s="254">
        <f t="shared" ref="M38" si="96">IF(I38&lt;&gt;"-", IF(G38&gt;=EF_ST, I38*ED_8*EF_ST/AT_ADC_ST*Breathing_Ratio, I38*ED_8*G38/AT_ADC_ST*Breathing_Ratio),"-")</f>
        <v>1.0476190476190476E-4</v>
      </c>
      <c r="N38" s="253">
        <f t="shared" ref="N38" si="97">IF(H38&lt;&gt;"-", H38*ED_8*F38*WY_high/AT_ADC_high*Breathing_Ratio,"-")</f>
        <v>1.21144348150219E-4</v>
      </c>
      <c r="O38" s="254">
        <f t="shared" ref="O38" si="98">IF(I38&lt;&gt;"-", I38*ED_8*G38*WY_mid/AT_ADC_mid*Breathing_Ratio, "-")</f>
        <v>9.7847358121330727E-5</v>
      </c>
      <c r="P38" s="253">
        <f t="shared" ref="P38" si="99">IF(H38&lt;&gt;"-",H38*ED_8*F38*WY_high/AT_LADC*Breathing_Ratio,"-")</f>
        <v>6.2125306743702059E-5</v>
      </c>
      <c r="Q38" s="254">
        <f t="shared" ref="Q38" si="100">IF(I38&lt;&gt;"-",I38*ED_8*G38*WY_mid/AT_LADC*Breathing_Ratio,"-")</f>
        <v>3.8888052586682721E-5</v>
      </c>
      <c r="R38" s="364">
        <f t="shared" si="91"/>
        <v>5.1253378063554189E-5</v>
      </c>
      <c r="S38" s="365">
        <f t="shared" si="92"/>
        <v>1.2293642430628733E-5</v>
      </c>
      <c r="T38" s="245">
        <v>14</v>
      </c>
      <c r="U38" s="291" t="s">
        <v>325</v>
      </c>
      <c r="V38" s="292" t="s">
        <v>323</v>
      </c>
    </row>
    <row r="39" spans="2:34" x14ac:dyDescent="0.2">
      <c r="B39" s="285" t="s">
        <v>177</v>
      </c>
      <c r="C39" s="244" t="s">
        <v>178</v>
      </c>
      <c r="D39" s="290" t="s">
        <v>79</v>
      </c>
      <c r="E39" s="275" t="s">
        <v>321</v>
      </c>
      <c r="F39" s="290">
        <v>250</v>
      </c>
      <c r="G39" s="290">
        <v>250</v>
      </c>
      <c r="H39" s="278">
        <v>2.2999999999999998</v>
      </c>
      <c r="I39" s="448">
        <v>0.17</v>
      </c>
      <c r="J39" s="253">
        <f t="shared" si="83"/>
        <v>1.564625850340136</v>
      </c>
      <c r="K39" s="254">
        <f t="shared" si="84"/>
        <v>0.11564625850340138</v>
      </c>
      <c r="L39" s="253">
        <f t="shared" si="85"/>
        <v>1.1473922902494331</v>
      </c>
      <c r="M39" s="254">
        <f t="shared" si="86"/>
        <v>8.4807256235827674E-2</v>
      </c>
      <c r="N39" s="253">
        <f t="shared" si="87"/>
        <v>1.0716615413288604</v>
      </c>
      <c r="O39" s="254">
        <f t="shared" si="88"/>
        <v>7.9209766098220113E-2</v>
      </c>
      <c r="P39" s="253">
        <f t="shared" si="89"/>
        <v>0.54957002119428744</v>
      </c>
      <c r="Q39" s="254">
        <f t="shared" si="90"/>
        <v>3.1480804474933635E-2</v>
      </c>
      <c r="R39" s="364">
        <f t="shared" si="91"/>
        <v>0.45339526748528708</v>
      </c>
      <c r="S39" s="365">
        <f t="shared" si="92"/>
        <v>9.9519962533661174E-3</v>
      </c>
      <c r="T39" s="245">
        <v>6</v>
      </c>
      <c r="U39" s="288" t="s">
        <v>322</v>
      </c>
      <c r="V39" s="292" t="s">
        <v>323</v>
      </c>
    </row>
    <row r="40" spans="2:34" x14ac:dyDescent="0.2">
      <c r="B40" s="285" t="s">
        <v>177</v>
      </c>
      <c r="C40" s="244" t="s">
        <v>178</v>
      </c>
      <c r="D40" s="290" t="s">
        <v>82</v>
      </c>
      <c r="E40" s="275" t="s">
        <v>321</v>
      </c>
      <c r="F40" s="290">
        <v>250</v>
      </c>
      <c r="G40" s="290">
        <v>250</v>
      </c>
      <c r="H40" s="278">
        <v>2.6000000000000003E-4</v>
      </c>
      <c r="I40" s="448">
        <v>2.0999999999999998E-4</v>
      </c>
      <c r="J40" s="253">
        <f t="shared" ref="J40" si="101">IF(H40&lt;&gt;"-", H40*ED_8/AT_AC*Breathing_Ratio,"-")</f>
        <v>1.7687074829931976E-4</v>
      </c>
      <c r="K40" s="254">
        <f t="shared" ref="K40" si="102">IF(I40&lt;&gt;"-", I40*ED_8/AT_AC*Breathing_Ratio,"-")</f>
        <v>1.4285714285714284E-4</v>
      </c>
      <c r="L40" s="253">
        <f t="shared" ref="L40" si="103">IF(H40&lt;&gt;"-", IF(F40&gt;=EF_ST, H40*ED_8*EF_ST/AT_ADC_ST*Breathing_Ratio, H40*ED_8*F40/AT_ADC_ST*Breathing_Ratio),"-")</f>
        <v>1.2970521541950114E-4</v>
      </c>
      <c r="M40" s="254">
        <f t="shared" ref="M40" si="104">IF(I40&lt;&gt;"-", IF(G40&gt;=EF_ST, I40*ED_8*EF_ST/AT_ADC_ST*Breathing_Ratio, I40*ED_8*G40/AT_ADC_ST*Breathing_Ratio),"-")</f>
        <v>1.0476190476190476E-4</v>
      </c>
      <c r="N40" s="253">
        <f t="shared" ref="N40" si="105">IF(H40&lt;&gt;"-", H40*ED_8*F40*WY_high/AT_ADC_high*Breathing_Ratio,"-")</f>
        <v>1.21144348150219E-4</v>
      </c>
      <c r="O40" s="254">
        <f t="shared" ref="O40" si="106">IF(I40&lt;&gt;"-", I40*ED_8*G40*WY_mid/AT_ADC_mid*Breathing_Ratio, "-")</f>
        <v>9.7847358121330727E-5</v>
      </c>
      <c r="P40" s="253">
        <f t="shared" ref="P40" si="107">IF(H40&lt;&gt;"-",H40*ED_8*F40*WY_high/AT_LADC*Breathing_Ratio,"-")</f>
        <v>6.2125306743702059E-5</v>
      </c>
      <c r="Q40" s="254">
        <f t="shared" ref="Q40" si="108">IF(I40&lt;&gt;"-",I40*ED_8*G40*WY_mid/AT_LADC*Breathing_Ratio,"-")</f>
        <v>3.8888052586682721E-5</v>
      </c>
      <c r="R40" s="364">
        <f t="shared" si="91"/>
        <v>5.1253378063554189E-5</v>
      </c>
      <c r="S40" s="365">
        <f t="shared" si="92"/>
        <v>1.2293642430628733E-5</v>
      </c>
      <c r="T40" s="245">
        <v>14</v>
      </c>
      <c r="U40" s="291" t="s">
        <v>325</v>
      </c>
      <c r="V40" s="292" t="s">
        <v>323</v>
      </c>
    </row>
    <row r="41" spans="2:34" x14ac:dyDescent="0.2">
      <c r="B41" s="285" t="s">
        <v>179</v>
      </c>
      <c r="C41" s="244" t="s">
        <v>180</v>
      </c>
      <c r="D41" s="290" t="s">
        <v>79</v>
      </c>
      <c r="E41" s="275" t="s">
        <v>321</v>
      </c>
      <c r="F41" s="290">
        <v>250</v>
      </c>
      <c r="G41" s="290">
        <v>250</v>
      </c>
      <c r="H41" s="278">
        <v>2.1000000000000003E-3</v>
      </c>
      <c r="I41" s="448">
        <v>3.2000000000000003E-4</v>
      </c>
      <c r="J41" s="253">
        <f t="shared" si="83"/>
        <v>1.4285714285714288E-3</v>
      </c>
      <c r="K41" s="254">
        <f t="shared" si="84"/>
        <v>2.1768707482993201E-4</v>
      </c>
      <c r="L41" s="253">
        <f t="shared" si="85"/>
        <v>1.0476190476190479E-3</v>
      </c>
      <c r="M41" s="254">
        <f t="shared" si="86"/>
        <v>1.5963718820861679E-4</v>
      </c>
      <c r="N41" s="253">
        <f t="shared" si="87"/>
        <v>9.7847358121330719E-4</v>
      </c>
      <c r="O41" s="254">
        <f t="shared" si="88"/>
        <v>1.4910073618488491E-4</v>
      </c>
      <c r="P41" s="253">
        <f t="shared" si="89"/>
        <v>5.0178132369913192E-4</v>
      </c>
      <c r="Q41" s="254">
        <f t="shared" si="90"/>
        <v>5.9257984893992722E-5</v>
      </c>
      <c r="R41" s="364">
        <f t="shared" si="91"/>
        <v>4.1396959205178383E-4</v>
      </c>
      <c r="S41" s="365">
        <f t="shared" si="92"/>
        <v>1.8733169418100925E-5</v>
      </c>
      <c r="T41" s="245">
        <v>10</v>
      </c>
      <c r="U41" s="288" t="s">
        <v>322</v>
      </c>
      <c r="V41" s="292" t="s">
        <v>323</v>
      </c>
    </row>
    <row r="42" spans="2:34" x14ac:dyDescent="0.2">
      <c r="B42" s="285" t="s">
        <v>179</v>
      </c>
      <c r="C42" s="244" t="s">
        <v>180</v>
      </c>
      <c r="D42" s="290" t="s">
        <v>82</v>
      </c>
      <c r="E42" s="275" t="s">
        <v>321</v>
      </c>
      <c r="F42" s="290">
        <v>250</v>
      </c>
      <c r="G42" s="290">
        <v>250</v>
      </c>
      <c r="H42" s="278">
        <v>2.6000000000000003E-4</v>
      </c>
      <c r="I42" s="448">
        <v>2.0999999999999998E-4</v>
      </c>
      <c r="J42" s="253">
        <f t="shared" ref="J42" si="109">IF(H42&lt;&gt;"-", H42*ED_8/AT_AC*Breathing_Ratio,"-")</f>
        <v>1.7687074829931976E-4</v>
      </c>
      <c r="K42" s="254">
        <f t="shared" ref="K42" si="110">IF(I42&lt;&gt;"-", I42*ED_8/AT_AC*Breathing_Ratio,"-")</f>
        <v>1.4285714285714284E-4</v>
      </c>
      <c r="L42" s="253">
        <f t="shared" ref="L42" si="111">IF(H42&lt;&gt;"-", IF(F42&gt;=EF_ST, H42*ED_8*EF_ST/AT_ADC_ST*Breathing_Ratio, H42*ED_8*F42/AT_ADC_ST*Breathing_Ratio),"-")</f>
        <v>1.2970521541950114E-4</v>
      </c>
      <c r="M42" s="254">
        <f t="shared" ref="M42" si="112">IF(I42&lt;&gt;"-", IF(G42&gt;=EF_ST, I42*ED_8*EF_ST/AT_ADC_ST*Breathing_Ratio, I42*ED_8*G42/AT_ADC_ST*Breathing_Ratio),"-")</f>
        <v>1.0476190476190476E-4</v>
      </c>
      <c r="N42" s="253">
        <f t="shared" ref="N42" si="113">IF(H42&lt;&gt;"-", H42*ED_8*F42*WY_high/AT_ADC_high*Breathing_Ratio,"-")</f>
        <v>1.21144348150219E-4</v>
      </c>
      <c r="O42" s="254">
        <f t="shared" ref="O42" si="114">IF(I42&lt;&gt;"-", I42*ED_8*G42*WY_mid/AT_ADC_mid*Breathing_Ratio, "-")</f>
        <v>9.7847358121330727E-5</v>
      </c>
      <c r="P42" s="253">
        <f t="shared" ref="P42" si="115">IF(H42&lt;&gt;"-",H42*ED_8*F42*WY_high/AT_LADC*Breathing_Ratio,"-")</f>
        <v>6.2125306743702059E-5</v>
      </c>
      <c r="Q42" s="254">
        <f t="shared" ref="Q42" si="116">IF(I42&lt;&gt;"-",I42*ED_8*G42*WY_mid/AT_LADC*Breathing_Ratio,"-")</f>
        <v>3.8888052586682721E-5</v>
      </c>
      <c r="R42" s="364">
        <f t="shared" si="91"/>
        <v>5.1253378063554189E-5</v>
      </c>
      <c r="S42" s="365">
        <f t="shared" si="92"/>
        <v>1.2293642430628733E-5</v>
      </c>
      <c r="T42" s="245">
        <v>14</v>
      </c>
      <c r="U42" s="291" t="s">
        <v>325</v>
      </c>
      <c r="V42" s="292" t="s">
        <v>323</v>
      </c>
    </row>
    <row r="43" spans="2:34" x14ac:dyDescent="0.2">
      <c r="B43" s="285" t="s">
        <v>181</v>
      </c>
      <c r="C43" s="244" t="s">
        <v>182</v>
      </c>
      <c r="D43" s="290" t="s">
        <v>79</v>
      </c>
      <c r="E43" s="275" t="s">
        <v>321</v>
      </c>
      <c r="F43" s="290">
        <v>250</v>
      </c>
      <c r="G43" s="290">
        <v>250</v>
      </c>
      <c r="H43" s="278">
        <v>1.5E-3</v>
      </c>
      <c r="I43" s="448">
        <v>6.8999999999999997E-4</v>
      </c>
      <c r="J43" s="253">
        <f t="shared" si="83"/>
        <v>1.0204081632653062E-3</v>
      </c>
      <c r="K43" s="254">
        <f t="shared" si="84"/>
        <v>4.6938775510204077E-4</v>
      </c>
      <c r="L43" s="253">
        <f t="shared" si="85"/>
        <v>7.482993197278912E-4</v>
      </c>
      <c r="M43" s="254">
        <f t="shared" si="86"/>
        <v>3.4421768707482993E-4</v>
      </c>
      <c r="N43" s="253">
        <f t="shared" si="87"/>
        <v>6.9890970086664808E-4</v>
      </c>
      <c r="O43" s="254">
        <f t="shared" si="88"/>
        <v>3.2149846239865808E-4</v>
      </c>
      <c r="P43" s="253">
        <f t="shared" si="89"/>
        <v>3.5841523121366568E-4</v>
      </c>
      <c r="Q43" s="254">
        <f t="shared" si="90"/>
        <v>1.2777502992767181E-4</v>
      </c>
      <c r="R43" s="364">
        <f t="shared" si="91"/>
        <v>2.9569256575127418E-4</v>
      </c>
      <c r="S43" s="365">
        <f t="shared" si="92"/>
        <v>4.0393396557780121E-5</v>
      </c>
      <c r="T43" s="245">
        <v>14</v>
      </c>
      <c r="U43" s="288" t="s">
        <v>322</v>
      </c>
      <c r="V43" s="292" t="s">
        <v>323</v>
      </c>
    </row>
    <row r="44" spans="2:34" x14ac:dyDescent="0.2">
      <c r="B44" s="285" t="s">
        <v>181</v>
      </c>
      <c r="C44" s="244" t="s">
        <v>182</v>
      </c>
      <c r="D44" s="290" t="s">
        <v>82</v>
      </c>
      <c r="E44" s="275" t="s">
        <v>321</v>
      </c>
      <c r="F44" s="290">
        <v>250</v>
      </c>
      <c r="G44" s="290">
        <v>250</v>
      </c>
      <c r="H44" s="278">
        <v>2.6000000000000003E-4</v>
      </c>
      <c r="I44" s="448">
        <v>2.0999999999999998E-4</v>
      </c>
      <c r="J44" s="253">
        <f t="shared" ref="J44" si="117">IF(H44&lt;&gt;"-", H44*ED_8/AT_AC*Breathing_Ratio,"-")</f>
        <v>1.7687074829931976E-4</v>
      </c>
      <c r="K44" s="254">
        <f t="shared" ref="K44" si="118">IF(I44&lt;&gt;"-", I44*ED_8/AT_AC*Breathing_Ratio,"-")</f>
        <v>1.4285714285714284E-4</v>
      </c>
      <c r="L44" s="253">
        <f t="shared" ref="L44" si="119">IF(H44&lt;&gt;"-", IF(F44&gt;=EF_ST, H44*ED_8*EF_ST/AT_ADC_ST*Breathing_Ratio, H44*ED_8*F44/AT_ADC_ST*Breathing_Ratio),"-")</f>
        <v>1.2970521541950114E-4</v>
      </c>
      <c r="M44" s="254">
        <f t="shared" ref="M44" si="120">IF(I44&lt;&gt;"-", IF(G44&gt;=EF_ST, I44*ED_8*EF_ST/AT_ADC_ST*Breathing_Ratio, I44*ED_8*G44/AT_ADC_ST*Breathing_Ratio),"-")</f>
        <v>1.0476190476190476E-4</v>
      </c>
      <c r="N44" s="253">
        <f t="shared" ref="N44" si="121">IF(H44&lt;&gt;"-", H44*ED_8*F44*WY_high/AT_ADC_high*Breathing_Ratio,"-")</f>
        <v>1.21144348150219E-4</v>
      </c>
      <c r="O44" s="254">
        <f t="shared" ref="O44" si="122">IF(I44&lt;&gt;"-", I44*ED_8*G44*WY_mid/AT_ADC_mid*Breathing_Ratio, "-")</f>
        <v>9.7847358121330727E-5</v>
      </c>
      <c r="P44" s="253">
        <f t="shared" ref="P44" si="123">IF(H44&lt;&gt;"-",H44*ED_8*F44*WY_high/AT_LADC*Breathing_Ratio,"-")</f>
        <v>6.2125306743702059E-5</v>
      </c>
      <c r="Q44" s="254">
        <f t="shared" ref="Q44" si="124">IF(I44&lt;&gt;"-",I44*ED_8*G44*WY_mid/AT_LADC*Breathing_Ratio,"-")</f>
        <v>3.8888052586682721E-5</v>
      </c>
      <c r="R44" s="364">
        <f t="shared" si="91"/>
        <v>5.1253378063554189E-5</v>
      </c>
      <c r="S44" s="365">
        <f t="shared" si="92"/>
        <v>1.2293642430628733E-5</v>
      </c>
      <c r="T44" s="245">
        <v>14</v>
      </c>
      <c r="U44" s="291" t="s">
        <v>325</v>
      </c>
      <c r="V44" s="292" t="s">
        <v>323</v>
      </c>
    </row>
    <row r="45" spans="2:34" x14ac:dyDescent="0.2">
      <c r="B45" s="285">
        <v>4</v>
      </c>
      <c r="C45" s="244" t="s">
        <v>332</v>
      </c>
      <c r="D45" s="290" t="s">
        <v>82</v>
      </c>
      <c r="E45" s="275" t="s">
        <v>321</v>
      </c>
      <c r="F45" s="290">
        <v>250</v>
      </c>
      <c r="G45" s="290">
        <v>250</v>
      </c>
      <c r="H45" s="278">
        <v>2.6000000000000003E-4</v>
      </c>
      <c r="I45" s="448">
        <v>2.0999999999999998E-4</v>
      </c>
      <c r="J45" s="253">
        <f t="shared" si="83"/>
        <v>1.7687074829931976E-4</v>
      </c>
      <c r="K45" s="254">
        <f t="shared" si="84"/>
        <v>1.4285714285714284E-4</v>
      </c>
      <c r="L45" s="253">
        <f t="shared" si="85"/>
        <v>1.2970521541950114E-4</v>
      </c>
      <c r="M45" s="254">
        <f t="shared" si="86"/>
        <v>1.0476190476190476E-4</v>
      </c>
      <c r="N45" s="253">
        <f t="shared" si="87"/>
        <v>1.21144348150219E-4</v>
      </c>
      <c r="O45" s="254">
        <f t="shared" si="88"/>
        <v>9.7847358121330727E-5</v>
      </c>
      <c r="P45" s="253">
        <f t="shared" si="89"/>
        <v>6.2125306743702059E-5</v>
      </c>
      <c r="Q45" s="254">
        <f t="shared" si="90"/>
        <v>3.8888052586682721E-5</v>
      </c>
      <c r="R45" s="364">
        <f t="shared" si="91"/>
        <v>5.1253378063554189E-5</v>
      </c>
      <c r="S45" s="365">
        <f t="shared" si="92"/>
        <v>1.2293642430628733E-5</v>
      </c>
      <c r="T45" s="245">
        <v>14</v>
      </c>
      <c r="U45" s="291" t="s">
        <v>325</v>
      </c>
      <c r="V45" s="292" t="s">
        <v>323</v>
      </c>
    </row>
    <row r="46" spans="2:34" x14ac:dyDescent="0.2">
      <c r="B46" s="285" t="s">
        <v>183</v>
      </c>
      <c r="C46" s="244" t="s">
        <v>297</v>
      </c>
      <c r="D46" s="290" t="s">
        <v>79</v>
      </c>
      <c r="E46" s="275" t="s">
        <v>321</v>
      </c>
      <c r="F46" s="290">
        <v>250</v>
      </c>
      <c r="G46" s="290">
        <v>250</v>
      </c>
      <c r="H46" s="278">
        <v>1.38</v>
      </c>
      <c r="I46" s="448">
        <v>0.1</v>
      </c>
      <c r="J46" s="253">
        <f t="shared" ref="J46:J47" si="125">IF(H46&lt;&gt;"-", H46*ED_8/AT_AC*Breathing_Ratio,"-")</f>
        <v>0.93877551020408156</v>
      </c>
      <c r="K46" s="254">
        <f t="shared" ref="K46:K47" si="126">IF(I46&lt;&gt;"-", I46*ED_8/AT_AC*Breathing_Ratio,"-")</f>
        <v>6.8027210884353748E-2</v>
      </c>
      <c r="L46" s="253">
        <f t="shared" ref="L46:L47" si="127">IF(H46&lt;&gt;"-", IF(F46&gt;=EF_ST, H46*ED_8*EF_ST/AT_ADC_ST*Breathing_Ratio, H46*ED_8*F46/AT_ADC_ST*Breathing_Ratio),"-")</f>
        <v>0.68843537414965983</v>
      </c>
      <c r="M46" s="254">
        <f t="shared" ref="M46:M47" si="128">IF(I46&lt;&gt;"-", IF(G46&gt;=EF_ST, I46*ED_8*EF_ST/AT_ADC_ST*Breathing_Ratio, I46*ED_8*G46/AT_ADC_ST*Breathing_Ratio),"-")</f>
        <v>4.9886621315192746E-2</v>
      </c>
      <c r="N46" s="253">
        <f t="shared" ref="N46:N47" si="129">IF(H46&lt;&gt;"-", H46*ED_8*F46*WY_high/AT_ADC_high*Breathing_Ratio,"-")</f>
        <v>0.64299692479731618</v>
      </c>
      <c r="O46" s="254">
        <f t="shared" ref="O46:O47" si="130">IF(I46&lt;&gt;"-", I46*ED_8*G46*WY_mid/AT_ADC_mid*Breathing_Ratio, "-")</f>
        <v>4.6593980057776534E-2</v>
      </c>
      <c r="P46" s="253">
        <f t="shared" ref="P46:P47" si="131">IF(H46&lt;&gt;"-",H46*ED_8*F46*WY_high/AT_LADC*Breathing_Ratio,"-")</f>
        <v>0.32974201271657239</v>
      </c>
      <c r="Q46" s="254">
        <f t="shared" ref="Q46:Q47" si="132">IF(I46&lt;&gt;"-",I46*ED_8*G46*WY_mid/AT_LADC*Breathing_Ratio,"-")</f>
        <v>1.8518120279372725E-2</v>
      </c>
      <c r="R46" s="364">
        <f t="shared" si="91"/>
        <v>0.27203716049117227</v>
      </c>
      <c r="S46" s="365">
        <f t="shared" si="92"/>
        <v>5.8541154431565393E-3</v>
      </c>
      <c r="T46" s="245">
        <v>101</v>
      </c>
      <c r="U46" s="288" t="s">
        <v>322</v>
      </c>
      <c r="V46" s="292" t="s">
        <v>323</v>
      </c>
    </row>
    <row r="47" spans="2:34" x14ac:dyDescent="0.2">
      <c r="B47" s="285" t="s">
        <v>186</v>
      </c>
      <c r="C47" s="244" t="s">
        <v>297</v>
      </c>
      <c r="D47" s="290" t="s">
        <v>82</v>
      </c>
      <c r="E47" s="275" t="s">
        <v>321</v>
      </c>
      <c r="F47" s="290">
        <v>250</v>
      </c>
      <c r="G47" s="290">
        <v>250</v>
      </c>
      <c r="H47" s="278">
        <v>0.11</v>
      </c>
      <c r="I47" s="448">
        <v>0.1</v>
      </c>
      <c r="J47" s="253">
        <f t="shared" si="125"/>
        <v>7.4829931972789115E-2</v>
      </c>
      <c r="K47" s="254">
        <f t="shared" si="126"/>
        <v>6.8027210884353748E-2</v>
      </c>
      <c r="L47" s="253">
        <f t="shared" si="127"/>
        <v>5.4875283446712018E-2</v>
      </c>
      <c r="M47" s="254">
        <f t="shared" si="128"/>
        <v>4.9886621315192746E-2</v>
      </c>
      <c r="N47" s="253">
        <f t="shared" si="129"/>
        <v>5.1253378063554185E-2</v>
      </c>
      <c r="O47" s="254">
        <f t="shared" si="130"/>
        <v>4.6593980057776534E-2</v>
      </c>
      <c r="P47" s="253">
        <f t="shared" si="131"/>
        <v>2.628378362233548E-2</v>
      </c>
      <c r="Q47" s="254">
        <f t="shared" si="132"/>
        <v>1.8518120279372725E-2</v>
      </c>
      <c r="R47" s="364">
        <f t="shared" si="91"/>
        <v>2.1684121488426772E-2</v>
      </c>
      <c r="S47" s="365">
        <f t="shared" si="92"/>
        <v>5.8541154431565393E-3</v>
      </c>
      <c r="T47" s="245">
        <v>15</v>
      </c>
      <c r="U47" s="291" t="s">
        <v>325</v>
      </c>
      <c r="V47" s="292" t="s">
        <v>323</v>
      </c>
    </row>
    <row r="48" spans="2:34" x14ac:dyDescent="0.2">
      <c r="B48" s="285">
        <v>5</v>
      </c>
      <c r="C48" s="244" t="s">
        <v>189</v>
      </c>
      <c r="D48" s="290" t="s">
        <v>79</v>
      </c>
      <c r="E48" s="276" t="s">
        <v>321</v>
      </c>
      <c r="F48" s="290">
        <v>250</v>
      </c>
      <c r="G48" s="290">
        <v>250</v>
      </c>
      <c r="H48" s="278">
        <v>1.38</v>
      </c>
      <c r="I48" s="448">
        <v>0.1</v>
      </c>
      <c r="J48" s="253">
        <f t="shared" si="83"/>
        <v>0.93877551020408156</v>
      </c>
      <c r="K48" s="254">
        <f t="shared" si="84"/>
        <v>6.8027210884353748E-2</v>
      </c>
      <c r="L48" s="253">
        <f t="shared" si="85"/>
        <v>0.68843537414965983</v>
      </c>
      <c r="M48" s="254">
        <f t="shared" si="86"/>
        <v>4.9886621315192746E-2</v>
      </c>
      <c r="N48" s="253">
        <f t="shared" si="87"/>
        <v>0.64299692479731618</v>
      </c>
      <c r="O48" s="254">
        <f t="shared" si="88"/>
        <v>4.6593980057776534E-2</v>
      </c>
      <c r="P48" s="253">
        <f t="shared" si="89"/>
        <v>0.32974201271657239</v>
      </c>
      <c r="Q48" s="254">
        <f t="shared" si="90"/>
        <v>1.8518120279372725E-2</v>
      </c>
      <c r="R48" s="362"/>
      <c r="S48" s="363"/>
      <c r="T48" s="245">
        <v>101</v>
      </c>
      <c r="U48" s="288" t="s">
        <v>322</v>
      </c>
      <c r="V48" s="292" t="s">
        <v>323</v>
      </c>
    </row>
    <row r="49" spans="2:22" x14ac:dyDescent="0.2">
      <c r="B49" s="285">
        <v>5</v>
      </c>
      <c r="C49" s="244" t="s">
        <v>189</v>
      </c>
      <c r="D49" s="290" t="s">
        <v>82</v>
      </c>
      <c r="E49" s="276" t="s">
        <v>321</v>
      </c>
      <c r="F49" s="290">
        <v>250</v>
      </c>
      <c r="G49" s="290">
        <v>250</v>
      </c>
      <c r="H49" s="278">
        <v>0.11</v>
      </c>
      <c r="I49" s="448">
        <v>0.1</v>
      </c>
      <c r="J49" s="253">
        <f t="shared" si="83"/>
        <v>7.4829931972789115E-2</v>
      </c>
      <c r="K49" s="254">
        <f t="shared" si="84"/>
        <v>6.8027210884353748E-2</v>
      </c>
      <c r="L49" s="253">
        <f t="shared" si="85"/>
        <v>5.4875283446712018E-2</v>
      </c>
      <c r="M49" s="254">
        <f t="shared" si="86"/>
        <v>4.9886621315192746E-2</v>
      </c>
      <c r="N49" s="253">
        <f t="shared" si="87"/>
        <v>5.1253378063554185E-2</v>
      </c>
      <c r="O49" s="254">
        <f t="shared" si="88"/>
        <v>4.6593980057776534E-2</v>
      </c>
      <c r="P49" s="253">
        <f t="shared" si="89"/>
        <v>2.628378362233548E-2</v>
      </c>
      <c r="Q49" s="254">
        <f t="shared" si="90"/>
        <v>1.8518120279372725E-2</v>
      </c>
      <c r="R49" s="362" t="s">
        <v>295</v>
      </c>
      <c r="S49" s="363" t="s">
        <v>295</v>
      </c>
      <c r="T49" s="245">
        <v>15</v>
      </c>
      <c r="U49" s="288" t="s">
        <v>322</v>
      </c>
      <c r="V49" s="292" t="s">
        <v>323</v>
      </c>
    </row>
    <row r="50" spans="2:22" x14ac:dyDescent="0.2">
      <c r="B50" s="285">
        <v>6</v>
      </c>
      <c r="C50" s="244" t="s">
        <v>298</v>
      </c>
      <c r="D50" s="290" t="s">
        <v>79</v>
      </c>
      <c r="E50" s="276" t="s">
        <v>321</v>
      </c>
      <c r="F50" s="290">
        <v>250</v>
      </c>
      <c r="G50" s="290">
        <v>250</v>
      </c>
      <c r="H50" s="278">
        <v>39.5</v>
      </c>
      <c r="I50" s="448">
        <v>4.5999999999999996</v>
      </c>
      <c r="J50" s="253">
        <f t="shared" si="83"/>
        <v>26.870748299319729</v>
      </c>
      <c r="K50" s="254">
        <f t="shared" si="84"/>
        <v>3.129251700680272</v>
      </c>
      <c r="L50" s="253">
        <f t="shared" si="85"/>
        <v>19.705215419501133</v>
      </c>
      <c r="M50" s="254">
        <f t="shared" si="86"/>
        <v>2.2947845804988662</v>
      </c>
      <c r="N50" s="253">
        <f t="shared" si="87"/>
        <v>18.404622122821735</v>
      </c>
      <c r="O50" s="254">
        <f t="shared" si="88"/>
        <v>2.1433230826577208</v>
      </c>
      <c r="P50" s="253">
        <f t="shared" si="89"/>
        <v>9.4382677552931966</v>
      </c>
      <c r="Q50" s="254">
        <f t="shared" si="90"/>
        <v>0.85183353285114538</v>
      </c>
      <c r="R50" s="362" t="s">
        <v>295</v>
      </c>
      <c r="S50" s="363" t="s">
        <v>295</v>
      </c>
      <c r="T50" s="245">
        <v>22</v>
      </c>
      <c r="U50" s="294" t="s">
        <v>333</v>
      </c>
      <c r="V50" s="292" t="s">
        <v>323</v>
      </c>
    </row>
    <row r="51" spans="2:22" x14ac:dyDescent="0.2">
      <c r="B51" s="285">
        <v>6</v>
      </c>
      <c r="C51" s="244" t="s">
        <v>298</v>
      </c>
      <c r="D51" s="290" t="s">
        <v>82</v>
      </c>
      <c r="E51" s="276" t="s">
        <v>321</v>
      </c>
      <c r="F51" s="290">
        <v>250</v>
      </c>
      <c r="G51" s="290">
        <v>250</v>
      </c>
      <c r="H51" s="278">
        <v>1</v>
      </c>
      <c r="I51" s="448">
        <v>0.9</v>
      </c>
      <c r="J51" s="253">
        <f t="shared" si="83"/>
        <v>0.68027210884353739</v>
      </c>
      <c r="K51" s="254">
        <f t="shared" si="84"/>
        <v>0.61224489795918369</v>
      </c>
      <c r="L51" s="253">
        <f t="shared" si="85"/>
        <v>0.49886621315192742</v>
      </c>
      <c r="M51" s="254">
        <f t="shared" si="86"/>
        <v>0.44897959183673469</v>
      </c>
      <c r="N51" s="253">
        <f t="shared" si="87"/>
        <v>0.46593980057776535</v>
      </c>
      <c r="O51" s="254">
        <f t="shared" si="88"/>
        <v>0.41934582051998881</v>
      </c>
      <c r="P51" s="253">
        <f t="shared" si="89"/>
        <v>0.23894348747577712</v>
      </c>
      <c r="Q51" s="254">
        <f t="shared" si="90"/>
        <v>0.16666308251435455</v>
      </c>
      <c r="R51" s="362" t="s">
        <v>295</v>
      </c>
      <c r="S51" s="363" t="s">
        <v>295</v>
      </c>
      <c r="T51" s="245">
        <v>2</v>
      </c>
      <c r="U51" s="294" t="s">
        <v>333</v>
      </c>
      <c r="V51" s="292" t="s">
        <v>323</v>
      </c>
    </row>
    <row r="52" spans="2:22" x14ac:dyDescent="0.2">
      <c r="B52" s="285">
        <v>7</v>
      </c>
      <c r="C52" s="244" t="s">
        <v>299</v>
      </c>
      <c r="D52" s="290" t="s">
        <v>79</v>
      </c>
      <c r="E52" s="276" t="s">
        <v>321</v>
      </c>
      <c r="F52" s="290">
        <v>250</v>
      </c>
      <c r="G52" s="290">
        <v>250</v>
      </c>
      <c r="H52" s="278">
        <v>8.9663909200423983</v>
      </c>
      <c r="I52" s="448">
        <v>3.4641727896648224</v>
      </c>
      <c r="J52" s="253">
        <f t="shared" si="83"/>
        <v>6.0995856598927878</v>
      </c>
      <c r="K52" s="254">
        <f t="shared" si="84"/>
        <v>2.3565801290236887</v>
      </c>
      <c r="L52" s="253">
        <f t="shared" si="85"/>
        <v>4.473029483921378</v>
      </c>
      <c r="M52" s="254">
        <f t="shared" si="86"/>
        <v>1.7281587612840386</v>
      </c>
      <c r="N52" s="253">
        <f t="shared" si="87"/>
        <v>4.1777983971868409</v>
      </c>
      <c r="O52" s="254">
        <f t="shared" si="88"/>
        <v>1.6140959787833484</v>
      </c>
      <c r="P52" s="253">
        <f t="shared" si="89"/>
        <v>2.1424607165060725</v>
      </c>
      <c r="Q52" s="254">
        <f t="shared" si="90"/>
        <v>0.64149968387543344</v>
      </c>
      <c r="R52" s="362" t="s">
        <v>295</v>
      </c>
      <c r="S52" s="363" t="s">
        <v>295</v>
      </c>
      <c r="T52" s="245" t="s">
        <v>327</v>
      </c>
      <c r="U52" s="291" t="s">
        <v>334</v>
      </c>
      <c r="V52" s="292" t="s">
        <v>330</v>
      </c>
    </row>
    <row r="53" spans="2:22" x14ac:dyDescent="0.2">
      <c r="B53" s="285">
        <v>7</v>
      </c>
      <c r="C53" s="244" t="s">
        <v>299</v>
      </c>
      <c r="D53" s="290" t="s">
        <v>82</v>
      </c>
      <c r="E53" s="276" t="s">
        <v>321</v>
      </c>
      <c r="F53" s="290">
        <v>250</v>
      </c>
      <c r="G53" s="290">
        <v>250</v>
      </c>
      <c r="H53" s="278">
        <v>7.4207649042668473</v>
      </c>
      <c r="I53" s="448">
        <v>2.3105280657473948</v>
      </c>
      <c r="J53" s="253">
        <f t="shared" si="83"/>
        <v>5.0481393906577194</v>
      </c>
      <c r="K53" s="254">
        <f t="shared" si="84"/>
        <v>1.5717877998281597</v>
      </c>
      <c r="L53" s="253">
        <f t="shared" si="85"/>
        <v>3.7019688864823279</v>
      </c>
      <c r="M53" s="254">
        <f t="shared" si="86"/>
        <v>1.1526443865406504</v>
      </c>
      <c r="N53" s="253">
        <f t="shared" si="87"/>
        <v>3.4576297196285748</v>
      </c>
      <c r="O53" s="254">
        <f t="shared" si="88"/>
        <v>1.0765669861836711</v>
      </c>
      <c r="P53" s="253">
        <f t="shared" si="89"/>
        <v>1.7731434459633719</v>
      </c>
      <c r="Q53" s="254">
        <f t="shared" si="90"/>
        <v>0.42786636630376673</v>
      </c>
      <c r="R53" s="362" t="s">
        <v>295</v>
      </c>
      <c r="S53" s="363" t="s">
        <v>295</v>
      </c>
      <c r="T53" s="245" t="s">
        <v>327</v>
      </c>
      <c r="U53" s="294" t="s">
        <v>334</v>
      </c>
      <c r="V53" s="292" t="s">
        <v>330</v>
      </c>
    </row>
    <row r="54" spans="2:22" x14ac:dyDescent="0.2">
      <c r="B54" s="285">
        <v>8</v>
      </c>
      <c r="C54" s="244" t="s">
        <v>301</v>
      </c>
      <c r="D54" s="290" t="s">
        <v>79</v>
      </c>
      <c r="E54" s="276" t="s">
        <v>321</v>
      </c>
      <c r="F54" s="290">
        <v>250</v>
      </c>
      <c r="G54" s="290">
        <v>250</v>
      </c>
      <c r="H54" s="278">
        <v>77.8</v>
      </c>
      <c r="I54" s="448">
        <v>13.8</v>
      </c>
      <c r="J54" s="253">
        <f t="shared" si="83"/>
        <v>52.925170068027214</v>
      </c>
      <c r="K54" s="254">
        <f t="shared" si="84"/>
        <v>9.387755102040817</v>
      </c>
      <c r="L54" s="253">
        <f t="shared" si="85"/>
        <v>38.811791383219955</v>
      </c>
      <c r="M54" s="254">
        <f t="shared" si="86"/>
        <v>6.8843537414965992</v>
      </c>
      <c r="N54" s="253">
        <f t="shared" si="87"/>
        <v>36.250116484950141</v>
      </c>
      <c r="O54" s="254">
        <f t="shared" si="88"/>
        <v>6.4299692479731627</v>
      </c>
      <c r="P54" s="253">
        <f t="shared" si="89"/>
        <v>18.58980332561546</v>
      </c>
      <c r="Q54" s="254">
        <f t="shared" si="90"/>
        <v>2.555500598553436</v>
      </c>
      <c r="R54" s="362" t="s">
        <v>295</v>
      </c>
      <c r="S54" s="363" t="s">
        <v>295</v>
      </c>
      <c r="T54" s="245">
        <v>113</v>
      </c>
      <c r="U54" s="294" t="s">
        <v>333</v>
      </c>
      <c r="V54" s="292" t="s">
        <v>323</v>
      </c>
    </row>
    <row r="55" spans="2:22" x14ac:dyDescent="0.2">
      <c r="B55" s="285">
        <v>8</v>
      </c>
      <c r="C55" s="244" t="s">
        <v>301</v>
      </c>
      <c r="D55" s="290" t="s">
        <v>82</v>
      </c>
      <c r="E55" s="276" t="s">
        <v>321</v>
      </c>
      <c r="F55" s="290">
        <v>250</v>
      </c>
      <c r="G55" s="290">
        <v>250</v>
      </c>
      <c r="H55" s="278">
        <v>9.1</v>
      </c>
      <c r="I55" s="448">
        <v>1.1000000000000001</v>
      </c>
      <c r="J55" s="253">
        <f t="shared" ref="J55:J65" si="133">IF(H55&lt;&gt;"-", H55*ED_8/AT_AC*Breathing_Ratio,"-")</f>
        <v>6.1904761904761907</v>
      </c>
      <c r="K55" s="254">
        <f t="shared" ref="K55:K65" si="134">IF(I55&lt;&gt;"-", I55*ED_8/AT_AC*Breathing_Ratio,"-")</f>
        <v>0.74829931972789121</v>
      </c>
      <c r="L55" s="253">
        <f t="shared" ref="L55:L65" si="135">IF(H55&lt;&gt;"-", IF(F55&gt;=EF_ST, H55*ED_8*EF_ST/AT_ADC_ST*Breathing_Ratio, H55*ED_8*F55/AT_ADC_ST*Breathing_Ratio),"-")</f>
        <v>4.5396825396825395</v>
      </c>
      <c r="M55" s="254">
        <f t="shared" ref="M55:M65" si="136">IF(I55&lt;&gt;"-", IF(G55&gt;=EF_ST, I55*ED_8*EF_ST/AT_ADC_ST*Breathing_Ratio, I55*ED_8*G55/AT_ADC_ST*Breathing_Ratio),"-")</f>
        <v>0.5487528344671202</v>
      </c>
      <c r="N55" s="253">
        <f t="shared" ref="N55:N65" si="137">IF(H55&lt;&gt;"-", H55*ED_8*F55*WY_high/AT_ADC_high*Breathing_Ratio,"-")</f>
        <v>4.2400521852576647</v>
      </c>
      <c r="O55" s="254">
        <f t="shared" ref="O55:O65" si="138">IF(I55&lt;&gt;"-", I55*ED_8*G55*WY_mid/AT_ADC_mid*Breathing_Ratio, "-")</f>
        <v>0.51253378063554189</v>
      </c>
      <c r="P55" s="253">
        <f t="shared" ref="P55:P65" si="139">IF(H55&lt;&gt;"-",H55*ED_8*F55*WY_high/AT_LADC*Breathing_Ratio,"-")</f>
        <v>2.1743857360295715</v>
      </c>
      <c r="Q55" s="254">
        <f t="shared" ref="Q55:Q65" si="140">IF(I55&lt;&gt;"-",I55*ED_8*G55*WY_mid/AT_LADC*Breathing_Ratio,"-")</f>
        <v>0.20369932307309999</v>
      </c>
      <c r="R55" s="362" t="s">
        <v>295</v>
      </c>
      <c r="S55" s="363" t="s">
        <v>295</v>
      </c>
      <c r="T55" s="245">
        <v>10</v>
      </c>
      <c r="U55" s="294" t="s">
        <v>333</v>
      </c>
      <c r="V55" s="292" t="s">
        <v>323</v>
      </c>
    </row>
    <row r="56" spans="2:22" x14ac:dyDescent="0.2">
      <c r="B56" s="285">
        <f t="shared" ref="B56:B57" si="141">B54+1</f>
        <v>9</v>
      </c>
      <c r="C56" s="244" t="s">
        <v>302</v>
      </c>
      <c r="D56" s="290" t="s">
        <v>79</v>
      </c>
      <c r="E56" s="275" t="s">
        <v>321</v>
      </c>
      <c r="F56" s="290">
        <v>250</v>
      </c>
      <c r="G56" s="290">
        <v>250</v>
      </c>
      <c r="H56" s="278">
        <v>112.26</v>
      </c>
      <c r="I56" s="448">
        <v>45.54</v>
      </c>
      <c r="J56" s="253">
        <f t="shared" si="133"/>
        <v>76.367346938775512</v>
      </c>
      <c r="K56" s="254">
        <f t="shared" si="134"/>
        <v>30.979591836734695</v>
      </c>
      <c r="L56" s="253">
        <f t="shared" si="135"/>
        <v>56.002721088435379</v>
      </c>
      <c r="M56" s="254">
        <f t="shared" si="136"/>
        <v>22.718367346938777</v>
      </c>
      <c r="N56" s="253">
        <f t="shared" si="137"/>
        <v>52.306402012859941</v>
      </c>
      <c r="O56" s="254">
        <f t="shared" si="138"/>
        <v>21.218898518311434</v>
      </c>
      <c r="P56" s="253">
        <f t="shared" si="139"/>
        <v>26.823795904030739</v>
      </c>
      <c r="Q56" s="254">
        <f t="shared" si="140"/>
        <v>8.4331519752263393</v>
      </c>
      <c r="R56" s="362" t="s">
        <v>295</v>
      </c>
      <c r="S56" s="363" t="s">
        <v>295</v>
      </c>
      <c r="T56" s="245" t="s">
        <v>327</v>
      </c>
      <c r="U56" s="294" t="s">
        <v>334</v>
      </c>
      <c r="V56" s="292" t="s">
        <v>330</v>
      </c>
    </row>
    <row r="57" spans="2:22" x14ac:dyDescent="0.2">
      <c r="B57" s="285">
        <f t="shared" si="141"/>
        <v>9</v>
      </c>
      <c r="C57" s="244" t="s">
        <v>302</v>
      </c>
      <c r="D57" s="290" t="s">
        <v>82</v>
      </c>
      <c r="E57" s="275" t="s">
        <v>321</v>
      </c>
      <c r="F57" s="290">
        <v>250</v>
      </c>
      <c r="G57" s="290">
        <v>250</v>
      </c>
      <c r="H57" s="278">
        <v>92.95</v>
      </c>
      <c r="I57" s="448">
        <v>30.26</v>
      </c>
      <c r="J57" s="253">
        <f t="shared" si="133"/>
        <v>63.231292517006807</v>
      </c>
      <c r="K57" s="254">
        <f t="shared" si="134"/>
        <v>20.585034013605444</v>
      </c>
      <c r="L57" s="253">
        <f t="shared" si="135"/>
        <v>46.369614512471664</v>
      </c>
      <c r="M57" s="254">
        <f t="shared" si="136"/>
        <v>15.095691609977326</v>
      </c>
      <c r="N57" s="253">
        <f t="shared" si="137"/>
        <v>43.309104463703292</v>
      </c>
      <c r="O57" s="254">
        <f t="shared" si="138"/>
        <v>14.099338365483181</v>
      </c>
      <c r="P57" s="253">
        <f t="shared" si="139"/>
        <v>22.209797160873482</v>
      </c>
      <c r="Q57" s="254">
        <f t="shared" si="140"/>
        <v>5.603583196538187</v>
      </c>
      <c r="R57" s="362" t="s">
        <v>295</v>
      </c>
      <c r="S57" s="363" t="s">
        <v>295</v>
      </c>
      <c r="T57" s="245" t="s">
        <v>327</v>
      </c>
      <c r="U57" s="294" t="s">
        <v>334</v>
      </c>
      <c r="V57" s="292" t="s">
        <v>330</v>
      </c>
    </row>
    <row r="58" spans="2:22" x14ac:dyDescent="0.2">
      <c r="B58" s="285" t="s">
        <v>200</v>
      </c>
      <c r="C58" s="244" t="s">
        <v>304</v>
      </c>
      <c r="D58" s="290" t="s">
        <v>79</v>
      </c>
      <c r="E58" s="275" t="s">
        <v>321</v>
      </c>
      <c r="F58" s="290">
        <v>250</v>
      </c>
      <c r="G58" s="290">
        <v>250</v>
      </c>
      <c r="H58" s="278">
        <v>1.3699854166666665</v>
      </c>
      <c r="I58" s="448">
        <v>2.8943750000000001E-2</v>
      </c>
      <c r="J58" s="253">
        <f t="shared" si="133"/>
        <v>0.93196286848072563</v>
      </c>
      <c r="K58" s="254">
        <f t="shared" si="134"/>
        <v>1.9689625850340137E-2</v>
      </c>
      <c r="L58" s="253">
        <f t="shared" si="135"/>
        <v>0.6834394368858655</v>
      </c>
      <c r="M58" s="254">
        <f t="shared" si="136"/>
        <v>1.44390589569161E-2</v>
      </c>
      <c r="N58" s="253">
        <f t="shared" si="137"/>
        <v>0.63833073183611333</v>
      </c>
      <c r="O58" s="254">
        <f t="shared" si="138"/>
        <v>1.3486045102972697E-2</v>
      </c>
      <c r="P58" s="253">
        <f t="shared" si="139"/>
        <v>0.32734909324928885</v>
      </c>
      <c r="Q58" s="254">
        <f t="shared" si="140"/>
        <v>5.3598384383609435E-3</v>
      </c>
      <c r="R58" s="362" t="s">
        <v>295</v>
      </c>
      <c r="S58" s="363" t="s">
        <v>295</v>
      </c>
      <c r="T58" s="245">
        <v>48</v>
      </c>
      <c r="U58" s="294" t="s">
        <v>335</v>
      </c>
      <c r="V58" s="292" t="s">
        <v>323</v>
      </c>
    </row>
    <row r="59" spans="2:22" x14ac:dyDescent="0.2">
      <c r="B59" s="285">
        <f>B57+1</f>
        <v>10</v>
      </c>
      <c r="C59" s="244" t="s">
        <v>304</v>
      </c>
      <c r="D59" s="290" t="s">
        <v>82</v>
      </c>
      <c r="E59" s="275" t="s">
        <v>321</v>
      </c>
      <c r="F59" s="290">
        <v>250</v>
      </c>
      <c r="G59" s="290">
        <v>250</v>
      </c>
      <c r="H59" s="278">
        <v>2.8943750000000001E-2</v>
      </c>
      <c r="I59" s="448">
        <v>2.8943750000000001E-2</v>
      </c>
      <c r="J59" s="253">
        <f t="shared" si="133"/>
        <v>1.9689625850340137E-2</v>
      </c>
      <c r="K59" s="254">
        <f t="shared" si="134"/>
        <v>1.9689625850340137E-2</v>
      </c>
      <c r="L59" s="253">
        <f t="shared" si="135"/>
        <v>1.44390589569161E-2</v>
      </c>
      <c r="M59" s="254">
        <f t="shared" si="136"/>
        <v>1.44390589569161E-2</v>
      </c>
      <c r="N59" s="253">
        <f t="shared" si="137"/>
        <v>1.3486045102972697E-2</v>
      </c>
      <c r="O59" s="254">
        <f t="shared" si="138"/>
        <v>1.3486045102972697E-2</v>
      </c>
      <c r="P59" s="253">
        <f t="shared" si="139"/>
        <v>6.9159205656270234E-3</v>
      </c>
      <c r="Q59" s="254">
        <f t="shared" si="140"/>
        <v>5.3598384383609435E-3</v>
      </c>
      <c r="R59" s="362" t="s">
        <v>295</v>
      </c>
      <c r="S59" s="363" t="s">
        <v>295</v>
      </c>
      <c r="T59" s="245" t="s">
        <v>327</v>
      </c>
      <c r="U59" s="294" t="s">
        <v>336</v>
      </c>
      <c r="V59" s="292" t="s">
        <v>323</v>
      </c>
    </row>
    <row r="60" spans="2:22" x14ac:dyDescent="0.2">
      <c r="B60" s="285" t="s">
        <v>204</v>
      </c>
      <c r="C60" s="244" t="s">
        <v>337</v>
      </c>
      <c r="D60" s="290" t="s">
        <v>79</v>
      </c>
      <c r="E60" s="275" t="s">
        <v>321</v>
      </c>
      <c r="F60" s="290">
        <v>250</v>
      </c>
      <c r="G60" s="290">
        <v>250</v>
      </c>
      <c r="H60" s="278">
        <v>5.8000000000000003E-2</v>
      </c>
      <c r="I60" s="448">
        <v>5.7000000000000002E-2</v>
      </c>
      <c r="J60" s="253">
        <f t="shared" ref="J60" si="142">IF(H60&lt;&gt;"-", H60*ED_8/AT_AC*Breathing_Ratio,"-")</f>
        <v>3.9455782312925174E-2</v>
      </c>
      <c r="K60" s="254">
        <f t="shared" ref="K60" si="143">IF(I60&lt;&gt;"-", I60*ED_8/AT_AC*Breathing_Ratio,"-")</f>
        <v>3.8775510204081633E-2</v>
      </c>
      <c r="L60" s="253">
        <f t="shared" ref="L60" si="144">IF(H60&lt;&gt;"-", IF(F60&gt;=EF_ST, H60*ED_8*EF_ST/AT_ADC_ST*Breathing_Ratio, H60*ED_8*F60/AT_ADC_ST*Breathing_Ratio),"-")</f>
        <v>2.8934240362811794E-2</v>
      </c>
      <c r="M60" s="254">
        <f t="shared" ref="M60" si="145">IF(I60&lt;&gt;"-", IF(G60&gt;=EF_ST, I60*ED_8*EF_ST/AT_ADC_ST*Breathing_Ratio, I60*ED_8*G60/AT_ADC_ST*Breathing_Ratio),"-")</f>
        <v>2.8435374149659867E-2</v>
      </c>
      <c r="N60" s="253">
        <f t="shared" ref="N60" si="146">IF(H60&lt;&gt;"-", H60*ED_8*F60*WY_high/AT_ADC_high*Breathing_Ratio,"-")</f>
        <v>2.702450843351039E-2</v>
      </c>
      <c r="O60" s="254">
        <f t="shared" ref="O60" si="147">IF(I60&lt;&gt;"-", I60*ED_8*G60*WY_mid/AT_ADC_mid*Breathing_Ratio, "-")</f>
        <v>2.6558568632932628E-2</v>
      </c>
      <c r="P60" s="253">
        <f t="shared" ref="P60" si="148">IF(H60&lt;&gt;"-",H60*ED_8*F60*WY_high/AT_LADC*Breathing_Ratio,"-")</f>
        <v>1.3858722273595072E-2</v>
      </c>
      <c r="Q60" s="254">
        <f t="shared" ref="Q60" si="149">IF(I60&lt;&gt;"-",I60*ED_8*G60*WY_mid/AT_LADC*Breathing_Ratio,"-")</f>
        <v>1.0555328559242454E-2</v>
      </c>
      <c r="R60" s="362" t="s">
        <v>295</v>
      </c>
      <c r="S60" s="363" t="s">
        <v>295</v>
      </c>
      <c r="T60" s="245">
        <v>4</v>
      </c>
      <c r="U60" s="288" t="s">
        <v>322</v>
      </c>
      <c r="V60" s="292" t="s">
        <v>323</v>
      </c>
    </row>
    <row r="61" spans="2:22" x14ac:dyDescent="0.2">
      <c r="B61" s="285" t="s">
        <v>206</v>
      </c>
      <c r="C61" s="244" t="s">
        <v>307</v>
      </c>
      <c r="D61" s="290" t="s">
        <v>79</v>
      </c>
      <c r="E61" s="276" t="s">
        <v>321</v>
      </c>
      <c r="F61" s="290">
        <v>250</v>
      </c>
      <c r="G61" s="290">
        <v>250</v>
      </c>
      <c r="H61" s="450">
        <v>0.76</v>
      </c>
      <c r="I61" s="278">
        <v>6.9000000000000006E-2</v>
      </c>
      <c r="J61" s="253">
        <f>IF(H61&lt;&gt;"-", H61*ED_8/AT_AC*Breathing_Ratio,"-")</f>
        <v>0.51700680272108845</v>
      </c>
      <c r="K61" s="254">
        <f>IF(I61&lt;&gt;"-", I61*ED_8/AT_AC*Breathing_Ratio,"-")</f>
        <v>4.6938775510204089E-2</v>
      </c>
      <c r="L61" s="253">
        <f>IF(H61&lt;&gt;"-", IF(F61&gt;=EF_ST, H61*ED_8*EF_ST/AT_ADC_ST*Breathing_Ratio, H61*ED_8*F61/AT_ADC_ST*Breathing_Ratio),"-")</f>
        <v>0.37913832199546482</v>
      </c>
      <c r="M61" s="254">
        <f>IF(I61&lt;&gt;"-", IF(G61&gt;=EF_ST, I61*ED_8*EF_ST/AT_ADC_ST*Breathing_Ratio, I61*ED_8*G61/AT_ADC_ST*Breathing_Ratio),"-")</f>
        <v>3.4421768707483001E-2</v>
      </c>
      <c r="N61" s="253">
        <f>IF(H61&lt;&gt;"-", H61*ED_8*F61*WY_high/AT_ADC_high*Breathing_Ratio,"-")</f>
        <v>0.35411424843910166</v>
      </c>
      <c r="O61" s="254">
        <f>IF(I61&lt;&gt;"-", I61*ED_8*G61*WY_mid/AT_ADC_mid*Breathing_Ratio, "-")</f>
        <v>3.2149846239865811E-2</v>
      </c>
      <c r="P61" s="253">
        <f>IF(H61&lt;&gt;"-",H61*ED_8*F61*WY_high/AT_LADC*Breathing_Ratio,"-")</f>
        <v>0.18159705048159061</v>
      </c>
      <c r="Q61" s="254">
        <f>IF(I61&lt;&gt;"-",I61*ED_8*G61*WY_mid/AT_LADC*Breathing_Ratio,"-")</f>
        <v>1.2777502992767181E-2</v>
      </c>
      <c r="R61" s="362" t="s">
        <v>295</v>
      </c>
      <c r="S61" s="363" t="s">
        <v>295</v>
      </c>
      <c r="T61" s="245">
        <v>80</v>
      </c>
      <c r="U61" s="288" t="s">
        <v>338</v>
      </c>
      <c r="V61" s="292" t="s">
        <v>323</v>
      </c>
    </row>
    <row r="62" spans="2:22" x14ac:dyDescent="0.2">
      <c r="B62" s="285">
        <v>11</v>
      </c>
      <c r="C62" s="244" t="s">
        <v>308</v>
      </c>
      <c r="D62" s="290" t="s">
        <v>79</v>
      </c>
      <c r="E62" s="275" t="s">
        <v>321</v>
      </c>
      <c r="F62" s="290">
        <v>250</v>
      </c>
      <c r="G62" s="290">
        <v>250</v>
      </c>
      <c r="H62" s="278">
        <v>2.7795321341956337E-3</v>
      </c>
      <c r="I62" s="448">
        <v>7.782689975747777E-4</v>
      </c>
      <c r="J62" s="253">
        <f t="shared" si="133"/>
        <v>1.890838186527642E-3</v>
      </c>
      <c r="K62" s="254">
        <f t="shared" si="134"/>
        <v>5.2943469222773993E-4</v>
      </c>
      <c r="L62" s="253">
        <f t="shared" si="135"/>
        <v>1.3866146701202707E-3</v>
      </c>
      <c r="M62" s="254">
        <f t="shared" si="136"/>
        <v>3.8825210763367596E-4</v>
      </c>
      <c r="N62" s="253">
        <f t="shared" si="137"/>
        <v>1.295094648306604E-3</v>
      </c>
      <c r="O62" s="254">
        <f t="shared" si="138"/>
        <v>3.6262650152584929E-4</v>
      </c>
      <c r="P62" s="253">
        <f t="shared" si="139"/>
        <v>6.6415110169569438E-4</v>
      </c>
      <c r="Q62" s="254">
        <f t="shared" si="140"/>
        <v>1.4412078906796575E-4</v>
      </c>
      <c r="R62" s="362" t="s">
        <v>295</v>
      </c>
      <c r="S62" s="363" t="s">
        <v>295</v>
      </c>
      <c r="T62" s="245">
        <v>12</v>
      </c>
      <c r="U62" s="294" t="s">
        <v>339</v>
      </c>
      <c r="V62" s="292" t="s">
        <v>323</v>
      </c>
    </row>
    <row r="63" spans="2:22" x14ac:dyDescent="0.2">
      <c r="B63" s="285">
        <f>B59+1</f>
        <v>11</v>
      </c>
      <c r="C63" s="244" t="s">
        <v>308</v>
      </c>
      <c r="D63" s="290" t="s">
        <v>82</v>
      </c>
      <c r="E63" s="275" t="s">
        <v>321</v>
      </c>
      <c r="F63" s="290">
        <v>250</v>
      </c>
      <c r="G63" s="290">
        <v>250</v>
      </c>
      <c r="H63" s="278">
        <v>7.782689975747777E-4</v>
      </c>
      <c r="I63" s="448">
        <v>7.782689975747777E-4</v>
      </c>
      <c r="J63" s="253">
        <f t="shared" si="133"/>
        <v>5.2943469222773993E-4</v>
      </c>
      <c r="K63" s="254">
        <f t="shared" si="134"/>
        <v>5.2943469222773993E-4</v>
      </c>
      <c r="L63" s="253">
        <f t="shared" si="135"/>
        <v>3.8825210763367596E-4</v>
      </c>
      <c r="M63" s="254">
        <f t="shared" si="136"/>
        <v>3.8825210763367596E-4</v>
      </c>
      <c r="N63" s="253">
        <f t="shared" si="137"/>
        <v>3.6262650152584929E-4</v>
      </c>
      <c r="O63" s="254">
        <f t="shared" si="138"/>
        <v>3.6262650152584929E-4</v>
      </c>
      <c r="P63" s="253">
        <f t="shared" si="139"/>
        <v>1.859623084747945E-4</v>
      </c>
      <c r="Q63" s="254">
        <f t="shared" si="140"/>
        <v>1.4412078906796575E-4</v>
      </c>
      <c r="R63" s="362" t="s">
        <v>295</v>
      </c>
      <c r="S63" s="363" t="s">
        <v>295</v>
      </c>
      <c r="T63" s="245" t="s">
        <v>327</v>
      </c>
      <c r="U63" s="294" t="s">
        <v>340</v>
      </c>
      <c r="V63" s="292" t="s">
        <v>323</v>
      </c>
    </row>
    <row r="64" spans="2:22" x14ac:dyDescent="0.2">
      <c r="B64" s="285">
        <v>12</v>
      </c>
      <c r="C64" s="244" t="s">
        <v>309</v>
      </c>
      <c r="D64" s="290" t="s">
        <v>79</v>
      </c>
      <c r="E64" s="275" t="s">
        <v>321</v>
      </c>
      <c r="F64" s="290">
        <v>250</v>
      </c>
      <c r="G64" s="290">
        <v>250</v>
      </c>
      <c r="H64" s="278">
        <v>0.71765625000000011</v>
      </c>
      <c r="I64" s="448">
        <v>0.14399999999999999</v>
      </c>
      <c r="J64" s="253">
        <f t="shared" si="133"/>
        <v>0.48820153061224497</v>
      </c>
      <c r="K64" s="254">
        <f t="shared" si="134"/>
        <v>9.7959183673469383E-2</v>
      </c>
      <c r="L64" s="253">
        <f t="shared" si="135"/>
        <v>0.358014455782313</v>
      </c>
      <c r="M64" s="254">
        <f t="shared" si="136"/>
        <v>7.1836734693877538E-2</v>
      </c>
      <c r="N64" s="253">
        <f t="shared" si="137"/>
        <v>0.33438461000838698</v>
      </c>
      <c r="O64" s="254">
        <f t="shared" si="138"/>
        <v>6.7095331283198209E-2</v>
      </c>
      <c r="P64" s="253">
        <f t="shared" si="139"/>
        <v>0.17147928718378819</v>
      </c>
      <c r="Q64" s="254">
        <f t="shared" si="140"/>
        <v>2.6666093202296726E-2</v>
      </c>
      <c r="R64" s="362" t="s">
        <v>295</v>
      </c>
      <c r="S64" s="363" t="s">
        <v>295</v>
      </c>
      <c r="T64" s="245">
        <v>71</v>
      </c>
      <c r="U64" s="294" t="s">
        <v>341</v>
      </c>
      <c r="V64" s="292" t="s">
        <v>342</v>
      </c>
    </row>
    <row r="65" spans="2:22" ht="13.5" thickBot="1" x14ac:dyDescent="0.25">
      <c r="B65" s="286">
        <f t="shared" ref="B65" si="150">B63+1</f>
        <v>12</v>
      </c>
      <c r="C65" s="246" t="s">
        <v>309</v>
      </c>
      <c r="D65" s="295" t="s">
        <v>82</v>
      </c>
      <c r="E65" s="277" t="s">
        <v>321</v>
      </c>
      <c r="F65" s="295">
        <v>250</v>
      </c>
      <c r="G65" s="295">
        <v>250</v>
      </c>
      <c r="H65" s="279">
        <v>0.13</v>
      </c>
      <c r="I65" s="449">
        <v>4.583333333333333E-2</v>
      </c>
      <c r="J65" s="255">
        <f t="shared" si="133"/>
        <v>8.8435374149659865E-2</v>
      </c>
      <c r="K65" s="256">
        <f t="shared" si="134"/>
        <v>3.1179138321995464E-2</v>
      </c>
      <c r="L65" s="255">
        <f t="shared" si="135"/>
        <v>6.485260770975057E-2</v>
      </c>
      <c r="M65" s="256">
        <f t="shared" si="136"/>
        <v>2.2864701436130008E-2</v>
      </c>
      <c r="N65" s="255">
        <f t="shared" si="137"/>
        <v>6.0572174075109494E-2</v>
      </c>
      <c r="O65" s="256">
        <f t="shared" si="138"/>
        <v>2.1355574193147576E-2</v>
      </c>
      <c r="P65" s="255">
        <f t="shared" si="139"/>
        <v>3.1062653371851021E-2</v>
      </c>
      <c r="Q65" s="256">
        <f t="shared" si="140"/>
        <v>8.4874717947124988E-3</v>
      </c>
      <c r="R65" s="359" t="s">
        <v>295</v>
      </c>
      <c r="S65" s="366" t="s">
        <v>295</v>
      </c>
      <c r="T65" s="248">
        <v>2</v>
      </c>
      <c r="U65" s="340" t="s">
        <v>343</v>
      </c>
      <c r="V65" s="296" t="s">
        <v>342</v>
      </c>
    </row>
    <row r="67" spans="2:22" x14ac:dyDescent="0.2">
      <c r="H67" s="453"/>
      <c r="I67" s="453"/>
    </row>
  </sheetData>
  <sheetProtection sheet="1" objects="1" scenarios="1" formatCells="0" formatColumns="0" formatRows="0"/>
  <autoFilter ref="B5:V65" xr:uid="{DF55C41C-CB75-4CC6-8CF8-B72C31F8B4B7}">
    <sortState xmlns:xlrd2="http://schemas.microsoft.com/office/spreadsheetml/2017/richdata2" ref="B9:Z36">
      <sortCondition descending="1" ref="Z5:Z36"/>
    </sortState>
  </autoFilter>
  <mergeCells count="26">
    <mergeCell ref="AH4:AH6"/>
    <mergeCell ref="AF4:AF6"/>
    <mergeCell ref="AH33:AH36"/>
    <mergeCell ref="AF33:AF36"/>
    <mergeCell ref="AG33:AG36"/>
    <mergeCell ref="AG4:AG6"/>
    <mergeCell ref="U3:U5"/>
    <mergeCell ref="F3:G3"/>
    <mergeCell ref="F4:G4"/>
    <mergeCell ref="H3:I3"/>
    <mergeCell ref="N3:O3"/>
    <mergeCell ref="P3:Q3"/>
    <mergeCell ref="H4:I4"/>
    <mergeCell ref="N4:O4"/>
    <mergeCell ref="P4:Q4"/>
    <mergeCell ref="L3:M3"/>
    <mergeCell ref="L4:M4"/>
    <mergeCell ref="J3:K3"/>
    <mergeCell ref="J4:K4"/>
    <mergeCell ref="B3:B5"/>
    <mergeCell ref="C3:C5"/>
    <mergeCell ref="D3:D5"/>
    <mergeCell ref="E3:E5"/>
    <mergeCell ref="T3:T5"/>
    <mergeCell ref="R3:S3"/>
    <mergeCell ref="R4:S4"/>
  </mergeCells>
  <conditionalFormatting sqref="H24:I32">
    <cfRule type="cellIs" dxfId="31" priority="3" operator="between">
      <formula>1</formula>
      <formula>9.999</formula>
    </cfRule>
    <cfRule type="cellIs" dxfId="30" priority="4" operator="between">
      <formula>10</formula>
      <formula>9999.999</formula>
    </cfRule>
    <cfRule type="expression" dxfId="29" priority="5">
      <formula>"&gt;=10000"</formula>
    </cfRule>
    <cfRule type="cellIs" dxfId="28" priority="6" operator="lessThan">
      <formula>0.01</formula>
    </cfRule>
    <cfRule type="cellIs" dxfId="27" priority="7" operator="between">
      <formula>0.01</formula>
      <formula>1</formula>
    </cfRule>
    <cfRule type="cellIs" dxfId="26" priority="8" operator="greaterThanOrEqual">
      <formula>1</formula>
    </cfRule>
  </conditionalFormatting>
  <conditionalFormatting sqref="H24:I37">
    <cfRule type="cellIs" dxfId="25" priority="1" operator="lessThan">
      <formula>0.1</formula>
    </cfRule>
    <cfRule type="cellIs" dxfId="24" priority="2" operator="between">
      <formula>0.1</formula>
      <formula>0.999</formula>
    </cfRule>
  </conditionalFormatting>
  <conditionalFormatting sqref="H67:I67">
    <cfRule type="cellIs" dxfId="23" priority="25" operator="lessThan">
      <formula>0.1</formula>
    </cfRule>
    <cfRule type="cellIs" dxfId="22" priority="26" operator="between">
      <formula>0.1</formula>
      <formula>0.999</formula>
    </cfRule>
    <cfRule type="cellIs" dxfId="21" priority="27" operator="between">
      <formula>1</formula>
      <formula>9.999</formula>
    </cfRule>
    <cfRule type="cellIs" dxfId="20" priority="28" operator="between">
      <formula>10</formula>
      <formula>9999.999</formula>
    </cfRule>
    <cfRule type="expression" dxfId="19" priority="29">
      <formula>"&gt;=10000"</formula>
    </cfRule>
    <cfRule type="cellIs" dxfId="18" priority="30" operator="lessThan">
      <formula>0.01</formula>
    </cfRule>
    <cfRule type="cellIs" dxfId="17" priority="31" operator="between">
      <formula>0.01</formula>
      <formula>1</formula>
    </cfRule>
    <cfRule type="cellIs" dxfId="16" priority="32" operator="greaterThanOrEqual">
      <formula>1</formula>
    </cfRule>
  </conditionalFormatting>
  <conditionalFormatting sqref="H38:K65">
    <cfRule type="cellIs" dxfId="15" priority="14" operator="lessThan">
      <formula>0.01</formula>
    </cfRule>
    <cfRule type="cellIs" dxfId="14" priority="15" operator="between">
      <formula>0.01</formula>
      <formula>1</formula>
    </cfRule>
    <cfRule type="cellIs" dxfId="13" priority="16" operator="greaterThanOrEqual">
      <formula>1</formula>
    </cfRule>
  </conditionalFormatting>
  <conditionalFormatting sqref="H6:S23 J24:S32 H33:S36 H33:I37 J37:S37 R38:S47">
    <cfRule type="cellIs" dxfId="12" priority="92" operator="between">
      <formula>1</formula>
      <formula>9.999</formula>
    </cfRule>
    <cfRule type="cellIs" dxfId="11" priority="93" operator="between">
      <formula>10</formula>
      <formula>9999.999</formula>
    </cfRule>
    <cfRule type="expression" dxfId="10" priority="94">
      <formula>"&gt;=10000"</formula>
    </cfRule>
  </conditionalFormatting>
  <conditionalFormatting sqref="H6:S23 J24:S32 H33:S36 J37:S37 R38:S47">
    <cfRule type="cellIs" dxfId="9" priority="90" operator="lessThan">
      <formula>0.1</formula>
    </cfRule>
  </conditionalFormatting>
  <conditionalFormatting sqref="H38:S65">
    <cfRule type="cellIs" dxfId="8" priority="9" operator="lessThan">
      <formula>0.1</formula>
    </cfRule>
    <cfRule type="cellIs" dxfId="7" priority="10" operator="between">
      <formula>0.1</formula>
      <formula>0.999</formula>
    </cfRule>
    <cfRule type="cellIs" dxfId="6" priority="11" operator="between">
      <formula>1</formula>
      <formula>9.999</formula>
    </cfRule>
    <cfRule type="cellIs" dxfId="5" priority="12" operator="between">
      <formula>10</formula>
      <formula>9999.999</formula>
    </cfRule>
    <cfRule type="expression" dxfId="4" priority="13">
      <formula>"&gt;=10000"</formula>
    </cfRule>
  </conditionalFormatting>
  <conditionalFormatting sqref="I6:K6 N6:S65 H7:K12 H12:I13 I13:K13 H14:K23 J24:K32 H33:K36 H33:I37 J37:K37">
    <cfRule type="cellIs" dxfId="3" priority="98" operator="lessThan">
      <formula>0.01</formula>
    </cfRule>
    <cfRule type="cellIs" dxfId="2" priority="99" operator="between">
      <formula>0.01</formula>
      <formula>1</formula>
    </cfRule>
    <cfRule type="cellIs" dxfId="1" priority="100" operator="greaterThanOrEqual">
      <formula>1</formula>
    </cfRule>
  </conditionalFormatting>
  <conditionalFormatting sqref="R38:S47 H6:S23 J24:S32 H33:S36 J37:S37">
    <cfRule type="cellIs" dxfId="0" priority="91" operator="between">
      <formula>0.1</formula>
      <formula>0.999</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23352F79007E408EFF44D6142FFCE2" ma:contentTypeVersion="21" ma:contentTypeDescription="Create a new document." ma:contentTypeScope="" ma:versionID="f7663de67ef2afa6df94d55ff7e56796">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fecc2597-e8fd-4279-ac06-bd7c891938be" xmlns:ns6="ead8da0f-3542-4e50-96c8-f1f698624e86" targetNamespace="http://schemas.microsoft.com/office/2006/metadata/properties" ma:root="true" ma:fieldsID="02cccc19423a0cd6fa028e0a1e544b83" ns1:_="" ns2:_="" ns3:_="" ns4:_="" ns5:_="" ns6:_="">
    <xsd:import namespace="http://schemas.microsoft.com/sharepoint/v3"/>
    <xsd:import namespace="4ffa91fb-a0ff-4ac5-b2db-65c790d184a4"/>
    <xsd:import namespace="http://schemas.microsoft.com/sharepoint.v3"/>
    <xsd:import namespace="http://schemas.microsoft.com/sharepoint/v3/fields"/>
    <xsd:import namespace="fecc2597-e8fd-4279-ac06-bd7c891938be"/>
    <xsd:import namespace="ead8da0f-3542-4e50-96c8-f1f698624e86"/>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AutoTags" minOccurs="0"/>
                <xsd:element ref="ns6:MediaServiceOCR" minOccurs="0"/>
                <xsd:element ref="ns6:MediaServiceGenerationTime" minOccurs="0"/>
                <xsd:element ref="ns6:MediaServiceEventHashCode" minOccurs="0"/>
                <xsd:element ref="ns1:_ip_UnifiedCompliancePolicyProperties" minOccurs="0"/>
                <xsd:element ref="ns1:_ip_UnifiedCompliancePolicyUIAction" minOccurs="0"/>
                <xsd:element ref="ns6:lcf76f155ced4ddcb4097134ff3c332f" minOccurs="0"/>
                <xsd:element ref="ns6:MediaServiceObjectDetectorVersions" minOccurs="0"/>
                <xsd:element ref="ns6:MediaServiceSearchProperties" minOccurs="0"/>
                <xsd:element ref="ns6:MediaServiceDateTaken"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160cad11-562a-4490-8456-b2fd6f157897}" ma:internalName="TaxCatchAllLabel" ma:readOnly="true" ma:showField="CatchAllDataLabel"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160cad11-562a-4490-8456-b2fd6f157897}" ma:internalName="TaxCatchAll" ma:showField="CatchAllData"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cc2597-e8fd-4279-ac06-bd7c891938be"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d8da0f-3542-4e50-96c8-f1f698624e86"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DateTaken" ma:index="43" nillable="true" ma:displayName="MediaServiceDateTaken" ma:description="" ma:hidden="true" ma:indexed="true" ma:internalName="MediaServiceDateTaken" ma:readOnly="true">
      <xsd:simpleType>
        <xsd:restriction base="dms:Text"/>
      </xsd:simpleType>
    </xsd:element>
    <xsd:element name="MediaServiceLocation" ma:index="44" nillable="true" ma:displayName="Location" ma:description="" ma:indexed="true" ma:internalName="MediaServiceLocation" ma:readOnly="true">
      <xsd:simpleType>
        <xsd:restriction base="dms:Text"/>
      </xsd:simpleType>
    </xsd:element>
    <xsd:element name="MediaLengthInSeconds" ma:index="4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d8da0f-3542-4e50-96c8-f1f698624e86">
      <Terms xmlns="http://schemas.microsoft.com/office/infopath/2007/PartnerControls"/>
    </lcf76f155ced4ddcb4097134ff3c332f>
    <TaxCatchAll xmlns="4ffa91fb-a0ff-4ac5-b2db-65c790d184a4">
      <Value>1716</Value>
      <Value>1198</Value>
      <Value>1673</Value>
      <Value>1671</Value>
      <Value>1191</Value>
    </TaxCatchAll>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12Dichloroethane</TermName>
          <TermId xmlns="http://schemas.microsoft.com/office/infopath/2007/PartnerControls">b26867e0-e188-4d8d-b848-2e1a306b3e93</TermId>
        </TermInfo>
        <TermInfo xmlns="http://schemas.microsoft.com/office/infopath/2007/PartnerControls">
          <TermName xmlns="http://schemas.microsoft.com/office/infopath/2007/PartnerControls">Occupational Risk</TermName>
          <TermId xmlns="http://schemas.microsoft.com/office/infopath/2007/PartnerControls">79b9a469-6802-4c39-813e-0e54b0926316</TermId>
        </TermInfo>
        <TermInfo xmlns="http://schemas.microsoft.com/office/infopath/2007/PartnerControls">
          <TermName xmlns="http://schemas.microsoft.com/office/infopath/2007/PartnerControls">occupational exposure</TermName>
          <TermId xmlns="http://schemas.microsoft.com/office/infopath/2007/PartnerControls">dc86747e-746f-435b-be39-b7773de656d7</TermId>
        </TermInfo>
        <TermInfo xmlns="http://schemas.microsoft.com/office/infopath/2007/PartnerControls">
          <TermName xmlns="http://schemas.microsoft.com/office/infopath/2007/PartnerControls">risk calculator</TermName>
          <TermId xmlns="http://schemas.microsoft.com/office/infopath/2007/PartnerControls">8af20125-90c4-4af3-92eb-7f5682895c4d</TermId>
        </TermInfo>
        <TermInfo xmlns="http://schemas.microsoft.com/office/infopath/2007/PartnerControls">
          <TermName xmlns="http://schemas.microsoft.com/office/infopath/2007/PartnerControls">CASRN 107-06-2</TermName>
          <TermId xmlns="http://schemas.microsoft.com/office/infopath/2007/PartnerControls">f01d8752-e9a4-4691-bb25-53c3aaed59fd</TermId>
        </TermInfo>
      </Term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2026-04-28T18:55:12+00:00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AC66848A-9249-4628-AC04-A78FD2A2EA9F}">
  <ds:schemaRefs>
    <ds:schemaRef ds:uri="http://schemas.microsoft.com/sharepoint/v3/contenttype/forms"/>
  </ds:schemaRefs>
</ds:datastoreItem>
</file>

<file path=customXml/itemProps2.xml><?xml version="1.0" encoding="utf-8"?>
<ds:datastoreItem xmlns:ds="http://schemas.openxmlformats.org/officeDocument/2006/customXml" ds:itemID="{D3838182-D9C9-44CD-ABAC-ED5FB4AD24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fecc2597-e8fd-4279-ac06-bd7c891938be"/>
    <ds:schemaRef ds:uri="ead8da0f-3542-4e50-96c8-f1f698624e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D51179-5093-4E0D-97E0-1254349066E5}">
  <ds:schemaRefs>
    <ds:schemaRef ds:uri="http://purl.org/dc/dcmitype/"/>
    <ds:schemaRef ds:uri="4ffa91fb-a0ff-4ac5-b2db-65c790d184a4"/>
    <ds:schemaRef ds:uri="http://schemas.microsoft.com/sharepoint.v3"/>
    <ds:schemaRef ds:uri="http://schemas.microsoft.com/office/2006/documentManagement/types"/>
    <ds:schemaRef ds:uri="fecc2597-e8fd-4279-ac06-bd7c891938be"/>
    <ds:schemaRef ds:uri="http://www.w3.org/XML/1998/namespace"/>
    <ds:schemaRef ds:uri="http://purl.org/dc/elements/1.1/"/>
    <ds:schemaRef ds:uri="http://schemas.microsoft.com/office/2006/metadata/properties"/>
    <ds:schemaRef ds:uri="http://schemas.microsoft.com/office/infopath/2007/PartnerControls"/>
    <ds:schemaRef ds:uri="http://schemas.microsoft.com/sharepoint/v3"/>
    <ds:schemaRef ds:uri="http://schemas.openxmlformats.org/package/2006/metadata/core-properties"/>
    <ds:schemaRef ds:uri="ead8da0f-3542-4e50-96c8-f1f698624e86"/>
    <ds:schemaRef ds:uri="http://schemas.microsoft.com/sharepoint/v3/fields"/>
    <ds:schemaRef ds:uri="http://purl.org/dc/terms/"/>
  </ds:schemaRefs>
</ds:datastoreItem>
</file>

<file path=customXml/itemProps4.xml><?xml version="1.0" encoding="utf-8"?>
<ds:datastoreItem xmlns:ds="http://schemas.openxmlformats.org/officeDocument/2006/customXml" ds:itemID="{39D90499-EA03-4AA2-A8EE-2AB500449984}">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33</vt:i4>
      </vt:variant>
    </vt:vector>
  </HeadingPairs>
  <TitlesOfParts>
    <vt:vector size="44" baseType="lpstr">
      <vt:lpstr>Cover Page</vt:lpstr>
      <vt:lpstr>Read Me</vt:lpstr>
      <vt:lpstr>Calculation Summary</vt:lpstr>
      <vt:lpstr>Dashboard</vt:lpstr>
      <vt:lpstr>Bridge Table</vt:lpstr>
      <vt:lpstr>Risk Reduction</vt:lpstr>
      <vt:lpstr>Health Data</vt:lpstr>
      <vt:lpstr>Dermal Exposure</vt:lpstr>
      <vt:lpstr>Inhalation Exposure</vt:lpstr>
      <vt:lpstr>List Values</vt:lpstr>
      <vt:lpstr>Exposure Factors</vt:lpstr>
      <vt:lpstr>AT_AC</vt:lpstr>
      <vt:lpstr>AT_ADC_high</vt:lpstr>
      <vt:lpstr>AT_ADC_mid</vt:lpstr>
      <vt:lpstr>AT_ADC_ST</vt:lpstr>
      <vt:lpstr>AT_CRD_high</vt:lpstr>
      <vt:lpstr>AT_CRD_mid</vt:lpstr>
      <vt:lpstr>AT_CRD_ST</vt:lpstr>
      <vt:lpstr>AT_LADC</vt:lpstr>
      <vt:lpstr>AT_LCRD</vt:lpstr>
      <vt:lpstr>Breathing_Ratio</vt:lpstr>
      <vt:lpstr>BW_default</vt:lpstr>
      <vt:lpstr>BW_women</vt:lpstr>
      <vt:lpstr>ED_24</vt:lpstr>
      <vt:lpstr>ED_8</vt:lpstr>
      <vt:lpstr>EF</vt:lpstr>
      <vt:lpstr>EF_C</vt:lpstr>
      <vt:lpstr>EF_ST</vt:lpstr>
      <vt:lpstr>'Health Data'!Exposure_Drop_down</vt:lpstr>
      <vt:lpstr>LT</vt:lpstr>
      <vt:lpstr>MW</vt:lpstr>
      <vt:lpstr>ug_per_mg</vt:lpstr>
      <vt:lpstr>WY_byp_high</vt:lpstr>
      <vt:lpstr>WY_byp_mid</vt:lpstr>
      <vt:lpstr>WY_CT_default</vt:lpstr>
      <vt:lpstr>WY_CT_women</vt:lpstr>
      <vt:lpstr>WY_HE_default</vt:lpstr>
      <vt:lpstr>WY_HE_women</vt:lpstr>
      <vt:lpstr>WY_high</vt:lpstr>
      <vt:lpstr>WY_mfg_high</vt:lpstr>
      <vt:lpstr>WY_mfg_mid</vt:lpstr>
      <vt:lpstr>WY_mid</vt:lpstr>
      <vt:lpstr>WY_proc_high</vt:lpstr>
      <vt:lpstr>WY_proc_mid</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Calculator for Occupational Exposure to 1,2-Dichloroethane</dc:title>
  <dc:subject>Risk Evaluation for 1,2-Dichloroethane</dc:subject>
  <dc:creator>US EPA</dc:creator>
  <cp:keywords>12Dichloroethane ; CASRN 107-06-2 ; risk calculator ; occupational exposure ; Occupational Risk</cp:keywords>
  <dc:description/>
  <cp:lastModifiedBy>Stanfield, Kelley</cp:lastModifiedBy>
  <cp:revision/>
  <dcterms:created xsi:type="dcterms:W3CDTF">2014-03-17T14:32:48Z</dcterms:created>
  <dcterms:modified xsi:type="dcterms:W3CDTF">2026-04-29T17:35:25Z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0x010100D723352F79007E408EFF44D6142FFCE2</vt:lpwstr>
  </property>
  <property fmtid="{D5CDD505-2E9C-101B-9397-08002B2CF9AE}" pid="3" name="MediaServiceImageTags">
    <vt:lpwstr/>
  </property>
  <property fmtid="{D5CDD505-2E9C-101B-9397-08002B2CF9AE}" pid="4" name="TaxKeyword">
    <vt:lpwstr>1671;#12Dichloroethane|b26867e0-e188-4d8d-b848-2e1a306b3e93;#1716;#Occupational Risk|79b9a469-6802-4c39-813e-0e54b0926316;#1191;#occupational exposure|dc86747e-746f-435b-be39-b7773de656d7;#1198;#risk calculator|8af20125-90c4-4af3-92eb-7f5682895c4d;#1673;#CASRN 107-06-2|f01d8752-e9a4-4691-bb25-53c3aaed59fd</vt:lpwstr>
  </property>
  <property fmtid="{D5CDD505-2E9C-101B-9397-08002B2CF9AE}" pid="5" name="EPA Subject">
    <vt:lpwstr/>
  </property>
  <property fmtid="{D5CDD505-2E9C-101B-9397-08002B2CF9AE}" pid="6" name="Document Type">
    <vt:lpwstr/>
  </property>
  <property fmtid="{D5CDD505-2E9C-101B-9397-08002B2CF9AE}" pid="7" name="Document_x0020_Type">
    <vt:lpwstr/>
  </property>
  <property fmtid="{D5CDD505-2E9C-101B-9397-08002B2CF9AE}" pid="8" name="EPA_x0020_Subject">
    <vt:lpwstr/>
  </property>
</Properties>
</file>